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<sst xmlns="http://schemas.openxmlformats.org/spreadsheetml/2006/main" count="3205" uniqueCount="3156">
  <si>
    <t>link</t>
  </si>
  <si>
    <t>created_at</t>
  </si>
  <si>
    <t>fav</t>
  </si>
  <si>
    <t>rt</t>
  </si>
  <si>
    <t>text</t>
  </si>
  <si>
    <t>NYC Families: if your child was born in 2012 you can apply now for @NYCSchools Kindergarten 2017-2018 year:… https://t.co/H4PhnroCsH</t>
  </si>
  <si>
    <t>@35LeahD @DomenicaDavis @ASPCA Sorry to hear this. Report wild animal in park online: https://t.co/mE6Fa8PfMP or DM &amp;amp; we'll file for you.</t>
  </si>
  <si>
    <t>@NYCParks @TheotherKellyB Thanks for mention. Please Direct Message your call &amp;amp; AC&amp;amp;C response details so we can advise w/o character limit.</t>
  </si>
  <si>
    <t>@Met20 Anytime there's a gas odor or gas leak, you should find a phone away from area and call 911 immediately: https://t.co/gJqaxnHvC2</t>
  </si>
  <si>
    <t>@fritchbeetle Please contact NY State Dept of Motor Vehicles to inquire/for more info: https://t.co/3OA0odChov 2/2</t>
  </si>
  <si>
    <t>@fritchbeetle NYC traffic rules only mention skid chains/snow tires allowed on roadways during snow emergency: https://t.co/Fw6NIuiMeT 1/2</t>
  </si>
  <si>
    <t>@kwiksey @NYC_DOT We're not sure. MTA handles Queens-Midtown Tunnel. You can inquire/report problem w/them here: https://t.co/hag1r7xc0A</t>
  </si>
  <si>
    <t>@K9great84 @NYPD66Pct @NYCityAlerts @NYPD66Pct @Felixwortiz You can send concern w/Message to Commissioner form: https://t.co/wAxD4pXP9N</t>
  </si>
  <si>
    <t>@K9great84 @NYPD66Pct @NYCityAlerts Report illegal parking inprogress online:  https://t.co/0gQuEvv4Hv or w/App: https://t.co/FRAGoS7hV4</t>
  </si>
  <si>
    <t>@MauzKobe Thanks for pic. In future, report illegal parking in-progress online: https://t.co/0gQuEvv4Hv  or w/App: https://t.co/FRAGoS7hV4</t>
  </si>
  <si>
    <t>@_iL33t_ DM &amp;amp; we'll report broken muni-meters for you. Or file online: https://t.co/K6T2jCGdMH   or w/app: https://t.co/FRAGoS7hV4</t>
  </si>
  <si>
    <t>If you or someone you know has #asthma, @nycHealthy has information and @NYCHealthSystem offers treatment:… https://t.co/UThDAIxWsp</t>
  </si>
  <si>
    <t>@BenFerber Sorry to hear.Please DM time/ # you called from&amp;amp; we'll research your call. We also can file wildlife in park for you. Thank you.</t>
  </si>
  <si>
    <t>@wmclarkassoc @ABC7NY @transalt @NYC_DOT You also can call 311 to make a complaint about TV production crew: https://t.co/9ZM6NEjh68 2/2</t>
  </si>
  <si>
    <t>@wmclarkassoc @ABC7NY @NYC_DOT In future, report illegal parking in-progress as blocked bike lane online, w/app: https://t.co/EMYJOu6Ith 1/2</t>
  </si>
  <si>
    <t>@ChrisDooB @NYCSanitation Or DM &amp;amp; we'll file for you. See info on how to file  claim with City online here: https://t.co/tA7LE0rhbG 2/2</t>
  </si>
  <si>
    <t>@ChrisDooB @NYCSanitation Sorry to see this. You can report garbage truck spillage online here: https://t.co/rBjn0L6SRo 1/2</t>
  </si>
  <si>
    <t>@danehagemann If you like, you can send your concern to the police commissioner with this online form: https://t.co/wAxD4pXP9N 2/2</t>
  </si>
  <si>
    <t>@danehagemann We're sorry to hear this. We hope there's no future need, but you can always call 911 for updates from operators  1/2</t>
  </si>
  <si>
    <t>@fascinated @34Berry @NYC_DOT Sorry to see this. DM &amp;amp; we'll report CityRack problem. Or you can re-file online: https://t.co/Igr4nPuEWV</t>
  </si>
  <si>
    <t>@kareljaros @NYCSanitation Thanks for pic &amp;amp; sorry to hear this. You can report garbage truck spillage online here: https://t.co/rBjn0L6SRo</t>
  </si>
  <si>
    <t>@susanh121 Sorry to hear that. You can report an unclean/odor condition in a yellow taxi as a driver complaint here: https://t.co/TLuhhsdA5c</t>
  </si>
  <si>
    <t>@MissErinEE We’re sorry to hear that. DM us &amp;amp; we’ll file no heat/hot water for you. Or report online or w/app: https://t.co/0YA2q5RL3C</t>
  </si>
  <si>
    <t>@SEichhornYoung Always call 911if there's immediate danger to life. File no heat/hot water here: https://t.co/0YA2q5RL3C or DM &amp;amp; we'll file.</t>
  </si>
  <si>
    <t>@ScienceGaGa You can report this as a dirty sidewalk/gutter online: https://t.co/n87TgktfMZ or DM us email &amp;amp; address &amp;amp; we'll file for you.</t>
  </si>
  <si>
    <t>If the rain is causing flooding on streets or highways, you can report it online here: https://t.co/RglYAxD51D https://t.co/HDCz8PGSZI</t>
  </si>
  <si>
    <t>@hoopsinthesun We're sorry to hear. Please always call NYCHA Customer Contact Ctr at 718-707-7771 for no hot water: https://t.co/Ce1cjVGFAu</t>
  </si>
  <si>
    <t>@bklynbad Thanks for your video. DM us name/phone number &amp;amp; we'll file water leak in street for you. Or file here: https://t.co/wr5nmlI8YE</t>
  </si>
  <si>
    <t>@theycallmehoon Thanks for your concern. You can always request outreach by calling us at 311 or using our App: https://t.co/C1NLKUfvKK</t>
  </si>
  <si>
    <t>No heat in your apt? Report it w/App: https://t.co/FRAGoS7hV4 online: https://t.co/wVq7MQ1MTr, call us at 311 or DM… https://t.co/QeXKWVDhIv</t>
  </si>
  <si>
    <t>La oficina de @NYCimmigrants tiene una guía con servicios de NYC para familias inmigrantes recién llegados: https://t.co/8cHcTNM3Ae</t>
  </si>
  <si>
    <t>See an unsheltered NYer in need? You can request homeless outreach support w/ #NYC311 App or by calling us at 311: https://t.co/ECVmfGOvMI</t>
  </si>
  <si>
    <t>Need your #passport for #holidaytravel? Learn how to apply,renew,check status &amp;amp; get proof: https://t.co/4uqRE387jS… https://t.co/RLI3FyPW3q</t>
  </si>
  <si>
    <t>Your new dog is finally part of your family. Congrats! Make sure to apply for NYC dog license by mail/online: https://t.co/RdI0uRZS5G</t>
  </si>
  <si>
    <t>It’s #NYCHeatSeason. Report no heat/hot water online or w/app: https://t.co/wVq7MQ1MTr  Learn heat requirements:… https://t.co/01MmmAqUyN</t>
  </si>
  <si>
    <t>¿Olvidaste algo en un #taxi? Repórtalo aquí: https://t.co/OqEnFKcFxQ o con la aplicación de #NYC311: https://t.co/EifQXU1D6F</t>
  </si>
  <si>
    <t>Left something in a yellow taxi? Use Taxi Lost &amp;amp; Found to track it down: https://t.co/jBKVSaj5g5   or our App:… https://t.co/eQK5Xkoh3c</t>
  </si>
  <si>
    <t>You can request homeless outreach support for a NYer in need w/ the #free #NYC311 App or by calling us at 311: https://t.co/ECVmfGOvMI</t>
  </si>
  <si>
    <t>Join @NYCParks tmrw 12/11 for one of their longest hikes. Explore @CentralParkNYC from top to bottom. Register:… https://t.co/vUdoSCcv8E</t>
  </si>
  <si>
    <t>Our @YouTube video shows how easy it is to report a pothole w/our App: https://t.co/1Dy6eyT64P Download it here:… https://t.co/vVUUfUnACB</t>
  </si>
  <si>
    <t>Heat is required in NYC apartments. You can report no heat/hot water in about a minute online or w/ 311 app:… https://t.co/Cq76KRjCEj</t>
  </si>
  <si>
    <t>¡Se acerca el invierno! Usted puede registrarse para ser un “Obrero de Emergencia de Nieve” con @NYCSanitation:… https://t.co/b3cDjQ3vtm</t>
  </si>
  <si>
    <t>@quchulo9 @NYCSanitation Leaves can go w/organics (if you have) or reg garbage in black bags/unlined containers. More: //on.nyc.gov/2ffS39K</t>
  </si>
  <si>
    <t>#Winteriscoming. Register to be @NYCSanitation temporary snow laborer &amp;amp; get paid. Details: https://t.co/WTZdh37sPv… https://t.co/D33fphco82</t>
  </si>
  <si>
    <t>@Geiser1958 @nycgov We're at https://t.co/OJr7wXyWkp. See recent heat post here: https://t.co/1cDafVrH5P DM/PM if we can further assist.</t>
  </si>
  <si>
    <t>The Home Energy Assistance Program (HEAP) can help low-income NYers pay for heat, equipment, &amp;amp; repairs. Apply now: https://t.co/q3HKg7e2Un</t>
  </si>
  <si>
    <t>Today is the last day you can nominate an awesome public school #teacher for the @NYCschools Big Apple Awards:… https://t.co/IykWWE6hIm</t>
  </si>
  <si>
    <t>@karietterose Sorry to hear this.Please DM time/ # you called from so we can research your call &amp;amp;file wild animal in park for you.Thank you.</t>
  </si>
  <si>
    <t>@jbeyda @NYCMayorsOffice Sorry to hear. Report traffic trend: https://t.co/BijO0Lp7ek. Send concern to police dept:  https://t.co/wAxD4pXP9N</t>
  </si>
  <si>
    <t>@greenskeptic You can refile &amp;amp; indicate vehicle still there: https://t.co/a8tnNJIrCp Send feedback to Police online: https://t.co/wAxD4pXP9N</t>
  </si>
  <si>
    <t>@AquariusGiants1 Sorry to hear. MTA handles station/escalator complaints. You can file directly w/them online here: https://t.co/hag1r7xc0A</t>
  </si>
  <si>
    <t>@Jiggie914 Thanks for concern. In future, please call 311/use App to request outreach: https://t.co/C1NLKUfvKK (acct monitored M-F 9AM-5PM)</t>
  </si>
  <si>
    <t>No heat/hot water? File online here: https://t.co/wVq7MQ1MTr, w/our free App: https://t.co/k8GfaclMHD or DM weekday… https://t.co/j67TU8kUqD</t>
  </si>
  <si>
    <t>Today, Friday, December 9 is a GridLock Alert day: https://t.co/e41dlnAgtZ  Consider taking public transit:… https://t.co/U6gw02j5q8</t>
  </si>
  <si>
    <t>#tbt la semana pasada cuando llegamos a nuestra publicación numero #311! Véalo aquí y síguenos para ver #Cubert:… https://t.co/GuHtNbraMk</t>
  </si>
  <si>
    <t>@losrambles @MTA Hi, you can submit your suggestions and concerns to the MTA directly with this online form: https://t.co/hag1r7xc0A</t>
  </si>
  <si>
    <t>Whether it’s a real or artificial tree, safety comes first. @FDNY has fire prevention tips to have a good time:… https://t.co/cuOTBipYla</t>
  </si>
  <si>
    <t>@2AvSagas @Jalawsons Thanks for the mention. You can report a public safety concern to Police Dept. w/online form: https://t.co/wAxD4pXP9N</t>
  </si>
  <si>
    <t>#throwbackthursday last week when we hit our #311 #Instagram post! See our GIF &amp;amp; follow us to see #Cubert in action… https://t.co/AVqjldtJy1</t>
  </si>
  <si>
    <t>@kretchmar We're not sure. DOTManhattanBoroughCommissioner office will have more info. You can reach by email/phone: https://t.co/2XCUU7cB9s</t>
  </si>
  <si>
    <t>@NYC_DOT @liammcbrooklyn PleaseDM&amp;amp;we'll file damaged sign&amp;amp;tree for you.Or file online/App: https://t.co/t6tTp0nY3K &amp;amp; https://t.co/mVRpfEHRYJ</t>
  </si>
  <si>
    <t>@NYC_DOT @gravenerito Thanks for mention &amp;amp; we're sorry to hear.Please call 311 to report roadway debris w/phone rep: https://t.co/sTXDgWnd41</t>
  </si>
  <si>
    <t>Enjoy a family DIY candle project with #snowflakes &amp;amp; stars, w/@NYCParks on Sat. 12/10 10AM-1PM in #TheBronx:… https://t.co/PPXgr4FEBT</t>
  </si>
  <si>
    <t>@JeffKurzon @BilldeBlasio @CM_MargaretChin DM &amp;amp; we’ll refile. Or file here: https://t.co/MXMhhSVZLG Contact CB: https://t.co/cdf1vmkQp3 2/2</t>
  </si>
  <si>
    <t>@JeffKurzon @BilldeBlasio @CM_MargaretChin See SR lookup; summons issued: https://t.co/CYy6UeX1hg Prop. owner is responsible for repair 1/2</t>
  </si>
  <si>
    <t>Don’t forget tmrw Fri. Dec. 9 is the last day to nominate a public school teacher for @NYCSchools Big Apple Awards:… https://t.co/twi3vRgSGK</t>
  </si>
  <si>
    <t>@kretchmar Check active street permits: https://t.co/C7a2cXldKU. Your Community Board may have info/assistance: https://t.co/Vy3S6wdEGv 2/2</t>
  </si>
  <si>
    <t>@kretchmar Sorry to hear. Even if they have variance, you can report afterhours jackhammer noise to DEP: https://t.co/2KULvb99GG  1/2</t>
  </si>
  <si>
    <t>@rollerbladeA Thanks for pic. DM &amp;amp; we’ll file: https://t.co/REiT04fA9q. Or you can report broken payphone online: https://t.co/XsEVXUoP5z</t>
  </si>
  <si>
    <t>@jordanstark Please call for inprogress traffic https://t.co/Khx1tvfvbI can use form to report chronic issue.Or DM (w/email) &amp;amp; we'll file</t>
  </si>
  <si>
    <t>@SandyMacDonald @NYCMayorsOffice @nycmelody Yes,drivers can't refuse ride based on destination in NYC while on duty: https://t.co/seMcaNAZMN</t>
  </si>
  <si>
    <t>@Ykaner89 @ChaimDeutsch You can reach out to DOT Brooklyn Borough Commissioner by phone/online for more info: https://t.co/2XCUU7cB9s. 2/2</t>
  </si>
  <si>
    <t>@Ykaner89 @ChaimDeutsch Status updates come from responding agency. DOT notes: "sign replacement program will address condition" 1/2</t>
  </si>
  <si>
    <t>NYC offers confidential #birthcontrol for adults: https://t.co/cldlrj2wea &amp;amp; teens: https://t.co/N2ZgTcCqMq no matter immigration status.</t>
  </si>
  <si>
    <t>@meganellen Sorry to hear. You can report noise from vehicle inprogress online: https://t.co/BPAOO2slaF  or w/app: https://t.co/FRAGoS7hV4</t>
  </si>
  <si>
    <t>@BKinBK Thanks for filing. Check the status of your SR online here: https://t.co/CYy6UeX1hg Your CB may have info: https://t.co/cdf1vmkQp3</t>
  </si>
  <si>
    <t>@jordanstark  Also can report street noise when in progress: https://t.co/4LLltBTl20 &amp;amp; send police dept concern: https://t.co/4dlnuEjelj 2/2</t>
  </si>
  <si>
    <t>@jordanstark In future, please call 311 to report non-emergency traffic condition for local precinct response: https://t.co/4LLltBTl20 1/2</t>
  </si>
  <si>
    <t>#NYCASP está suspendida hoy, jueves 12/8 por la Concepción Inmaculada. Los parquímetros están vigentes: https://t.co/D9WkiUoVG7</t>
  </si>
  <si>
    <t>#NYCASP is suspended today, Thu.12/8 for Immaculate Conception. Parking meters are in effect. Get the #NYC311 App: https://t.co/FRAGoS7hV4</t>
  </si>
  <si>
    <t>@CitiBikeNYC @Tri_State @ToysRUs @NYC_DOT @NYPDMTS Thanks for mention. Report illegal parking inprogress online/App: https://t.co/k8GfaclMHD</t>
  </si>
  <si>
    <t>@MosheVee If you like, you can send your concern to the Department of Health Commissioner using their online form:  https://t.co/CsUHVdTUNq</t>
  </si>
  <si>
    <t>@CleanUpSoHo @NYCSanitation Thanks for pics. Prop. owners must keep sidewalks clean. Report dirty sidewalk online: https://t.co/n87TgktfMZ</t>
  </si>
  <si>
    <t>#NYCASP estará suspendida mañana jueves, 8 de diciembre para la Concepción Inmaculada. Los parquímetros estarán vigentes.</t>
  </si>
  <si>
    <t>@Solomon_Ri Thanks for your photo. DM us borough/intersection/email &amp;amp; we'll file this for you. Or file online here: https://t.co/mNAyWxufRP</t>
  </si>
  <si>
    <t>@NYCMelody We're sorry to hear this. Report taxi driver for ride refusal online: https://t.co/Xo1kD5VSiZ  or w/app: https://t.co/k8GfaclMHD</t>
  </si>
  <si>
    <t>@YoelyNews @NYCASP Thanks for your post, we've corrected the day: https://t.co/tYJxzoxov5</t>
  </si>
  <si>
    <t>#NYCASP will be suspended tomorrow Thu, December 8 for Immaculate Conception. Parking meters remain in effect. Follow @NYCASP for updates.</t>
  </si>
  <si>
    <t>@looneylouey727 @NYCDHS Also mental health/substance assistance/referrals w/NYCWell. Call  888-NYC-WELL 24/7: https://t.co/7NrmvAi4tR  2/2</t>
  </si>
  <si>
    <t>@looneylouey727 @NYCDHS There is supportive housing available. See Health Dept. info here: https://t.co/yOFkDpF511 1/2</t>
  </si>
  <si>
    <t>1 night, 3000 #volunteers. Register to join @NYCDHS #HOPE2017 to help unsheltered vulnerable New Yorkers:… https://t.co/9Tl7hz2j3q</t>
  </si>
  <si>
    <t>@samsonaza @dca37 You can file blocked hydrant as illegal parking inprogress online: https://t.co/0gQuEvv4Hv or app: https://t.co/k8GfaclMHD</t>
  </si>
  <si>
    <t>@FreudPrefect Your community board: https://t.co/cdf1vmkQp3  &amp;amp; DOT Borough Commissioner: https://t.co/0vu0LvtCWw  also may have info 2/2</t>
  </si>
  <si>
    <t>@FreudPrefect If bldg construction, info wouldn't appear in that DOT permit mngmnt system. Report to DOB here: https://t.co/ENJ4hnuYxm  1/2</t>
  </si>
  <si>
    <t>If there's no heat/hot water in your apt, you can report it w/ #NYC311 App: https://t.co/FRAGoS7hV4  or online:… https://t.co/1ymN5RsnBk</t>
  </si>
  <si>
    <t>@Fresh_Kermit @jooltman @NYC_DOT @subtle116 @CM_MargaretChin Please DM &amp;amp; we'll file for you. Or report online: https://t.co/S2cXpWl2tu</t>
  </si>
  <si>
    <t>@NYCSanitation @wayx3 Thanks for the tag. You also can DM the location and we'll file this report for you: https://t.co/6eL8JPHBRI</t>
  </si>
  <si>
    <t>@MandyShannonNYC @MTA Yes,you can file afterhour construction noise online to DEP: https://t.co/2KULvb99GG &amp;amp; to MTA: https://t.co/hag1r7xc0A</t>
  </si>
  <si>
    <t>@NYC_DOT @jooltman You also can contact Brooklyn DOT Boro Commissioner to report your concern about contractor: https://t.co/2XCUU7cB9s 2/2</t>
  </si>
  <si>
    <t>@NYC_DOT @jooltman Thanks. In the future, you can report illegal parking in-progress online or w/App: https://t.co/0gQuEvv4Hv 1/2</t>
  </si>
  <si>
    <t>@FreudPrefect Sorry to hear. Report noise to DEP: https://t.co/2KULvb99GG &amp;amp; if bldg construct,afterhour work to DOB: https://t.co/ENJ4hnuYxm</t>
  </si>
  <si>
    <t>@parisazo Sorry to hear. Even w/permit, you can report afterhours noise: https://t.co/2KULvb99GG CB may have info: https://t.co/92aELY3lJZ</t>
  </si>
  <si>
    <t>@LeeTomson @Hearst Sorry to hear. Please DM details re: light source so we can further assist w/o character limit: https://t.co/REiT04fA9q</t>
  </si>
  <si>
    <t>@NYCTBus @coccjr_jerry Hi, you also can reach out to Manhattan DOT Borough office: https://t.co/2XCUU7cB9s. DM if we can further assist.</t>
  </si>
  <si>
    <t>@HildaBikes @NYC_DOT  Thanks for pics. DM &amp;amp; we'll refile as cave-in for you &amp;amp; incl. this SR. Or file cave-in here: https://t.co/S3sHSrtExs</t>
  </si>
  <si>
    <t>Make a child in need happy by donating new, unwrapped toys the US Marine Corps #ToysforTots through December:… https://t.co/2Cj3CRgFpn</t>
  </si>
  <si>
    <t>See #HeatSeason regs: https://t.co/lkVgau5fQ6   Report no heat online: https://t.co/wVq7MQ1MTr   or w/311 App:… https://t.co/3h9R5v7nqT</t>
  </si>
  <si>
    <t>RT @NYCSanitation: Our annual snow drill starts tonight! You may see snow fighting vehicles on city streets. It's officially snow season! h…</t>
  </si>
  <si>
    <t>@SikLunChutNay @NYCParks @CM_MargaretChin @NYPDONeill You can report noise from park in-progress online here: https://t.co/WWrBhpXQm8 2/2</t>
  </si>
  <si>
    <t>@SikLunChutNay @NYCParks @CM_MargaretChin @NYPDONeill Permit is required for loudspeaker, megaphone or stereo: https://t.co/NOKEmjZNpD 1/2</t>
  </si>
  <si>
    <t>¿Buscas métodos anticonceptivos? Hay ayuda sin importar #estatusmigratorio. Todo servicio es confidencial: https://t.co/eGtEjR0TX2</t>
  </si>
  <si>
    <t>Need to report a problem in a taxi or car service? It's now easier than ever from the free #NYC311 #MobileApp:… https://t.co/H58pG80CWL</t>
  </si>
  <si>
    <t>@thesunismelting @NYCMayor @NYPDnews Please call us at 311 to report a past hate crime w/ telephone rep. Thank you. https://t.co/SWUlM5jqOe</t>
  </si>
  <si>
    <t>If you’re visiting NYC, you can find the best places to eat, sleep, greet and see, with the Official Visitor Guide: https://t.co/r1kYgf1bVM</t>
  </si>
  <si>
    <t>MT @NYCOEM: It’s National Influenza Vaccination Week. It's not too late to #GetAFluVax! #NIVW2016 Find a NYC site:… https://t.co/eoXOyztTRK</t>
  </si>
  <si>
    <t>@bluechris826 Please call us 212-NEW-YORK/212-639-9675 from outside NYC, or DM if we can assist. Unfortunately, we're not able to call you.</t>
  </si>
  <si>
    <t>Have you seen our employee profiles yet? Follow us on @YouTube: https://t.co/HIBeGKLCav. Watch, Like, Share,&amp;amp; Subsc… https://t.co/nqZbLbioEz</t>
  </si>
  <si>
    <t>@NYC_DOT @babydollchula Please call us at 311 to report an issue with a City vehicle w/a phone representative. Thank you.</t>
  </si>
  <si>
    <t>@JustinChapple @NYCMayorsOffice @BilldeBlasio Find CB: https://t.co/92aELY3lJZ &amp;amp;file afterhr construction w/DOB: https://t.co/ENJ4hnuYxm 2/2</t>
  </si>
  <si>
    <t>@JustinChapple @BilldeBlasio @NYPD1Pct @NYCMayorsOffice Sorry to hear.See permits: https://t.co/C7a2cXldKU. Comm. Board may have info 1/2</t>
  </si>
  <si>
    <t>@TrippinInaBox Your Community Board also may have info about construction in the area. You can find yours here: https://t.co/92aELY3lJZ 2/2</t>
  </si>
  <si>
    <t>@TrippinInaBox We're not sure. You can see st. construction permits: https://t.co/C7a2cXldKU Report noise here: https://t.co/2KULvb99GG 1/2</t>
  </si>
  <si>
    <t>@Kir_Chen Even w/variance, you can report construction noise w/DEP: https://t.co/2KULvb99GG &amp;amp; afterhours work w/DOB: https://t.co/ENJ4hnuYxm</t>
  </si>
  <si>
    <t>@sarasmoe You also can check complaint history for building by address: https://t.co/B44XZBSQ6d Feel free to DM if we can further assist</t>
  </si>
  <si>
    <t>@sarasmoe If boiler is defective you can report it to Bldgs. Dept. here: https://t.co/vJfAJ4BW8Q or DM address &amp;amp; email &amp;amp; we'll file for you.</t>
  </si>
  <si>
    <t>@sarasmoe You should file no/not enough hot h2O anytime there's lack so HPD is aware &amp;amp; indicate on form if it happens at particular time(s)</t>
  </si>
  <si>
    <t>Are you interested in buying a home? @NYCHousing  has a list of available homes, down payment assistance, &amp;amp; more: https://t.co/FjWevV7KJJ</t>
  </si>
  <si>
    <t>@Samson15288897 Sorry for any confusion. DM means Direct Message. You can send us a direct message with this link: https://t.co/6eL8JPHBRI</t>
  </si>
  <si>
    <t>Our 311th @instagram post. #GIF made of our 310 previous images + #NYC311 #Cubert = #311 #WeAreNYC311 #Instagram… https://t.co/yAkycLtdnj</t>
  </si>
  <si>
    <t>@livs046 Hi, please use this link to DM more location details so we can research &amp;amp; advise best next step: https://t.co/6eL8JPHBRI Thank you.</t>
  </si>
  <si>
    <t>@Jackson1009 Yes, leaves can go w/organics (if you have) or reg garbage in black bags or unlined containers. Details: //on.nyc.gov/2ffS39K</t>
  </si>
  <si>
    <t>Quieres adoptar una #mascota? @nycacc tiene cientos de animales disponibles cada día. Fotos y ubicaciones:… https://t.co/8vVa6hcOkr</t>
  </si>
  <si>
    <t>Discrimination is illegal in NYC. You can report discrimination/bias to @NYCCHR by calling 311: https://t.co/EQ0ELpMtuh   #HumanRights</t>
  </si>
  <si>
    <t>Are you a resident with an item that's too large to fit in garbage bin/bag? Learn how to dispose of bulk items: https://t.co/oyhGE4deiW</t>
  </si>
  <si>
    <t>@OscarSalguero @nycHealthy Check status: https://t.co/CYy6UeX1hg &amp;amp; HPD history: https://t.co/B44XZBSQ6d DM SR #s if we can further assist.</t>
  </si>
  <si>
    <t>@dk725ny @NYCMayor You can report non-emergency illegal parking inprogress online: https://t.co/0gQuEvv4Hv or w/App: https://t.co/k8GfaclMHD</t>
  </si>
  <si>
    <t>@dmdnycphoto DOT has information about bike safety, regulations and rules when out in the street: https://t.co/jMYphAJdnN 2/2</t>
  </si>
  <si>
    <t>@dmdnycphoto Sorry to hear. Always call 911 to report hazardous biking in progress. If chronic, report to NYPD: https://t.co/z1t1mhQZnc 1/2</t>
  </si>
  <si>
    <t>@NYC_DOT @johnnymace Thanks for the tag.Please DM &amp;amp; we'll file failed street repair for you. Or you can file online: https://t.co/YnJ8TJxvvd</t>
  </si>
  <si>
    <t>@OscarSalguero @nycHealthy You can report noheat anytime, online: https://t.co/0YA2q5RL3C or App: https://t.co/k8GfaclMHD or DM &amp;amp;we'll file.</t>
  </si>
  <si>
    <t>@sarasmoe Get legal assistance: https://t.co/FzLyxXtTZG &amp;amp; free mediation assistance: https://t.co/sX91v84C1X  2/2</t>
  </si>
  <si>
    <t>@sarasmoe If landlord's unresponsive, contact Housing Court: https://t.co/lpht487tF2. Tenant Harassment info: https://t.co/givGMPPdEv 1/2</t>
  </si>
  <si>
    <t>@kwarnockny Sorry to hear this. Report lost item in yellow taxi online: https://t.co/jBKVSaj5g5  or w/311app: https://t.co/FRAGoS7hV4</t>
  </si>
  <si>
    <t>@_iL33t_ Please DM us your email (for confirmation msg) &amp;amp; we'll file resurfacing request for you. Or file online: https://t.co/S3sHSrtExs</t>
  </si>
  <si>
    <t>@mmarra18 If not, report lost item in yellow taxi: https://t.co/dvJFLJSsAc. Call Police Lost &amp;amp; Found Centers: https://t.co/RyJtpcBZCG 2/2</t>
  </si>
  <si>
    <t>@mmarra18 Sorry to hear that. If you have medallion number, you can search for the taxi garage contact number: https://t.co/trHlgxm7Bl 1/2</t>
  </si>
  <si>
    <t>@J_uptown @transalt Thanks for your pic. In future, you can report illegal parking in-progress online or w/311 App: https://t.co/EMYJOu6Ith</t>
  </si>
  <si>
    <t>It’s the season of giving – so why not give a cute, adorable animal a home? Find your new friend with @NYCACC:… https://t.co/vhYcn36NHD</t>
  </si>
  <si>
    <t>@realdudenyc @BenKallos @NYPD19Pct @NYPDnews @NYCMayorsOffice @nycgov Report illegal pkng inprogress online/app: https://t.co/0gQuEvv4Hv</t>
  </si>
  <si>
    <t>@Samson15288897 Sorry to hear that. You can always also try 212-NEW-YORK (212-639-9675) &amp;amp;/or check w/mobile carrier. DM if we can assist.</t>
  </si>
  <si>
    <t>@JKub_eXtreme @dianadoesnt We're sorry to hear this. If you're not satisfied w/ HPD's response, send concern here: https://t.co/dmCPqHO9Qv</t>
  </si>
  <si>
    <t>@Katweeta @nycHealthy Pharmacies may have take-back/dropoff.Or mix w/coffeegrounds/kittylitter &amp;amp;discard w/ garbage: https://t.co/THCjyKO7Qs</t>
  </si>
  <si>
    <t>@tommykeegs Report excessive/afterhours construction noise to DEP: https://t.co/2KULvb99GG &amp;amp; afterhours work to DOB: https://t.co/WB3l2lK3JZ</t>
  </si>
  <si>
    <t>@dianadoesnt If you like, DM your SR #s and we’ll research &amp;amp; advise best next steps. Thank you: https://t.co/6eL8JPHBRI 2/2</t>
  </si>
  <si>
    <t>@dianadoesnt We’re sorry to hear this. HPD may have add’l info on their website (you can search by address): https://t.co/B44XZBSQ6d 1/2</t>
  </si>
  <si>
    <t>@emilyvantassel Hi, DM w/ email &amp;amp; any add'l location details, &amp;amp; we'll file for you. Or you can file online here: https://t.co/wlndgZIJv5</t>
  </si>
  <si>
    <t>@regularmike @RadioCity @NYPD17Pct Sorry to hear. In future, call 911 for disorderly group/dangerous situation: https://t.co/ohXEifqYB3</t>
  </si>
  <si>
    <t>@adamjlurie We didn't have an alert. We hope it's resolved,but if not, DM &amp;amp; we'll file for you. Or file online: https://t.co/dNUyZEeEFx</t>
  </si>
  <si>
    <t>@MarisaKabas  If it's bldg construction, you can also report work being done afterhours or without permit to DOB: https://t.co/WB3l2lK3JZ</t>
  </si>
  <si>
    <t>@MarisaKabas Sorry to hear. Report jackhammer noise to DEP: https://t.co/2KULvb99GG &amp;amp; see active street permit: https://t.co/C7a2cXldKU 1/2</t>
  </si>
  <si>
    <t>@SadGalNYC @NYPD19Pct Sorry to hear. In future,report club/bar noise in progress: https://t.co/JoJ4VBolch or w/App: https://t.co/k8GfaclMHD</t>
  </si>
  <si>
    <t>@CarlOByrne @randomirish @NYC_DOT We confirmed it’s been removed. In future, you can file bus shelter graffiti here: https://t.co/QPjBCiqEaG</t>
  </si>
  <si>
    <t>@BWelnicki Please DM us your service request numbers so we can research and advise on best next step. Thank you. https://t.co/6eL8JPHBRI</t>
  </si>
  <si>
    <t>@johnburke Sorry to hear. We didn't have an alert. We hope there's no longer need, but DM if we can file, or online: https://t.co/dNUyZEeEFx</t>
  </si>
  <si>
    <t>@GallantStream @NYC_DOT We've confirmed that it’s been removed. In future, you can file bus shelter graffiti online: https://t.co/QPjBCiqEaG</t>
  </si>
  <si>
    <t>@mrslentils @NYC_DOT Thanks, we've confirmed it’s been removed. In future, you can file bus shelter graffiti online: https://t.co/QPjBCiqEaG</t>
  </si>
  <si>
    <t>@shmarie @NYC_DOT Thanks,we've confirmed that it’s been removed.In future, you can file bus shelter graffiti online: https://t.co/QPjBCiqEaG</t>
  </si>
  <si>
    <t>@Rajvi_Sandiford Sorry to hear that. If you like, you can send your taxi concern to TLC Commissioner w/online form: https://t.co/P1OChVyM08</t>
  </si>
  <si>
    <t>@stjohjohnpaul18 Sorry to see. If haven't yet, report defective elevator here: https://t.co/8VZ6gK0jJP or DM w/email &amp;amp; we'll file for you.</t>
  </si>
  <si>
    <t>@sarasmoe Sorry to hear that. DM w/address &amp;amp; email (confirmation) &amp;amp; we'll report no hot water. Or file online/app: https://t.co/0YA2q5RL3C</t>
  </si>
  <si>
    <t>NYers 21 &amp;amp; under who are pregnant or parents can get help with school, parenting skills, job training, &amp;amp; more: https://t.co/1rTUPcIRXn</t>
  </si>
  <si>
    <t>Hay 1.6 millón usuarios de la aplicación de #NYC311. Únete al movimiento y descargue la aplicación: https://t.co/D9WkiUoVG7</t>
  </si>
  <si>
    <t>FACT: every neighborhood in NYC has a Community Board. Find yours with your address online here: https://t.co/92aELY3lJZ</t>
  </si>
  <si>
    <t>Did you know that we're also on @facebook , @instagram , and @YouTube? Check us out and Like, Follow, &amp;amp; Share – sea… https://t.co/sBOvyPt6Ed</t>
  </si>
  <si>
    <t>Need to file a complaint? Check #NYCASP or @NYCSchools status?  Join the #mobilemovement. Download our free app:… https://t.co/mTKuVT3JQ7</t>
  </si>
  <si>
    <t>Es la temporada de dar para ayudar. Busca una oportunidad, evento o lugar donde tú puedes donar bienes en NYC: https://t.co/n5St3KFQs3</t>
  </si>
  <si>
    <t>It’s the #seasonofgiving. Find a #volunteer opportunity w/ @NYCService &amp;amp; give your time to help those in need:… https://t.co/ZYCdu8B184</t>
  </si>
  <si>
    <t>Learn about #NYCHeatSeason requirements: https://t.co/o9CZMww563  and report lack online or w/#NYC311 App:… https://t.co/vX5M9byKJe</t>
  </si>
  <si>
    <t>It’s Int'l Day of Persons w/Disabilities. @NYCDisabilities helps w/housing, jobs, education, transportation &amp;amp; more:… https://t.co/JiUvl6BtyV</t>
  </si>
  <si>
    <t>@AchtungBaby115 Subway station elevators are maintained by MTA. You can report this to MTA directly w/online form: https://t.co/hag1r7xc0A</t>
  </si>
  <si>
    <t>En #NYC siempre hay algo que hacer. Busque un evento cercano con el calendario de eventos de la ciudad: https://t.co/eag88b2sHc</t>
  </si>
  <si>
    <t>@ss_vern We're sorry to hear that. You can file taxi complaint online: https://t.co/TLuhhsdA5c or w/311 App: https://t.co/FRAGoS7hV4</t>
  </si>
  <si>
    <t>@delwichejody You can submit your comments to the Mayor by mail or with the online form here: https://t.co/JM7nuNadQG</t>
  </si>
  <si>
    <t>@KFed42 You can report bldg construction violation here: https://t.co/ENJ4hnuYxm Please send DM if we can further assist &amp;amp;/or file for you.</t>
  </si>
  <si>
    <t>Our YouTube videos show how to use #NYC11 mobile app to file heat/hot water, broken sidewalk, muni meter &amp;amp; pothole: https://t.co/Xn0ESVTigB</t>
  </si>
  <si>
    <t>@assistantsha We're sorry to hear this. Please DM ServReq #s w/this link: https://t.co/6eL8JPHBRI so we can research &amp;amp; advise. Thank you.</t>
  </si>
  <si>
    <t>If you had great NYC taxi/car ride &amp;amp; want to let TLC know, submit driver compliment here: https://t.co/oJwTcPYhWz https://t.co/TmBIBNqdPg</t>
  </si>
  <si>
    <t>Get @NYC_DOT ’s 2017 Alternate Side Parking Rules calendar online &amp;amp; download: https://t.co/cAGCWz0yLf &amp;amp; follow… https://t.co/FvHz6gihtS</t>
  </si>
  <si>
    <t>Discrimination is illegal in NYC. You can report discrimination/bias to @NYCCHR by calling 311:… https://t.co/9lRKC9EUZy</t>
  </si>
  <si>
    <t>@dePlantagenet @MTA Sorry to hear. You can report delay issues/file complaint with MTA directly w/their online form: https://t.co/hag1r7xc0A</t>
  </si>
  <si>
    <t>Int’l Day of Persons w/Disabilities is tomrrow Sat 12/3. @NYCDisabilities has housing, jobs, education info &amp;amp; more: https://t.co/Zot4qh1m6P</t>
  </si>
  <si>
    <t>@NYCMayorsOffice @NYCdeb8tr @NYCMayor Thanks for mention. Please DM your address &amp;amp; we'll check schedule/alerts/file missed collection.</t>
  </si>
  <si>
    <t>@noneck SR #s aren’t included in Open Data to comply with our Privacy Policy (principle 3): https://t.co/BrZclT5MTf</t>
  </si>
  <si>
    <t>@evacherosa @MTA Sorry to hear that. You can report loud music in train to the MTA directly w/their online form: https://t.co/hag1r7xc0A</t>
  </si>
  <si>
    <t>@AlawalSheikh @NYCSanitation Please DM more details about the complaint so we can research &amp;amp; further advise: https://t.co/REiT04fA9q Thanks.</t>
  </si>
  <si>
    <t>@subtle116 @NYC_DOT Thanks for your pic. Please DM &amp;amp; we'll file damaged bike rack for you, and reply w/ SR # https://t.co/6eL8JPHBRI</t>
  </si>
  <si>
    <t>¿Tienes un artículo que es demasiado grande y no cabe en la basura? Aprende como desecharlo con @NYCSanitation: https://t.co/kTikmnBDnc</t>
  </si>
  <si>
    <t>@mattybouncer Call 911 if immediate danger: https://t.co/ZCAzHJrRTy. If not emergency, call 311 to report w/phone rep, precinct response.</t>
  </si>
  <si>
    <t>@hollithoughts Please call 311 to speak w/phone rep &amp;amp;/or report location illegally operating as hotel; Bldgs Dept can investigate. Thanks.</t>
  </si>
  <si>
    <t>Our 311th @instagram post. #GIF made of our 310 previous images + #NYC311 #Cubert = #311 #WeAreNYC311 #Instagram… https://t.co/LeHbMHknmh</t>
  </si>
  <si>
    <t>@MamieParris We're sorry to hear. Always call 911 to report harassment: https://t.co/ENINzCZkIk DM if we can further assist/report to agency</t>
  </si>
  <si>
    <t>@D00RZ0NE @NYPD84Pct @NYPDnews We can file non-emergency traffic signal conditions via DM: https://t.co/6eL8JPHBRI M-F, 9AM-5PM. Thanks. 2/2</t>
  </si>
  <si>
    <t>@D00RZ0NE @NYPD84Pct @NYPDnews Always call 911 if there's immediate danger: https://t.co/ZCAzHJrRTy or 311, 24/7/365, for non-emergency 1/2</t>
  </si>
  <si>
    <t>Join @NYCParks this Sat. 12/3 for their Family Art Project – storytelling &amp;amp; drawing signs of #winter in #TheBronx:… https://t.co/mfrrtTmBaZ</t>
  </si>
  <si>
    <t>@DeportTrump16 @NYPDnews You can send your concern to the police commissioner w/online form: https://t.co/wAxD4pXP9N or DM us &amp;amp; we’ll file.</t>
  </si>
  <si>
    <t>@Daniel_A_Solow @NYPDHighway @eric_ulrich Thanks for reporting.  After 24 hours you can check status here w/SR #: https://t.co/CYy6UeX1hg</t>
  </si>
  <si>
    <t>@SmoKeMonsTreSs @NYCSanitation Hi,  you can dispose wooden dresser as bulk on garbage collection day. Details: https://t.co/TJt29K0B7Q</t>
  </si>
  <si>
    <t>@runsammrun Sorry to hear that. We hope there's no future need, but you can always call 911 again to get an update on your initial call.</t>
  </si>
  <si>
    <t>@runsammrun We're not sure.  You can send your question to the police department using this online form: https://t.co/wAxD4pXP9N</t>
  </si>
  <si>
    <t>@D00RZ0NE @nyctaxi Always call 911 for reckless driving in progress. File driver complaint to TLC online or w/App: https://t.co/k8GfaclMHD</t>
  </si>
  <si>
    <t>@_the_F1SH_ @511NYC @NYCParks @NYC_DOT Thanks for your posts. We’re responding to your Direct Message where there’s no character limit.</t>
  </si>
  <si>
    <t>Hot water is req'd 365 days/yr. Report a lack with the #NYC311 app: https://t.co/FRAGoS7hV4  or online:… https://t.co/XaZCvq9e2x</t>
  </si>
  <si>
    <t>@MissSUZz @NYCTSubway Sorry to hear.Hope there's no future need,but also can file MTA concerns w/their online form: https://t.co/hag1r7xc0A</t>
  </si>
  <si>
    <t>@subtle116 @MTA @MTA_NYCT_Vocero If you like, you also can report maintenance issues to MTA w/their online form: https://t.co/hag1r7xc0A</t>
  </si>
  <si>
    <t>#nycforgivingfines The City is reducing penalties for violations in judgment from some city agencies until 12/12:… https://t.co/xt88UU2UGB</t>
  </si>
  <si>
    <t>@placardabuse We're sorry to see you had trouble &amp;amp; sent this to the App Team for review. Please let us know if it recurs. Thank you.</t>
  </si>
  <si>
    <t>@spark911uk Precinct responds when not handling emergencies. Send your concern to Police Commissioner w/online form: https://t.co/4dlnuEjelj</t>
  </si>
  <si>
    <t>Learn about the City's support &amp;amp; services available for those w/ #AIDS &amp;amp; #HIV: https://t.co/s3sKhfw5wo #WorldAIDSDay</t>
  </si>
  <si>
    <t>Si tienes un abrigo de invierno usado, dónalo al @newyorkcares “Coat Drive”. Busca ubicaciones: https://t.co/4oBF1Z96y1</t>
  </si>
  <si>
    <t>Discrimination is illegal in NYC. Call us at 311 to report discrimination/bias to @NYCCHR. More info: https://t.co/EQ0ELpMtuh   #HumanRights</t>
  </si>
  <si>
    <t>@subtle116 @NYC_DOT There is. You can report City-owned bike rack requiring repair here: https://t.co/jMYphAJdnN or DM &amp;amp; we'll file for you.</t>
  </si>
  <si>
    <t>NYers can get tested and treated for Hepatitis B: https://t.co/7N9arM5ZUP &amp;amp; learn about Hepatitis A prevention: https://t.co/VzqajyjEJF</t>
  </si>
  <si>
    <t>Our 311th @instagram post. #GIF made of our 310 previous images + #NYC311 #Cubert = #311 #WeAreNYC311 #Instagram… https://t.co/oLLR8nDyTy</t>
  </si>
  <si>
    <t>RT @NYCDisabilities: International Day for Persons with Disabilities this Sat 12/3. Celebrate w/ @AbleThrive &amp;amp; @Diversability at 5:30PM htt…</t>
  </si>
  <si>
    <t>@NYCDoITT @_Rock718 @NYC_DOT Thanks! DM st. address/intersection of pothole. We'll file for you &amp;amp; send SR#. Or file: https://t.co/YnJ8TJxvvd</t>
  </si>
  <si>
    <t>@_the_F1SH_ @511NYC @NYCParks @NYC_DOT Thanks for tagging us. Please DM us with more details so we can further advise w/o character limit.</t>
  </si>
  <si>
    <t>@nyctaxi @NiKEs_Nae Thanks for mention. Here's link to report ride refusal online: https://t.co/Xo1kD5VSiZ &amp;amp; w/app: https://t.co/FRAGoS7hV4</t>
  </si>
  <si>
    <t>If you have a lightly used coat, donate it to @NYCares . Drop it off at #NYPD precinct, #QueensLibrary or Warehouse… https://t.co/cfnlAzp5bp</t>
  </si>
  <si>
    <t>@eJam @NYCParks Thanks for your posts. We've responded to your Direct Message.</t>
  </si>
  <si>
    <t>@FaveRTsNYC If benches there previously, report as damaged (incl. missing in details): https://t.co/QPjBCiqEaG or DM &amp;amp; we'll file for you.</t>
  </si>
  <si>
    <t>@Richlamotte We're sorry for inconvenience; we weren't aware of outage. It may take vehicles 2hrs to show in system: https://t.co/u2nedNOGyj</t>
  </si>
  <si>
    <t>@brifasone @MTA @NYPD19Pct We're sorry to hear that. You can report afterhours construction noise online here: https://t.co/2KULvb99GG</t>
  </si>
  <si>
    <t>@conz Find Housing Court info: https://t.co/8JV9EfGfyD You also can DM your SR #s so we can research &amp;amp; further advise. Thank you.</t>
  </si>
  <si>
    <t>@subinev If not yet filed, DM name/ phone # (DEP req's) &amp;amp; we’ll file. Or you can file missing manhole cover online: https://t.co/YnJ8TJxvvd</t>
  </si>
  <si>
    <t>@Penny_May6 You can report illegal parking in progress (a blocked fire hydrant) online or w/311 App: https://t.co/EMYJOu6Ith</t>
  </si>
  <si>
    <t>@Brooklyn_278 Please reschedule an appointment by calling us at 311 or online here: https://t.co/2IDOMonk7L &amp;amp; place items curbside.  2/2</t>
  </si>
  <si>
    <t>@Brooklyn_278 Thanks for pic. Appliances must be placed at the curb w/backs facing street bet. 4PM &amp;amp; midnight the evening before appt. 1/2</t>
  </si>
  <si>
    <t>Seeking #AffordableHousing? Check #HousingConnect for info &amp;amp; applications for current housing lotteries: https://t.co/gV8K0Ifgtk</t>
  </si>
  <si>
    <t>@CentralParkNYC @ahinz88 @NYC_DOT Thanks for tag. Report streetlight issue online: https://t.co/HHn1tnJphf or w/App: https://t.co/FRAGoS7hV4</t>
  </si>
  <si>
    <t>Our 311th @Instagram post.  #GIF made of our 310 previous images + #NYC311 #Cubert = #311 #WeAreNYC311 #Instagram… https://t.co/qtHtxRSjKU</t>
  </si>
  <si>
    <t>@ObstructedView @TheGarden @TMfanSupport @NY_KnicksPR Please call us at 311to report past/chronic ticket scalping: https://t.co/NGlewLUTd9</t>
  </si>
  <si>
    <t>@NYCParks @eJam Thanks. Please  send Direct Message (incl. email for confirmation) &amp;amp; we'll file pedestrian bridge over street for you.</t>
  </si>
  <si>
    <t>La temporada de la calefacción termina 5/31. Repórtalo aquí: https://t.co/26vzM002c5   o con un DM, o con el app: https://t.co/D9WkiUoVG7</t>
  </si>
  <si>
    <t>@NYCHousing @lman161 Please DM us &amp;amp; we'll file no heat report &amp;amp; provide info/resources for further assistance. Thank you.</t>
  </si>
  <si>
    <t>Don’t forget to nominate an awesome public school teacher for @NYCSchools Big Apple Awards: https://t.co/byZWPsgmuy… https://t.co/vPA63IV2cc</t>
  </si>
  <si>
    <t>@tom01110111 We're glad to hear and no worries at all. We appreciate the update!</t>
  </si>
  <si>
    <t>@GABAGOOL128 Please call 911 to report gambling: https://t.co/Tpte3z5mxL. You can report smoking in a Park online: https://t.co/wqTNcYRe5z</t>
  </si>
  <si>
    <t>@tom01110111 Sorry to hear. It's working on our end. Do you have V3.25? Please DM if we can further assist: https://t.co/6eL8JPHBRI</t>
  </si>
  <si>
    <t>@NYC_DOT @KalmanYeger @CindyDarrison @cb14brooklyn Call 911 if immediate danger.If no emergency, DM &amp;amp; we'll file: https://t.co/S3sHSrtExs</t>
  </si>
  <si>
    <t>@amandadannucci @NotifyNYC Call 911 if immediate danger: https://t.co/ZCAzHJJsL6 If not emergency, please DM &amp;amp; we'll file traffic signal.</t>
  </si>
  <si>
    <t>@NYC_DOT @LeedsRadio Call 911 if immediate danger: https://t.co/ZCAzHJrRTy If not emergency, please DM &amp;amp; we'll file traffic signal condition</t>
  </si>
  <si>
    <t>Need to report a problem in a taxi or car service? It's now easier than ever from the free #NYC311 #MobileApp:… https://t.co/2XduEGpNlP</t>
  </si>
  <si>
    <t>Tomorrow, Wednesday, Nov. 30 is a #GridLockAlert day. See list: https://t.co/e41dlnAgtZ. Take public transit: https://t.co/QltOVuu8H5</t>
  </si>
  <si>
    <t>@NYCHousing @lenaivanova53 Please call 311 or DM &amp;amp; we'll file for you. Or you can file maintenance complaint online: https://t.co/RTdwhBiOAU</t>
  </si>
  <si>
    <t>@ananpj919 @NYCMayorsOffice @NYCHRA  Sorry to hear. Please call 311 to check status: https://t.co/5UqtNzPgmQ. DM if we can further assist.</t>
  </si>
  <si>
    <t>It’s #NYCHeatSeason through May 31: https://t.co/o9CZMwNFXB  DM us weekdays 9AM-5PM &amp;amp; we’ll file no heat for you:… https://t.co/M5XDRQnn93</t>
  </si>
  <si>
    <t>@hangolds If permitted, you can contact DOB borough office to inquire: https://t.co/X4ofExU4Dd. 2/2</t>
  </si>
  <si>
    <t>@hangolds If without permit, report online here or DM &amp;amp; we'll file: https://t.co/TUWO5KXm0w. 1/2</t>
  </si>
  <si>
    <t>@_iL33t_ You can submit suggestion to DOT Commissioner w/online form: https://t.co/7gAhmV1xqj &amp;amp; contact officials: https://t.co/qNa1ZUvcV1</t>
  </si>
  <si>
    <t>@tamarshmallows If too heavy/commercial address, owner must hire private removal. Please DM &amp;amp; we’ll file dumped item complaint for you. 2/2</t>
  </si>
  <si>
    <t>@tamarshmallows Sanitation collects bulk items from residential addresses if they can be lifted by 2 people: https://t.co/oyhGE4deiW 1/2</t>
  </si>
  <si>
    <t>@Xanderdash @NYCHousing Please DM us if there are any maintenance issues in your building or apartment. Thank you. 2/2</t>
  </si>
  <si>
    <t>@Xanderdash @NYCHousing You can find winter energy saving tips for tenants to keep in heat online: https://t.co/4MeB46Afpv. 1/2</t>
  </si>
  <si>
    <t>@EnchantedNiall_ Hi, thanks for your interest. We'll reply to your Direct Message so we can answer without character limit.</t>
  </si>
  <si>
    <t>@ParkSlopeDanger Thanks for pics.Please DM us &amp;amp; we'll file sidewalk blocked by construction. Or you can file online: https://t.co/vdfsvCKC9y</t>
  </si>
  <si>
    <t>If you see leaking fire hydrant, DM name &amp;amp; phone # &amp;amp; we’ll file for you (M-F,9AM-5PM). Or report online or w/App:… https://t.co/Y3TeJWBkm5</t>
  </si>
  <si>
    <t>@zooeypurdy @NYCHousing Thanks for tag.Yes, apts must have hot h2O 365 days/yr. Report no hot water online or w/App: https://t.co/0YA2q5RL3C</t>
  </si>
  <si>
    <t>¿Tienes materiales de arte, o suministros del hogar u oficina que no deseas? Donalo a @NYCulture’s @mftanyc:https://t.co/RfmT7ZAz13</t>
  </si>
  <si>
    <t>@NYC_DOT @sojdavilla @NYDailyNews Thanks. Please DM &amp;amp; we'll file street resurfacing request for you. Incl. email if you'd like confirmation.</t>
  </si>
  <si>
    <t>Need to report a problem in a taxi or car service? It's now easier than ever from the free #NYC311 #MobileApp:… https://t.co/uy0PeSzBV9</t>
  </si>
  <si>
    <t>@johnniemela1 Always call 911 to report fumes or smoke: https://t.co/zgvpgE3pO2</t>
  </si>
  <si>
    <t>If there's no heat/hot water in your apt, you can report it w/the #NYC311 App: https://t.co/FRAGoS7hV4   or online:… https://t.co/tqLHow2pXq</t>
  </si>
  <si>
    <t>@KezNat @NYCDOTxNWRC No. Please call us at 311 to report trash put out incorrectly with a telephone rep: https://t.co/NHRBmdIxvn</t>
  </si>
  <si>
    <t>@zooeypurdy @nationalgridus Sorry to hear. You can report utility complaint to NYState Public Service Commission: https://t.co/BNuggbmQex</t>
  </si>
  <si>
    <t>@CMRitterActor Sorry to hear that. You can check status of your service request online here: https://t.co/CYy6UeX1hg</t>
  </si>
  <si>
    <t>@haul_monitor @FDNY Unfortunately, there isn't. You can report potential fire hazard by calling 311. More info: https://t.co/y3WPTkDxu6</t>
  </si>
  <si>
    <t>#jobhunting? Curious about working for NYC? Search job openings: https://t.co/CEGroIcId9 &amp;amp; find #civilservice info:… https://t.co/XFCCKeMldc</t>
  </si>
  <si>
    <t>@PhilAIV You can find information for service animal definition &amp;amp; access here: https://t.co/PEEqnA5wE3. Please DM if we can further assist.</t>
  </si>
  <si>
    <t>@somedayboy @MtSinaiQueens @nycgov Please DM any SR #s you've filed so we can research &amp;amp; further advise: https://t.co/REiT04fA9q  Thankyou</t>
  </si>
  <si>
    <t>@KezNat @NYCDOTxNWRC You can report illegal parking in progress (a blocked fire hydrant) online or w/311 App: https://t.co/0gQuEvMFz3</t>
  </si>
  <si>
    <t>@Geenonation Hi, thanks for asking. Please put recycling items out Wed, 11/30 after 4PM for Thur, 12/1 collection: https://t.co/k7mQuJU8wU</t>
  </si>
  <si>
    <t>@TelmusArdu @NYCityAlerts We’re not sure. For future, follow @NotifyNYC &amp;amp; register for text/phone/email alerts here: https://t.co/kGYoUUfM1m</t>
  </si>
  <si>
    <t>@RaquelMGerardo Please use link to Direct Message details (incl, SR#s) so we can reply w/o character limit: https://t.co/REiT04fA9q. Thanks.</t>
  </si>
  <si>
    <t>@doublejnyc Sorry to hear. Please report odor issues in a subway station to the MTA directly with this online form: https://t.co/uwBB4pTtG4</t>
  </si>
  <si>
    <t>@nyctaxi @EdenLipke Sorry to hear.See accessible taxi &amp;amp; pickup info: https://t.co/mpv0q3hwc4 &amp;amp; file complaint here: https://t.co/TLuhhrVYGC</t>
  </si>
  <si>
    <t>@localecologist @nycHealthy @NYCBuildings You can report visible dense smoke from a rooftop chimney to DEP online: https://t.co/pLQ8iTyvd1</t>
  </si>
  <si>
    <t>@yothatzcrazy @NYCHA @NYCMayorsOffice @rubendiazjr Sorry to hear. Always report maintenance to NYCHA 24hr hotline: https://t.co/Ce1cjVGFAu</t>
  </si>
  <si>
    <t>@toonstosave She can find City's hospitals &amp;amp; clinics info: https://t.co/Mts8js4lGu &amp;amp; ask their financial counselors: https://t.co/95m0gHBaIa</t>
  </si>
  <si>
    <t>@LizzietheLizz @NYCTSubway @NotifyNYC @Straphangers You can report bedbugs to MTA w/their online form;link is here: https://t.co/hqKWHs3b0I</t>
  </si>
  <si>
    <t>Deaf &amp;amp; need non-emergency NYC info? Text us at 311-692, use Video Relay Service at (212) 639-9675 or TTY/Text Telephone at (212) 504-4115</t>
  </si>
  <si>
    <t>#Sordomudo, para info no urgente, envíe txt al 311-692, use el Servicio VRS en (212) 639-9675 o TTY/Text Telephone, (212) 504-4115</t>
  </si>
  <si>
    <t>Discrimination is illegal in NYC. Call us at 311 to report discrimination/bias to @NYCCHR. More info: https://t.co/EQ0ELpMtuh  #HumanRights</t>
  </si>
  <si>
    <t>NYC offers programs &amp;amp; information about low or no-cost testing and treatment for Hepatitis C. Find info &amp;amp; locations: https://t.co/BQGm3QuCvz</t>
  </si>
  <si>
    <t>NYC #HeatSeason is in effect through May 31 2017. See heat requirements: https://t.co/o9CZMww563    &amp;amp; report lack:… https://t.co/Brst0U2gHR</t>
  </si>
  <si>
    <t>La temporada de la calefacción termina 5/31. Repórtalo aquí: https://t.co/26vzM002c5 , o con un DM, o con el app: https://t.co/D9WkiUoVG7</t>
  </si>
  <si>
    <t>Need help paying for heating bills? Apply for HEAP with @NYCHRA, which provides emergency financial assistance: https://t.co/6hkDYgrV9y</t>
  </si>
  <si>
    <t>Kids ages 8-17 can join @NYCParks #free Millennium Basketball Winter League thru Jan. 20,2017. 1st come, 1st serve:… https://t.co/z5LxO0WG3z</t>
  </si>
  <si>
    <t>#Openenrollment began Nov 1. Are you covered? Get #healthinsurance application assistance &amp;amp; info: https://t.co/lkS6ahYKDd  #EnrollNY</t>
  </si>
  <si>
    <t>#FlashbackFriday to when @FDNY visited us last month to collaborate on best practices for #emergencypreparedness:… https://t.co/o2cd2utZJJ</t>
  </si>
  <si>
    <t>Discrimination is illegal in NYC. You can report discrimination/bias to @NYCCHR by calling 311: https://t.co/EQ0ELpuS5H  #HumanRights</t>
  </si>
  <si>
    <t>If you have no heat or hot water report it online: https://t.co/wVq7MQ1MTr  or with the free #NYC311 mobile App:… https://t.co/HkbmQBDJSq</t>
  </si>
  <si>
    <t>@Bangers2012 Please note this account monitored M-F, 9AM-5PM (except City holidays), but you can always call 311 or 212NEWYORK 24/7/365. 3/3</t>
  </si>
  <si>
    <t>@Bangers2012 NYC Dept. of Veterans Services also may have resources for future: https://t.co/RdBDp15sUV. 2/3</t>
  </si>
  <si>
    <t>@Bangers2012 We realize it’s too late for Thanksgiving meal now,but you can find food pantry/soup kitchen info: https://t.co/3HcPGasDLs. 1/3</t>
  </si>
  <si>
    <t>If you're still full from #thanksgivingdinner, get up &amp;amp; head out to a #free @NYCParks #ShapeUPNYC fitness class: https://t.co/4iwi0TWhDm</t>
  </si>
  <si>
    <t>@Jackson1009 Please call us at 311 to report missed leaf collection w/ telephone representative. Disposal info here: https://t.co/bQ1JW3NjjR</t>
  </si>
  <si>
    <t>@toonstosave You can call Borough ManagementOffice: https://t.co/1dSGmiBe1f &amp;amp; also send your concern to NYCHA Chair: https://t.co/sQemHaQovH</t>
  </si>
  <si>
    <t>@ReddTwo ASP in effect today 11/25. Follow @NYCASP  &amp;amp; download 311 App: https://t.co/FRAGoS7hV4. Schoolzone parking: https://t.co/XLLDw0OHmu</t>
  </si>
  <si>
    <t>@hoopsinthesun We're sorry to hear that. Please call NYCHA Customer Contact Ctr 718-707-7771 to report no water: https://t.co/Ce1cjVGFAu</t>
  </si>
  <si>
    <t>@Jonathanoreilly You can send your concern to the police commissioner using this online form here: https://t.co/wAxD4pXP9N</t>
  </si>
  <si>
    <t>@AliFenwick You can file traffic trend w/DOT: https://t.co/BijO0Lp7ek &amp;amp; send police commissioner feedback here: https://t.co/wAxD4pXP9N</t>
  </si>
  <si>
    <t>@JeGaskell You can file traffic trend w/DOT: https://t.co/BijO0Lp7ek  &amp;amp; send police commissioner feedback here: https://t.co/wAxD4pXP9N</t>
  </si>
  <si>
    <t>@Co_norma_nyc We're not sure.Your local precinct: https://t.co/0LhGW3LBi7  &amp;amp; local officials: https://t.co/qNa1ZUvcV1  may have more info.</t>
  </si>
  <si>
    <t>@Brooklyn_nyc1 @NYPD66Pct @NYCSanitation Or send to Sanitation Commiss- https://t.co/xKQ7ScoNIz &amp;amp;Police Commiss- https://t.co/wAxD4pXP9N 2/2</t>
  </si>
  <si>
    <t>@Brooklyn_nyc1 @NYPD66Pct @NYCSanitation Sorry to hear about that, please DM us &amp;amp; we'll file the agency  complaints for you. ½</t>
  </si>
  <si>
    <t>@les_cares Thanks for your post. Please call us at 311 to report a fire alarm box problem with a phone rep: https://t.co/rb5rY64Fuc</t>
  </si>
  <si>
    <t>Hoy, viernes, 11/25 no es un día festivo oficial. Las oficinas del gobierno están abiertas. Aprende más aquí: https://t.co/vaWUjnmzUS</t>
  </si>
  <si>
    <t>Today Friday 11/25, #dayafterThanksgiving is not an official holiday. NYC Gov’t offices are open. Details: https://t.co/RTpPTJKq9q</t>
  </si>
  <si>
    <t>.@NYCSchools están cerradas hoy, viernes, 11/25 por el receso del Día de Acción de Gracias. Estudiantes regresan a clase lunes, 11/28.</t>
  </si>
  <si>
    <t>.@NYCSchools are closed today Fri. Nov. 25 for Thanksgiving Recess. Students &amp;amp; staff return to class Mon. Nov. 28: https://t.co/2Nqk2PDzIy</t>
  </si>
  <si>
    <t>Las reglas de estacionamiento alterno y parquímetros están vigentes hoy, viernes, 11/25 (el día después el Día de Acción de Gracias).</t>
  </si>
  <si>
    <t>#NYCASP rules are in effect today, Friday Nov. 25 (#dayafterThanksgiving). Meters remain in effect. Follow @NYCASP: https://t.co/k8GfaclMHD</t>
  </si>
  <si>
    <t>Mañana, viernes 11/25, el día después el Día de Acción de Gracias, no es un día festivo oficial. Más info: https://t.co/vaWUjnmzUS</t>
  </si>
  <si>
    <t>Tomorrow Fri. Nov.25 #dayafterThanksgiving, is not an official holiday. Gov’t offices are open. ASP is in effect: https://t.co/RTpPTJKq9q</t>
  </si>
  <si>
    <t>If you’re cooking for #Thanksgiving, don’t pour cooking oil down the drain. Learn how to #ceasethegrease: https://t.co/p2k5gvNEkq</t>
  </si>
  <si>
    <t>#NYCHeatSeason runs through May 31. Have no heat? Report it online: https://t.co/wVq7MQ1MTr  or with 311 app:… https://t.co/T27RJVzVY7</t>
  </si>
  <si>
    <t>Hoy 11/24 es el Dia de Acción de Gracias. Las oficinas del gobierno y @NYCSchools están cerradas. Mas info: https://t.co/9nRe59h8Ef</t>
  </si>
  <si>
    <t>Today is #ThanksgivingDay. All NYC government offices, post offices,  &amp;amp; public schools are closed: https://t.co/yjbXqdaIsQ</t>
  </si>
  <si>
    <t>Today is the 90th annual @Macys #ThanksgivingDayParade starting at 9AM. Learn more here: https://t.co/3YRKGYzGDt https://t.co/st3gwaVCrP</t>
  </si>
  <si>
    <t>Las escuelas públicas de NYC están cerradas hoy jueves 11/24 y mañana, viernes 11/25 por el #DiadeAccióndeGracias: https://t.co/WDGCfjj8iu</t>
  </si>
  <si>
    <t>NYC public schools are closed today Thu. 11/24 &amp;amp; tmrw, Friday, 11/25 for #Thanksgiving. See @NYCSchools calendar: https://t.co/2Nqk2PDzIy</t>
  </si>
  <si>
    <t>Hoy, jueves, 24 de noviembre es el Dia de Acción de Gracias. #NYCASP y parquímetros están suspendidas: https://t.co/D9WkiUoVG7</t>
  </si>
  <si>
    <t>Today, Thursday, November 24 is #Thanksgiving. #NYCASP &amp;amp; parking meters are suspended. Download the #NYC311 App: https://t.co/k8GfaclMHD</t>
  </si>
  <si>
    <t>Need to report a problem in a taxi or car service? It's now easier than ever from the free #NYC311 #MobileApp:… https://t.co/3JFMnILp2F</t>
  </si>
  <si>
    <t>@nobbychi We’re sorry to see this. Report a yellow taxi driver overcharging online https://t.co/TLuhhsdA5c or w/app: https://t.co/FRAGoS7hV4</t>
  </si>
  <si>
    <t>ATENCION: @NYCSchools estarán cerradas mañana 11/24 y viernes 11/25 por el #DiadeAccióndeGracias: https://t.co/WDGCfjj8iu</t>
  </si>
  <si>
    <t>RT @FDNY: More cooking fires occur on #Thanksgiving than any other day of the year. Be #FDNYSmart &amp;amp; prepare w/ these tips https://t.co/qrK1…</t>
  </si>
  <si>
    <t>REMINDER: #NYCASP and parking meters are suspended tomorrow, Thursday, Nov. 24 for #Thanksgiving. Follow @NYCASP for daily updates.</t>
  </si>
  <si>
    <t>Mañana, 11/24 es el #DiadeAccióndeGracias. Las oficinas del gobierno y escuelas públicas estarán cerradas. Más:  https://t.co/9nRe59h8Ef</t>
  </si>
  <si>
    <t>Tomorrow, November 24 is #Thanksgiving Day. All NYC post offices, government offices &amp;amp; public schools are closed: https://t.co/yjbXqdaIsQ</t>
  </si>
  <si>
    <t>@christalee_b Sorry to hear that. Call 911 for alarm in progress. If intermittent /recurring, report online here: https://t.co/Fu5AAtK6ck</t>
  </si>
  <si>
    <t>@MsGoingPlaces @NYC_Nonprofit @NYCMayor Thanks. We'll reply to your Direct Message.</t>
  </si>
  <si>
    <t>Disfruta mañana la parada anual de Macy’s por el Dia de Acción de Gracias de 9AM-12PM: https://t.co/xkj3spoqHt</t>
  </si>
  <si>
    <t>@parkan  You can file illegal parking in-progress as blocked bike lane online: https://t.co/FRAGoS7hV4 or w/ App: https://t.co/k8GfaclMHD</t>
  </si>
  <si>
    <t>@johnniemela1 Call 911 if you need immediate medical assistance or are having a medical emergency: https://t.co/j405LB5Lmm</t>
  </si>
  <si>
    <t>@Nanceathy Thanks for your posts. Please send us a Direct Message so we can provide information without the character limit. Thank you.</t>
  </si>
  <si>
    <t>Enjoy balloons, floats, &amp;amp; performances at @Macys 90th annual  #ThanksgivingDayParade tomorrow 9AM-12PM:… https://t.co/zKPEEEwiGu</t>
  </si>
  <si>
    <t>@ieatkillerbees @NYSDPS Sorry to hear. You can file utility company complaint w/NYState Public Service Commission: https://t.co/BNuggbmQex</t>
  </si>
  <si>
    <t>REMINDER @NYCSchools Families: public schools closed tmrw  Thu.11/24 &amp;amp; Fri.11/25 for Thanksgiving Recess. Calendar: https://t.co/2Nqk2PDzIy</t>
  </si>
  <si>
    <t>@conz @bookoisseur See bldg. complaint history: https://t.co/B44XZBSQ6d &amp;amp; Tenant Harassment info/assistance: https://t.co/givGMPPdEv 2/2</t>
  </si>
  <si>
    <t>@conz @bookoisseur Sorry to hear. You can check SR status here: https://t.co/baflJHCxKL  Tenant rights info: https://t.co/ZRPNYcnfBK  1/2</t>
  </si>
  <si>
    <t>RT @NYCSanitation: Service Reminder for Thanksgiving Day: No trash, recycling or organics collection, Thursday, Nov. 24. More: https://t.co…</t>
  </si>
  <si>
    <t>It’s #NYCHeatSeason. Report a lack of heat/hot water with our App: https://t.co/FRAGoS7hV4, or online here:… https://t.co/tXAo5GksNR</t>
  </si>
  <si>
    <t>@ameliasg @MTA @NYCMayorsOffice We can report shattered glass for you. Please include email address in DM if you’d like confirm. msg. 2/2</t>
  </si>
  <si>
    <t>@ameliasg @MTA @NYCMayorsOffice Please send us Direct Message with date, time &amp;amp; number you called from so we can research your call exp. 1/2</t>
  </si>
  <si>
    <t>@setio371 @NYCHRA @wpix @NYDailyNews @NYCHA @NYCMayor Check SR status online (may take 24hrs to show in system): https://t.co/XgljW2bzX3</t>
  </si>
  <si>
    <t>Los inquilinos y propietarios tienen derechos y responsabilidades. Aprende más aquí con @NYCHousing: https://t.co/bplKaT1btL</t>
  </si>
  <si>
    <t>@larrieboi @NYCASP Please call us to file this report; it requires speaking with a phone representative for proper routing &amp;amp; documentation.</t>
  </si>
  <si>
    <t>@HueManjf @ieatkillerbees @nationalgridus If landlord's not providing heat, you can report online or w/311 App: https://t.co/0YA2q5RL3C</t>
  </si>
  <si>
    <t>@LMonahos @BilldeBlasio And you can find food pantry/soup kitchen locations &amp;amp; times here: https://t.co/3HcPGasDLs 3/3</t>
  </si>
  <si>
    <t>@LMonahos @BilldeBlasio Outreach team visits to encourage shelter services.Also intake &amp;amp; 24hr. drop-in ctr info: https://t.co/iW6q4387LZ 2/3</t>
  </si>
  <si>
    <t>@LMonahos @BilldeBlasio You can request @NYCDHS outreach support/services w/App or by calling us at 311: https://t.co/ECVmfGOvMI  1/3</t>
  </si>
  <si>
    <t>Do you have any unwanted art, office or household supplies? Donate items to @NYCulture’s @mftanyc program: https://t.co/8FtimmVLTj</t>
  </si>
  <si>
    <t>RT @NYC_DOT: The 2017 Alternate Side Parking Rules calendar is available now at https://t.co/6daszM6hxl. Follow @NYCASP for daily updates.…</t>
  </si>
  <si>
    <t>@GinaGingerSnaps Sorry to hear. You can check status of filed report online: https://t.co/CYy6UfeC8O. DM SR #s &amp;amp; if we can further assist.</t>
  </si>
  <si>
    <t>@NYCMayorsOffice @EmilahP Or if you prefer, you can file online here: https://t.co/0iFmCZtc31. 2/2</t>
  </si>
  <si>
    <t>@NYCMayorsOffice @EmilahP Thanks for looping us in. Please DM location &amp;amp; we'll report fence condition for you: https://t.co/6eL8JPHBRI. 1/2</t>
  </si>
  <si>
    <t>@juvihrl @NYPD19Pct You can report unauthorized/illegal taxi as car service complaint (incl. plate #) online here: https://t.co/EixbaOLve9</t>
  </si>
  <si>
    <t>Discrimination is illegal in NYC. You can report discrimination/bias to @NYCCHR by calling 311: https://t.co/EQ0ELpMtuh  #HumanRights</t>
  </si>
  <si>
    <t>@larrieboi @NYCASP Please call us at 311 to report missed street cleaning with a phone representative.Thank you: https://t.co/RBryhCJi1K</t>
  </si>
  <si>
    <t>It’s #AlzheimersAwareness Month. Learn about home delivered meals, assisted living, &amp;amp; more from @NYCSeniors : https://t.co/ZKt1duhDuZ</t>
  </si>
  <si>
    <t>@setio371 @NYCHRA @wpix @NYDailyNews @NYCHA @NYCMayor Please reach out to Borough Management Office for assistance: https://t.co/1dSGmiBe1f</t>
  </si>
  <si>
    <t>@KezNat @wholefoodsnyc And in future, vehicle noise in progress for local precinct to respond: https://t.co/BPAOO2slaF 2/2</t>
  </si>
  <si>
    <t>@KezNat @wholefoodsnyc Sorry to hear that. You can report idling vehicle to DEP online: https://t.co/BROV8zGPGL 1/2</t>
  </si>
  <si>
    <t>Do you work in #UXDesign &amp;amp; love a good #civictech challenge? #Volunteer for #HackNYCFosterCare #UX https://t.co/8eGYZq8Icv</t>
  </si>
  <si>
    <t>@Mingxmantis @NYC_DOT Thanks for the pic. DM us &amp;amp; we'll file street sign: https://t.co/t6tTp0nY3K report (include email for confirmation).</t>
  </si>
  <si>
    <t>@ameliasg @MTA @NYCMayorsOffice We're sorry to hear this. Please DM more details so we can better assist. Thank you. https://t.co/6eL8JPq0t8</t>
  </si>
  <si>
    <t>Get ready for #MacysParade! The Macy's Giant Balloon Inflation is tomorrow, 3pm-10pm, 79th St. &amp;amp; Columbus Ave:… https://t.co/CnfzSB497l</t>
  </si>
  <si>
    <t>@stevesmithis Please DM us and we'll file this pedestrian signal condition for you. Thank you. https://t.co/6eL8JPHBRI</t>
  </si>
  <si>
    <t>@NYC_DOT @Ykaner89 @ChaimDeutsch Thanks for looping us in. Please DM us &amp;amp; we'll file for you &amp;amp; send your Service Request number. Thank you.</t>
  </si>
  <si>
    <t>RT:@NYCGOB #NYCWell conecta a los neoyorquinos con servicios de #saludmental 24/7, 365 días/año en 200+ idiomas:… https://t.co/JUfHckKbz7</t>
  </si>
  <si>
    <t>@NikkiLBirdsall @NYCParks We're sorry to hear you had trouble. Please DM us and we'll file for you. Thank you. https://t.co/6eL8JPq0t8</t>
  </si>
  <si>
    <t>@ShowbizSimon Please DM us your service request number so we can research and advise next steps: https://t.co/6eL8JPHBRI  Thank you.</t>
  </si>
  <si>
    <t>@NYC_DOT @PedestrianTom @Costa4NY Thanks for looping us in. Please DM us and we'll report street blocked by construction for you. Thank you.</t>
  </si>
  <si>
    <t>Download the #free #NYC311 mobile App today and you can file 20+ service requests right from your phone:… https://t.co/IFrxTuRsaN</t>
  </si>
  <si>
    <t>@NYC_DOT @ohlalaholly Thanks. You can find the local BID: https://t.co/uL63SlT4lr &amp;amp; contact CB 2 by phone/email: https://t.co/d5Yq2yMyIu</t>
  </si>
  <si>
    <t>@NYCSanitation @chaim7785 Thanks for looping us in. Please send us a Direct Message &amp;amp; we'll report graffiti for you: https://t.co/6eL8JPHBRI</t>
  </si>
  <si>
    <t>@NYCParks @sys_somboun Hi, you can file online/App: https://t.co/mVRpfEHRYJ or DM us (include email for confirmation) &amp;amp; we'll file for you.</t>
  </si>
  <si>
    <t>@cp_ny_5 We hope there's no need, but in future you can report noise from vehicle in-progress w/311 app or online: https://t.co/BPAOO2aJM5</t>
  </si>
  <si>
    <t>@mikeithdavis We're not sure. DOT Borough Commissioner may have more info. You can call or use their online form: https://t.co/2XCUU7uc10</t>
  </si>
  <si>
    <t>@tiffchanteuse We're not sure. Your local precinct: https://t.co/0LhGW3tZTx &amp;amp; local officials: https://t.co/qNa1ZUdBwr may have more info.</t>
  </si>
  <si>
    <t>@Vaughnstradamus Sorry to hear.Blocked driveway SRs go to local precinct.They respond when not handling emergencies: https://t.co/a8tnNK02tX</t>
  </si>
  <si>
    <t>Know an #Awesometeacher? Nominate a public school teacher for @NYCSchools Big Apple Awards. Click here:… https://t.co/Gje1ajnvBF</t>
  </si>
  <si>
    <t>@jferris215 @NYC_DOT In future, you can report illegal parking in bikelane in-progress online or with 311 app: https://t.co/0gQuEvv4Hv</t>
  </si>
  <si>
    <t>@gotlinda20 We hope there's no need, but in future you can report loud music from store in-progress online or w/app: https://t.co/yYoSQbAJrX</t>
  </si>
  <si>
    <t>@VelissaVaughn We're sorry to hear that. You can report no heat online or w/app: https://t.co/wVq7MQ1MTr or DM us &amp;amp; we'll file for you.</t>
  </si>
  <si>
    <t>If someone you care about needs help with #mentalhealth or #substanceabuse issues, #NYCWell is here 24/7 to help:… https://t.co/DGj6dZGmlk</t>
  </si>
  <si>
    <t>@FatherFaganPark @NYCSanitation Thanks for pic.If you haven't already, you can report overflowing litterbasket here: https://t.co/5mULNYAb7j</t>
  </si>
  <si>
    <t>@kkoo88 @NYCParks Thanks for the photo. Please DM us and we'll file for you and send your Service Request number. Thank you.</t>
  </si>
  <si>
    <t>@thecirclefile Thanks for your posts. If the condition still exists, please DM us and we will file for you. Thank you.</t>
  </si>
  <si>
    <t>@ChooKimberlie @NYC_DOT Please DM us direction you were traveling &amp;amp; exit the plate was near and we will report this for you. Thank you. 2/2</t>
  </si>
  <si>
    <t>@BenjaminReed011 If you haven't yet called this in to 311,please use this link to Direct Message&amp;amp;we'll file for you: https://t.co/6eL8JPHBRI</t>
  </si>
  <si>
    <t>@ChooKimberlie @NYC_DOT We're sorry to hear that. You can find info &amp;amp; file a property damage claim online here: https://t.co/tA7LE0rhbG. 1/2</t>
  </si>
  <si>
    <t>@toonstosave We're glad to hear that. Please do reach out again if we can help further(here M-F 9AM-5PM). Or you can always call us at 311.</t>
  </si>
  <si>
    <t>It’s #NYCHeatSeason. Report a lack of heat/hot water with our App: https://t.co/FRAGoSoSMC , or online here: https://t.co/wVq7MQjnKZ</t>
  </si>
  <si>
    <t>Ser #voluntario es bueno para ti, tu comunidad y otros. Busca oportunidades con @NYCService: https://t.co/TW19xS7eqa</t>
  </si>
  <si>
    <t>Remember: when you file a service request, save your SR # so you can check for status &amp;amp; updates online: https://t.co/0sE3l8pOyR</t>
  </si>
  <si>
    <t>#Volunteering is good for you, your community and your City. Search for opportunities with @NYCService: https://t.co/gBEcPR33qf</t>
  </si>
  <si>
    <t>NYC #HeatSeason is in effect through May 31 2017. See heat requirements: https://t.co/o9CZMww563   &amp;amp; report lack:… https://t.co/PugS15EiYz</t>
  </si>
  <si>
    <t>Our #NYC311 #YouTube videos show how to use the 311 mobile app, employee profiles &amp;amp; more: https://t.co/fl7kd9R6m3. Watch &amp;amp; subscribe!</t>
  </si>
  <si>
    <t>¡Aprende antes de salir! Vea las planificaciones de calles cerradas, puentes, y más con @NYC_DOT aquí: https://t.co/6aNVBiF6v3</t>
  </si>
  <si>
    <t>Reporting No Heat or Hot Water from your phone with the #NYC311 App is easy &amp;amp; can take less than a minute. See how: https://t.co/Y2EAUHUDke</t>
  </si>
  <si>
    <t>#Queens: @NYCSanitation Fall #LeafCollection coming up tomorrow, Sun, 11/20. Find pickup guidelines &amp;amp; info:… https://t.co/SNZrPXOFlR</t>
  </si>
  <si>
    <t>Looking for free or low-cost fun this weekend? Check the Citywide Events Calendar for activities throughout NYC: https://t.co/v4yO23bmzv</t>
  </si>
  <si>
    <t>Noviembre es el mes “Americano de la Diabetes”. Busca información sobre la prevención y control de diabetes aquí:… https://t.co/lDvxFjwnN8</t>
  </si>
  <si>
    <t>#Medicaid offers free health insurance for children &amp;amp; adults under the age of 65. Check your eligibility online: https://t.co/rbCVMKPcP0</t>
  </si>
  <si>
    <t>It’s #AmericanDiabetesMonth. Find prevention &amp;amp; control tips from @nycHealthy : https://t.co/J9uku7BAMr https://t.co/8oyx9pKKyk</t>
  </si>
  <si>
    <t>@NicoMcLane @NYCMayorsOffice It looks like it's on DOT's resurfacing schedule for Manhattan this week: https://t.co/LTB43TIIOk</t>
  </si>
  <si>
    <t>@bbatterson It may be allowed on weekdays w/ variance. You can report  after-hours building construction online: https://t.co/ENJ4hnuYxm</t>
  </si>
  <si>
    <t>Today, Fri. November 18 is a #GridLockAlert day for 2016 #Holiday Season. See others &amp;amp; find public transit info: https://t.co/e41dlnAgtZ</t>
  </si>
  <si>
    <t>@toonstosave We're sorry to hear that. You also can contact the Borough Management Office. Find phone number here: https://t.co/1dSGmiBe1f</t>
  </si>
  <si>
    <t>@BayRidgeDrivers @NYC_DOT @VGentile43 Report missing st. mrkngs: https://t.co/S2cXpWl2tu or DM &amp;amp; we'll file. (incl. email for confirm. msg.)</t>
  </si>
  <si>
    <t>@BenjaminReed011 If condition still exists, DM &amp;amp; we'll file for you. Please note acct. is monitored M-F, 9AM - 5PM (except City holidays).</t>
  </si>
  <si>
    <t>@toonstosave @NYCHA Sorry to hear. High call volume can affect wait times. Also can go in-person to Bklyn Center: https://t.co/6EHbJ15oVd</t>
  </si>
  <si>
    <t>Los empleados de #NYC311 estuvieron unidos con el color rosado para la “Lucha contra el Cáncer de mama”:… https://t.co/QWz4C9wHgu</t>
  </si>
  <si>
    <t>@johnniemela1 Please use this link to send us a private Direct Message w/your service request numbers. Thank you. https://t.co/6eL8JPHBRI</t>
  </si>
  <si>
    <t>@tiffchanteuse Hi, we replied to your direct message. Thank you.</t>
  </si>
  <si>
    <t>Know a public school #teacher who goes beyond the classroom? Nominate 1 before Dec. 9 for the Big Apple Awards:… https://t.co/yiUPcWI4jZ</t>
  </si>
  <si>
    <t>@DawnmarieB1103 @EricAdamsBP2013  @SenMartyGolden @WhatsupNewYork1 Your CB: https://t.co/d5Yq2yMyIu &amp;amp; Councilprsn: https://t.co/hQMZr2n1H6</t>
  </si>
  <si>
    <t>@MissaG28 You can send message to DOB Commissioner w/form: https://t.co/TCKAn08qpf &amp;amp;contact local elected officials: https://t.co/qNa1ZUvcV1</t>
  </si>
  <si>
    <t>@VetCierge If we can further assist, please DM details so we can research &amp;amp; advise. Thank you. 2/2</t>
  </si>
  <si>
    <t>@VetCierge Thanks for reporting &amp;amp; we're sorry to hear that. We hope no need, but you can always call 911 for updates from operators.  ½</t>
  </si>
  <si>
    <t>Today, Thu. Nov. 17 is #GreatAmericanSmokeout. NY has resources &amp;amp; info for those trying to #quitsmoking: https://t.co/ngXWPUUIX4</t>
  </si>
  <si>
    <t>@HildaBikes @NYC_DOT Call 911 if there's immediate danger. If not emergency, file plate condition here: https://t.co/seNcb3NxXu or DM us.</t>
  </si>
  <si>
    <t>Magdelin, analista de negocio, sabe que la ciudad de Nueva York tiene una población muy diversa: https://t.co/4jobrUuLC6  #WeAreNYC311</t>
  </si>
  <si>
    <t>@WeDigPlants Hi.Precinct handles barricade removal: https://t.co/47YQAwDLYM You can find their contact numbers here: https://t.co/tKNCizNz0J</t>
  </si>
  <si>
    <t>Reporting a pothole has never been so easy. Watch on #YouTube: https://t.co/1Dy6eyT64P   &amp;amp; download #NYC311 App:… https://t.co/YNDS26ACNa</t>
  </si>
  <si>
    <t>@elianileh @NYCMayor Please call us at 311 to make discrimination &amp;amp; city agency complaint w/a phone rep: https://t.co/8Jh6wr8zq5. Thank you.</t>
  </si>
  <si>
    <t>Preparing for holiday meals takes time &amp;amp; patience, &amp;amp; protecting your kids does, too. Keep safe w/ @FDNY tips: https://t.co/V4AYeLXmm5</t>
  </si>
  <si>
    <t>@girlacne St. construction info: https://t.co/C7a2cXCOCs, Contact your CB: https://t.co/RJydEOoP7p  &amp;amp; officials: https://t.co/RJydEOoP7p</t>
  </si>
  <si>
    <t>@Justicenow29 @NYCDHS Sorry to hear that. Please call us at 311 to be transferred to Shelter Complaint Hotline for heat issues. Thank you.</t>
  </si>
  <si>
    <t>If you’re a #smallbizowner, you can learn how to prep for the #holidayseason w/@NYCSmallBizSvcs tips online here: https://t.co/B76uMF1pZh</t>
  </si>
  <si>
    <t>@Felicianoje @NYPD66Pct You can report non-emergency illegal parking in progress with the 311 app or online: https://t.co/0gQuEvv4Hv</t>
  </si>
  <si>
    <t>@exigeante Sorry to hear that. Check for street work in area: https://t.co/C7a2cXldKU &amp;amp; report construction noise: https://t.co/2KULvb99GG</t>
  </si>
  <si>
    <t>@liz_lom We're sorry to hear that. You can report after-hours noise from construction online here: https://t.co/2KULvb99GG</t>
  </si>
  <si>
    <t>@girlacne We're sorry to hear that. You can report off-hours construction noise online here: https://t.co/2KULvb99GG</t>
  </si>
  <si>
    <t>@chessninja  We're sorry to hear that. You can report off-hours construction noise online here: https://t.co/2KULvb99GG</t>
  </si>
  <si>
    <t>Estas en #Instagram? https://t.co/76qhqrm4eI  o #Facebook? https://t.co/e90Qfy4n8f  Síguenos para las ultimas notic… https://t.co/ztrZOQVY6H</t>
  </si>
  <si>
    <t>@NYCSanitation @BuffingActions Thanks for the tag. If you like, please DM us name &amp;amp; phone # (DEP requires it) and we'll this for you.</t>
  </si>
  <si>
    <t>@bmrafferty Please use this link to Direct Message so we can file &amp;amp; send you Service Request # privately: https://t.co/6eL8JPHBRI Thank you.</t>
  </si>
  <si>
    <t>Always stay up to date. Follow us on Facebook: https://t.co/OJr7wXhkVP Instagram: https://t.co/fwpVfzPHOM &amp;amp; YouTube… https://t.co/15Icfed9uu</t>
  </si>
  <si>
    <t>@WakefieldBxDave @NYCSanitation @NYPD47Pct @NYCMayor In future, file st.  blocked by personal property in progress: https://t.co/vdfsvCt0KY</t>
  </si>
  <si>
    <t>@bmrafferty @NYC_DOT @JJourno Hi, please DM us your name &amp;amp; phone number &amp;amp; we'll file flooding street report (incl. email for confirmation)</t>
  </si>
  <si>
    <t>@NYC_DOT @Jkay91 Thanks. Please DM details (incl. email for confirmation) &amp;amp; we'll file for you.Or file online here: https://t.co/S3sHSrtExs</t>
  </si>
  <si>
    <t>@mtanski Sorry to hear you had trouble. We tested &amp;amp; it worked on our end. You can email Finance Dept. of Finance: https://t.co/xTfNJWHT0x</t>
  </si>
  <si>
    <t>Have a lightly used coat? Donate to @NewYorkCares #CoatDrive for those in need. Find dropoff site thru Dec. 31:… https://t.co/2oZ4uk1Q42</t>
  </si>
  <si>
    <t>@BlkTimAllen Please call us at 311 to report problem w/City employee. Or you can send message to HRA Commissioner: https://t.co/o3h9OOGIcQ</t>
  </si>
  <si>
    <t>@matthewxie55 Call 911 if immediate danger. If not emergency, please call us at 311 to report non-emergency traffic for precinct to respond.</t>
  </si>
  <si>
    <t>It’s #NYCHeatSeason. See regulations: https://t.co/lkVgaumQHE  Report lack online: https://t.co/wVq7MQjnKZ  or App:… https://t.co/c4QljGo8nF</t>
  </si>
  <si>
    <t>@AmiNahshon Thanks for photo. Please DM name/phone &amp;amp; we’ll file street flooding for you. Or you can file online: https://t.co/47jJ22ncvN</t>
  </si>
  <si>
    <t>@macsamurai Please call us at 311 during business hours to report a large/unusual bird to Animal Care&amp;amp;Control via phone rep. Thank you.</t>
  </si>
  <si>
    <t>If the heavy rain is causing flooding on streets or highways, you can report it online here: https://t.co/RglYAxD51D https://t.co/kKMbJDLG1q</t>
  </si>
  <si>
    <t>@ReclusiveRacer If condition still exists DM name &amp;amp; phone #, we'll file for you. Or report overflowing manhole here: https://t.co/47jJ22ncvN</t>
  </si>
  <si>
    <t>@jenay2083 @FDNY DEP responds&amp;amp; times vary per water flow. If you haven't filed yet, please DM your name/phone # &amp;amp; we'll file for you.Thanks.</t>
  </si>
  <si>
    <t>@matthewxie55 The precinct may have info: https://t.co/acqxS6oVE8 and Community Board also may know: https://t.co/92aELY3lJZ</t>
  </si>
  <si>
    <t>@iragersh @HelenRosenthal @NYC_DOT Thanks for clarifying. Your DOT Borough Commissioner should be able to assist: https://t.co/2XCUU7cB9s</t>
  </si>
  <si>
    <t>@blissdesign Hi. We're replying to your direct message. Thank you.</t>
  </si>
  <si>
    <t>@mikedolanaq @NYC_DOT Please use this link to Direct Message your email address&amp;amp;we'll file agency feedback: https://t.co/6eL8JPHBRI  Thanks.</t>
  </si>
  <si>
    <t>¿No tienes calefacción en tu apt? Avisa a tu casero. ¿Sigue el problema? Reportalo aqui: https://t.co/v1lzR6hcjw  o llamanos al 311.</t>
  </si>
  <si>
    <t>@StephRoseDoan Thanks for pics. Please DM us your name &amp;amp; phone # &amp;amp; we'll file for you. Or you can file w/app/online: https://t.co/7t2U6Ncd1a</t>
  </si>
  <si>
    <t>Get a free #bloodpressure screening at @QueensLibrary LIC branch every 3rd Thursday of the month 4PM-6PM: https://t.co/3NRxdONpu6</t>
  </si>
  <si>
    <t>@eekahil @bradlander @ReporterLeslie Call 911 if immed danger or DM &amp;amp; we’ll file. Or report disturbed asbestos here: https://t.co/X5KtSgVInz</t>
  </si>
  <si>
    <t>@urbanresidue @NYC_DOT You/we can include in Description that sidewalk repaired during recent utility work was patched inappropriately.</t>
  </si>
  <si>
    <t>@urbanresidue @NYC_DOT @NYCWater Please DM &amp;amp; we'll file damaged sidewalk for you (&amp;amp; incl. details) or file online: https://t.co/DroKY8V0QM</t>
  </si>
  <si>
    <t>@NYCParks @lowwwbrau DM us w/email (confirm. msg) &amp;amp; we'll file park maintenance for you. Or report issue online: https://t.co/s7U7xvpBws</t>
  </si>
  <si>
    <t>Today, November 14 is #WorldDiabetesDay. NYC offers the "Living Well with Diabetes" for info &amp;amp; tips. See here:… https://t.co/i53CpcJcvL</t>
  </si>
  <si>
    <t>@MisGoldStar @NYCHousing Excessive heat in res.buildings complaints only accepted 6/1-9/30. See NYC winterheat regs: https://t.co/o9CZMww563</t>
  </si>
  <si>
    <t>@daniel_e_mann Please Direct Message &amp;amp; we'll file for you. Or you can report dead animal on public property here:  https://t.co/zBnm3TlHym</t>
  </si>
  <si>
    <t>@dbungo You can report food safety online (food prep area) or w/App (dirty kitchen): https://t.co/kfMerwvWgh. Both allow pics attachment.</t>
  </si>
  <si>
    <t>@Iownthis247 DM address &amp;amp; email &amp;amp; we’ll file for you. Or file dirty sidewalk: https://t.co/n87TgktfMZ &amp;amp; loose trash: https://t.co/eobXD4Rnf1</t>
  </si>
  <si>
    <t>@matthewxie55 Thanks for your messages. We replied to your Direct Message so we can answer without character limit.</t>
  </si>
  <si>
    <t>@jeanbeanny No. In the future, please call 911 if you see drone/UAV being flown in NYC: https://t.co/6YXIhx7i8n</t>
  </si>
  <si>
    <t>@JeffKurzon DM if we can submit your comments to Parks Dept. for you. Or you can send Commissioner message: https://t.co/9ece2Qp9Ya</t>
  </si>
  <si>
    <t>@conz If apt. is rent-stabilized/controlled, you also can file complaint w/ NYState Homes &amp;amp; Community Renewal Agency at (718) 739-6400. 2/2</t>
  </si>
  <si>
    <t>@conz Sorry to hear. You can report no heat anytime there’s lack. Online: https://t.co/0YA2q5RL3C or w/311 App: https://t.co/k8GfaclMHD 1/2</t>
  </si>
  <si>
    <t>@FDNY @oliver_narro Thanks for tag. DM us name/phone# &amp;amp;email (confirmation) &amp;amp; we'll file for you. Or file w/App: https://t.co/FRAGoS7hV4</t>
  </si>
  <si>
    <t>@MikeWReilly @NYCSanitation Please DM &amp;amp; we'll file for you. Or you can report dead animal on public prop/highway: https://t.co/zBnm3T469M</t>
  </si>
  <si>
    <t>@Damico_AJ We're not sure; we didn't have alert. You can follow @NotifyNYC &amp;amp; sign up to get text/phone/email alerts: https://t.co/kGYoUUfM1m</t>
  </si>
  <si>
    <t>@DickYoungsGhost @jooltman Yes, you can report problem with canopy to DOT online here: https://t.co/9Q8pb8xgdO or DM &amp;amp; we'll file for you.</t>
  </si>
  <si>
    <t>#GetCovered with #OpenEnrollment for #healthinsurance. Enroll online, by phone or in person: https://t.co/lkS6ahYKDd</t>
  </si>
  <si>
    <t>@mikedolanaq @NYC_DOT DM if we can submit your comments to Police Dept for you.Or you can send Commissioner message: https://t.co/wAxD4pGdLd</t>
  </si>
  <si>
    <t>@maryalessandra We're not sure; we didn't have alert. In future, check Traffic Advisories/planned closures online: https://t.co/DuYM4VhYRz</t>
  </si>
  <si>
    <t>@shane5115 Please let us know more about your concern so we can advise/assist. If you prefer,you can Direct Message: https://t.co/6eL8JPq0t8</t>
  </si>
  <si>
    <t>@odisse58 Thanks for your photo. Please DM us &amp;amp; we'll file this as a cave-in report for you. Or you can file online: https://t.co/S3sHSrtExs</t>
  </si>
  <si>
    <t>@bowz87 If you haven't already reported, please Direct Message &amp;amp; we'll file for you. Or you can call 311: https://t.co/QyjYcdeWRZ Thank you.</t>
  </si>
  <si>
    <t>@Jeffurry312 It looks like it's on DOT's resurfacing schedule for Manhattan this week: https://t.co/LTB43Tr7WM</t>
  </si>
  <si>
    <t>@HildaBikes @nyctaxi @NYPDnews You can report an unsafe car service/ambulette driver w/311 app or online here: https://t.co/EixbaOLve9. 2/2</t>
  </si>
  <si>
    <t>@HildaBikes @nyctaxi @NYPDnews Sorry to hear. Always call 911 to report reckless/dangerous driving inprogress: https://t.co/YArrf7EIHA. 1/2</t>
  </si>
  <si>
    <t>@diversifiedswim See SR status online: https://t.co/XgljW2tblD. DM if we can refile for you. Or refile online/app: https://t.co/3SeXvXviWt</t>
  </si>
  <si>
    <t>@hongt2k Bags/bins should have max.weight 60lbs: https://t.co/ByyuDBIv6Y. If still at curb, file missed collection: https://t.co/aZhpgw30mA</t>
  </si>
  <si>
    <t>@KalmanBiderman @NYCGreenfield @BrooklynCB12 @NYCWater Sorry to hear. Report brown water: https://t.co/dNUyZEeEFx or DM &amp;amp;we'll file for you.</t>
  </si>
  <si>
    <t>@NYCRobyn @nyctaxi Sorry to see. You can report problem with taxi driver online: https://t.co/Xo1kD6dtax &amp;amp; w/App: https://t.co/k8GfacDnzb</t>
  </si>
  <si>
    <t>@CitiBikeNYC @ktnmorris Thanks for mention. Yes, report non-emergency illegal parking in progress online or w/App: https://t.co/EMYJOtP74H</t>
  </si>
  <si>
    <t>@Nickki_H FallLeafcollection began Sat 11/12: https://t.co/T8tKSjXcwV If not collected by following Thurs, you can file missed collection.</t>
  </si>
  <si>
    <t>@PranavahYoga Sorry to see that. Please DM us name/phone # &amp;amp; we'll file water leak complaint. Or you can file here: https://t.co/wr5nmlZJQc</t>
  </si>
  <si>
    <t>@mrm10128 You can report this issue to the MTA directly using their online form: https://t.co/vcjTxfQdQA</t>
  </si>
  <si>
    <t>@MarcJon48394681 @NYPD102Pct @NYPDTransport @NYCMayor Report illegal parking in-progress online or with 311 App: https://t.co/EMYJOu6Ith</t>
  </si>
  <si>
    <t>@soocerfan All City &amp;amp; Federal goverment offices were closed for Veterans Day. Find passport info/locations here: https://t.co/4uqRE387jS</t>
  </si>
  <si>
    <t>@iragersh @HelenRosenthal @NYC_DOT Sorry to hear. Should refer to prev. filed WorkOrder #. Please DM details &amp;amp; we'll further assist. Thanks.</t>
  </si>
  <si>
    <t>@knowassociates @annaniess Thanks for mention. You can find contacts for elected officials by address online here: https://t.co/qNa1ZUdBwr</t>
  </si>
  <si>
    <t>@jewlipina Please always call 911 to report homeless person creating a hazard or sleeping in subway/transit area: https://t.co/l0JOfxb3qX</t>
  </si>
  <si>
    <t>When temps drop outside, heat should be on inside. See heat season regulations &amp;amp; report online or with the 311 App:… https://t.co/tAeZywbyuA</t>
  </si>
  <si>
    <t>@TheRealLJah @LyndaBaquero4NY Sorry to hear. Report afterhours noise to DEP: https://t.co/eg2cudK02g &amp;amp; work to DOB: https://t.co/WB3l2lK3JZ</t>
  </si>
  <si>
    <t>@TheRealLJah You should contact property owner/contractor: https://t.co/TXofExc71r. CB also may be able to assist: https://t.co/cdf1vmkQp3</t>
  </si>
  <si>
    <t>@1RVP2BE You can send police commissioner concern w/online form: https://t.co/wAxD4pXP9N &amp;amp; contact local officials: https://t.co/RJydEOGqvZ</t>
  </si>
  <si>
    <t>NYC ofrece referidos legales para todo residente y asistencia legal gratuita para #veteranos y personas ancianas: https://t.co/n9Y64O1hi6</t>
  </si>
  <si>
    <t>November is #Alzheimers Awareness Month. NYC offers information &amp;amp; resources for caregivers such as homecare: https://t.co/hyweEaSgvA</t>
  </si>
  <si>
    <t>Use the #NYC311 mobile App to request homeless outreach assistance for a person in need. Download here: https://t.co/FRAGoS7hV4</t>
  </si>
  <si>
    <t>.@nycHealthy recommends every NYer 6 months &amp;amp; older gets their #flushot. Learn more &amp;amp; find a site: https://t.co/zYpwKzeHyX  #fluvaccine</t>
  </si>
  <si>
    <t>Solicita ayuda con @NYCDHS usando el #NYC311 App para aquellos sin hogar y busca un centro de ayuda cerca: https://t.co/98pyOYgSJM</t>
  </si>
  <si>
    <t>It’s #NYCHeatSeason. Report a lack of heat/hot water with our App: https://t.co/FRAGoS7hV4, or online here:… https://t.co/kqQTQHI9E4</t>
  </si>
  <si>
    <t>Fire is not a toy. Kids can be #FDNYsmart with @FDNY’s official #firesafety coloring book. Download &amp;amp; color:… https://t.co/YB97mVrZUg</t>
  </si>
  <si>
    <t>Bronx, Brooklyn &amp;amp; Staten Island - get your leaves together. @NYCSanitation Fall Leaf Collection returns tmrw 11/13:… https://t.co/PXazF2Ukch</t>
  </si>
  <si>
    <t>Get to know #NYC311 better on our #YouTube channel: https://t.co/HIBeGKLCav Make sure to watch, like, share and sub… https://t.co/0juoNEfIHL</t>
  </si>
  <si>
    <t>Are you a NYC resident &amp;amp; a #veteran? Thank you for your service. Learn about benefits available to you: https://t.co/hPihmvqtdO</t>
  </si>
  <si>
    <t>#NYC311 #Cubert loves the beautiful #Autumn weather. Celebrate fall foliage &amp;amp; its spectacular colors w/@NYCParks:… https://t.co/rYAkBOpsI0</t>
  </si>
  <si>
    <t>Hoy es el Dia de los Veteranos. Las oficinas del gobierno y @NYCSchools están cerradas. Más información aquí: https://t.co/pvJpZGE0KG</t>
  </si>
  <si>
    <t>Today, Fri. Nov. 11 is #VeteransDay. Government offices, DMV &amp;amp; courts are closed. Normal garbage pickup: https://t.co/k7Kjv7PrEM</t>
  </si>
  <si>
    <t>Thank you, to all #Veterans, for your sacrifice &amp;amp; service. NYC's #VeteransDay Parade begins today at 11:11 AM: https://t.co/HSbII9lxuF</t>
  </si>
  <si>
    <t>Hoy, viernes 11/11 es el Dia de los Veteranos. @NYCSchools están cerradas. Vea el calendario escolar aquí: https://t.co/WDGCfjj8iu</t>
  </si>
  <si>
    <t>Public schools are closed today, Fri. Nov. 11 for Veterans Day. See school closures w/@NYCSchools calendar: https://t.co/2Nqk2PDzIy</t>
  </si>
  <si>
    <t>#NYCASP está suspendida hoy, martes, 11/11 por el Dia de Todos los Veteranos. Parquímetros están vigentes: https://t.co/D9WkiUoVG7</t>
  </si>
  <si>
    <t>#NYCASP is suspended today Fri. Nov. 11 for #VeteransDay. Parking meters are in effect. Download our App: https://t.co/k8GfaclMHD</t>
  </si>
  <si>
    <t>@iLikeLyfe You also can get free, confidential assistance from professional mediator: https://t.co/7rPvalkscR to try to resolve differences</t>
  </si>
  <si>
    <t>@iLikeLyfe Please check w/Housing Court for questions re: your legal rights as a tenant &amp;amp; landlord/tenant disputes: https://t.co/lpht487tF2</t>
  </si>
  <si>
    <t>@1RVP2BE Thanks for photo. You can report illegal parking in-progress online: https://t.co/0gQuEvv4Hv or w/App: https://t.co/k8GfaclMHD</t>
  </si>
  <si>
    <t>@green_chz @NYCSanitation Yes, residential garbage/recycling/organics will be collected on Veterans Day: https://t.co/k7Kjv7PrEM</t>
  </si>
  <si>
    <t>#NYCASP estará suspendida mañana, viernes, 11/11 por el Dia de Veteranos. Parquímetros estarán vigentes: https://t.co/D9WkiUoVG7</t>
  </si>
  <si>
    <t>@hawkins31 @NYCMayor @NYPDONeill Call 911 is there’s immediate danger. If none, send public safety concern online: https://t.co/wAxD4pXP9N.</t>
  </si>
  <si>
    <t>@kristenrapp Unfortunately, we don't have that info. You can contact your local officials/Borough President office: https://t.co/qNa1ZUvcV1</t>
  </si>
  <si>
    <t>#NYCASP is suspended tomorrow Friday Nov.11 for Veterans Day. Prkg meters will remain in effect. Follow @NYCASP: https://t.co/k8GfaclMHD</t>
  </si>
  <si>
    <t>@andrewlustigis If not on a City traffic light or pedestrian signal pole, please report to Verizon at 800-837-4966. Thank you. 2/2</t>
  </si>
  <si>
    <t>@andrewlustigis  Sorry for confusion. Call 911 if wires sparking.If no emergency &amp;amp; it's traffic/ped signal,DM &amp;amp; we’ll file (or call 311) 1/2</t>
  </si>
  <si>
    <t>Mañana, viernes 11/11 es el Dia de los Veteranos. Las oficinas del gobierno y @NYCSchools estarán cerradas: https://t.co/pvJpZGE0KG</t>
  </si>
  <si>
    <t>Tomorrow Fri. November 11 is #VeteransDay. Government offices, DMV, courts, @NYCschools will be closed. Details: https://t.co/k7Kjv7PrEM</t>
  </si>
  <si>
    <t>@BabaoSoftware DM name/phone # (DEP req's) &amp;amp; we’ll file overflowing manhole cover for you. Or you can file online: https://t.co/47jJ22ENUn</t>
  </si>
  <si>
    <t>@thewhirlwind85 @MTA @NYPDnews @BilldeBlasio Always call 911 to report homeless in subway &amp;amp;/or creating a hazard: https://t.co/l0JOfxb3qX</t>
  </si>
  <si>
    <t>@PoeticCatalyst @NYPDnews You can share your concerns with the police commissioner with this online form: https://t.co/wAxD4pXP9N.</t>
  </si>
  <si>
    <t>@lexasaurrr Hi, thanks for reaching out. We'll respond to your latest Direct Message where there's no character limit.</t>
  </si>
  <si>
    <t>@diversifiedswim DOT accepts request for new streetlights. Use this link to submit a request to their Commissioner: https://t.co/wlndgZIJv5</t>
  </si>
  <si>
    <t>@NYC_DOT @forshay33 @NYCGreenfield Please use this link to DM direction info &amp;amp; we'll file. Or call 311: https://t.co/6eL8JPHBRI Thank you.</t>
  </si>
  <si>
    <t>@lxqnt We're not sure. Your precinct may have info: https://t.co/0LhGW3LBi7 You also can report helicopter noise: https://t.co/jCiYITKXlp</t>
  </si>
  <si>
    <t>Have a child in kindergarten – 3rd grade? Apply for @NYCSchools Talented &amp;amp; Gifted Program before Monday, 11/14:… https://t.co/zT2RvRfPOJ</t>
  </si>
  <si>
    <t>@johnniemela1 Always call 911 to report fumes/smoke/fire/carbon monoxide from boiler inside building: https://t.co/vJfAJ4BW8Q</t>
  </si>
  <si>
    <t>#NYC311 #Cubert le encanta la temporada de #Otoño. Celebra las hojas y el cambio de colores con @NYCParks:… https://t.co/02zLwX9PwS</t>
  </si>
  <si>
    <t>Let a great public school teacher know they’re special by nominating them for @NYCSchools Big Apple Awards by 12/9:… https://t.co/FC2XLJsMYE</t>
  </si>
  <si>
    <t>@GiaHasAnAfro @NYCHA @NYCHousing If already reported, reach out to NYCHA Borough Management Office for more help: https://t.co/NjdHrc3t6Z</t>
  </si>
  <si>
    <t>@armarcus You can file anytime online or call 311.If you have previous SR #s, please DM so we can research &amp;amp; advise next steps.Thank you 2/2</t>
  </si>
  <si>
    <t>@armarcus Because dense smoke complaint req’s detailed questions re: location &amp;amp; time, we don’t file via Twitter. DEP also req’s name/phone ½</t>
  </si>
  <si>
    <t>Fall Leaf Collection returns Sun. 11/13 in Brooklyn/Bronx/Staten Island. See guidelines &amp;amp; other dates/locations: https://t.co/bQ1JW3NjjR</t>
  </si>
  <si>
    <t>@GiaHasAnAfro @NYCHA @NYCHousing Please call NYCHA Customer Contact Ctr 718-707-7771 for elevator&amp;amp;maintenance issue: https://t.co/Ce1cjVGFAu</t>
  </si>
  <si>
    <t>@elflacoronny Please DM name/phone # (DEP req's)&amp;amp;we'll report knocked over hydrant for you.Or file online or w/App: https://t.co/PpoUFeTbE6</t>
  </si>
  <si>
    <t>@noisybrooklyn1 Please DM or call us at 311 to file Police agency complaint for this ongoing issue. Incl. email address for confirmation.</t>
  </si>
  <si>
    <t>#Winteriscoming. You can register to be @NYCSanitation temporary #snow laborer &amp;amp; get paid to help remove snow/ice:… https://t.co/lvBWmpUUAY</t>
  </si>
  <si>
    <t>@armarcus @NYC_Buildings You can report visible dense smoke in the air from a rooftop chimney online here: https://t.co/C5cd1GGjX6</t>
  </si>
  <si>
    <t>@LovelyyyDeee Sorry to hear. Please call us at 311 to file voting machine complaint w/Board of Elections: https://t.co/RKJL6fS9pY Thank you.</t>
  </si>
  <si>
    <t>@D00RZ0NE @NYC_DOT For privacy reasons,we don’t send SR #s publicly. Please DM (incl. email for confirm. msg) &amp;amp; we'll reply w/SR#. Thanks.</t>
  </si>
  <si>
    <t>@104ParkingGuy @NYC_DOT Check SR status for notes: https://t.co/ZIyJKuXCjn. If still there, re-file &amp;amp; file feedback: https://t.co/4dlnuEjelj</t>
  </si>
  <si>
    <t>@NYspanish You can search building registration &amp;amp; property ownership records to find owner info online here: https://t.co/s8egM5FJIF</t>
  </si>
  <si>
    <t>@D00RZ0NE @NYC_DOT DM &amp;amp;we'll file or you can file here: https://t.co/vdfsvCKC9y &amp;amp; follow up w/DOT Boro Commissioner: https://t.co/0vu0LvtCWw</t>
  </si>
  <si>
    <t>@joby_jacob @NYC_DOT @StephenLevin33 Please DM &amp;amp;we'll file st.sign issue for you. Or you can file online or w/App: https://t.co/LYCzYNbWtY</t>
  </si>
  <si>
    <t>@hirsch1402 @NYPD115Pct Call 911 for drug activity/suspicious vehicle. Call us at 311 for tips re: illegal drug use: https://t.co/JErIeRS6yQ</t>
  </si>
  <si>
    <t>@hirsch1402 Check SR status online: https://t.co/baflJHCxKL If you like, please DM SR#s so we can research &amp;amp; further advise. Thank you.</t>
  </si>
  <si>
    <t>@marktavern You can call 311 for non-emergency in-progress traffic condition or unsafe bldg construction site: https://t.co/ENJ4hnuYxm 2/2</t>
  </si>
  <si>
    <t>@KezNat Your Community Board: https://t.co/cdf1vmkQp3   &amp;amp; local elected officials: https://t.co/RJydEOGqvZ may be able to further assist.</t>
  </si>
  <si>
    <t>@marktavern Always call 911 for dangerous or emergency traffic conditions in-progress: https://t.co/adb7oa8GKW   1/2</t>
  </si>
  <si>
    <t>@TheCos30 Please DirectMessage more details &amp;amp; catchbasin SR # if you have (that SR # is for pothole?) so we can research &amp;amp; advise.Thank you.</t>
  </si>
  <si>
    <t>@jailhousetapes @NYCWater If it still exists, please DM us name/address/phone # &amp;amp; we'll file for you or file online: https://t.co/dNUyZEeEFx</t>
  </si>
  <si>
    <t>@DaughterArtemis Always call 911 for emergency trafficsignal condition.If no emergency,request timing review online: https://t.co/IKB39vdcfp</t>
  </si>
  <si>
    <t>@HildaBikes @NYC_DOT @placardabuse Please call us at 311 to report an issue with a City vehicle w/a phone representative. Thank you.</t>
  </si>
  <si>
    <t>@wandrew_w @D00RZ0NE @bikelaneblitz @BrooklynSpoke @bikesnobnyc @NYPD88Pct @NYC_DOT Submit concern to Commissioner: https://t.co/4dlnuEjelj</t>
  </si>
  <si>
    <t>@dePlantagenet  Sorry to hear. Please call us at 311 to file poll site complaint w/Board of Elections: https://t.co/RKJL6fS9pY. Thank you.</t>
  </si>
  <si>
    <t>@thepaix @HarlemNYUpdates @NYPDONeill Please call 311 to report City vehicle misuse/agency complaint. Or use form: https://t.co/wAxD4pXP9N</t>
  </si>
  <si>
    <t>@BuckySouth We're sorry to hear that. You can report unsafe taxi driver w/ app: https://t.co/k8GfaclMHD or online: https://t.co/TLuhhsdA5c</t>
  </si>
  <si>
    <t>Over 700,000 NYers have #diabetes &amp;amp; almost 1/3 don’t know it. It’s American Diabetes Month. Learn w/@NYCHealthy:… https://t.co/CCv8v2TeaQ</t>
  </si>
  <si>
    <t>@YakobiNaomi @NYCWater If it still exists, please DM us name/address/phone # &amp;amp; we'll file for you or file online: https://t.co/dNUyZEeEFx</t>
  </si>
  <si>
    <t>@mattinterrante Please call us at 311 to file a poll site complaint (name not in poll book) w/Board of Elections: https://t.co/RKJL6fS9pY</t>
  </si>
  <si>
    <t>@sammyangstman @NYCWater If it still exists, please DM us name/address/phone # &amp;amp; we'll file for you or file online: https://t.co/dNUyZEeEFx</t>
  </si>
  <si>
    <t>@sticks2222 Always call 911 to report a homeless person outstretched/sleeping in subway: https://t.co/l0JOfxb3qX</t>
  </si>
  <si>
    <t>@NYC_DOT Thanks for looping us in. @EricMcClureBK Please DM us &amp;amp; we'll file this streetlight condition for you &amp;amp; send your SR #. Thank you.</t>
  </si>
  <si>
    <t>Polls open Citywide 'til 9PM! Find your pollsite online: https://t.co/RKJL6fS9pY or #NYC311 App:… https://t.co/E2fdHMrMSV</t>
  </si>
  <si>
    <t>There's still time to #vote! Pollsites open Citywide 'til 9PM. Find yours w/App: https://t.co/k8GfaclMHD, https://t.co/DHzl9Pv0Gw</t>
  </si>
  <si>
    <t>Did you cast your #vote? Poll sites open Citywide 'til 9PM. Find yours w/App: https://t.co/k8GfaclMHD, online:… https://t.co/mX2C9S1URz</t>
  </si>
  <si>
    <t>Don’t have heat/hot water? File online:https://t.co/wVq7MQ1MTr , w/our App:https://t.co/k8GfaclMHD . See heat regs:… https://t.co/ajjzhkzNj7</t>
  </si>
  <si>
    <t>Know where to drive. Get full and partial street closure &amp;amp; traffic safety info from @NYPDnews for #ElectionDay. https://t.co/WgrDmg0UYe</t>
  </si>
  <si>
    <t>It’s #ElectionDay. Find your pollsite online: https://t.co/RKJL6fS9pY or use the #NYC311 mobile app:… https://t.co/589AZck0Oi</t>
  </si>
  <si>
    <t>Es el Día de Elección. Las oficinas del gobierno de NYC están cerradas. Aprende cuales servicios están disponible: https://t.co/SJslJFpUIv</t>
  </si>
  <si>
    <t>It’s #ElectionDay. NYC gov’t offices &amp;amp; NYC courts are closed. No garbage pickup. See services available today: https://t.co/aonXEmOReM</t>
  </si>
  <si>
    <t>Hoy, 11/8 es el Día de Elección. @NYCSchools están cerradas. Estudiantes regresan a clase mañana 11/9: https://t.co/WDGCfjj8iu</t>
  </si>
  <si>
    <t>Today, Tuesday 11/8 is Election Day. @NYCSchools are closed today and students return to class tomorrow, Wed. 11/9: https://t.co/2Nqk2PDzIy</t>
  </si>
  <si>
    <t>#NYCASP está suspendida hoy, martes 11/8 por el Dia de Elección. Los parquímetros están vigentes: https://t.co/D9WkiUoVG7</t>
  </si>
  <si>
    <t>#NYCASP is suspended today, Tue. November 8 for Election Day.Pkrg meters are in effect.Follow @NYCASP &amp;amp; get our app:https://t.co/FRAGoS7hV4</t>
  </si>
  <si>
    <t>Hoy, martes 11/8 es el Día de Elección. Los centros de votación están abiertos de 6AM-9PM. Busca tu centro aquí: https://t.co/yrrLaPiCoy</t>
  </si>
  <si>
    <t>Today, Tuesday, Nov. 8 is #ElectionDay. All poll sites are open 6AM-9PM. Find yours with the #NYC311 App:… https://t.co/NERiWxbVfq</t>
  </si>
  <si>
    <t>.@NYCSchools will be closed for students tomorrow Tue, 11/8 for #ElectionDay. Students return to class on Wed, 11/9: https://t.co/2Nqk2PDzIy</t>
  </si>
  <si>
    <t>@biegbee @NYCSanitation @NYCGreenfield @NYPD66Pct @HikindDov Please call 311 to report City sanitation truck noise : https://t.co/0XXzUEAIRg</t>
  </si>
  <si>
    <t>@NYCParks @amhabermann Yes, thanks. DM &amp;amp; we'll file (incl. email if you'd like confirmation)or file online or w/App: https://t.co/FRAGoS7hV4</t>
  </si>
  <si>
    <t>@TheWaveNews Please DM intersection, your name &amp;amp;phone &amp;amp; we'll file for you. Or you can file public H2O leak here: https://t.co/wr5nmlI8YE</t>
  </si>
  <si>
    <t>Mañana, 11/8 es el Día de Elección. #NYCASP estarán suspendida. Los parquímetros estarán vigentes. Consigue app: https://t.co/D9WkiUoVG7</t>
  </si>
  <si>
    <t>.@NYCSchools estarán cerradas mañana 11/8 por el Día de Elección. Estudiantes regresaran al clase 11/9: https://t.co/WDGCfjj8iu</t>
  </si>
  <si>
    <t>#NYCASP is suspended tomorrow, Tue. 11/8 for Election Day. Parking meters remain in effect. Follow @NYCASP: https://t.co/k8GfaclMHD</t>
  </si>
  <si>
    <t>Tomorrow Tuesday, Nov 8 is #ElectionDay. Find your poll site online: https://t.co/RKJL6fS9pY or w/ #NYC311 App:… https://t.co/woD82A28tT</t>
  </si>
  <si>
    <t>@bikelaneblitz Please Direct Message us the SR type and SR # (if you rec'd via email confirmation) so we can better advise. Thank you.</t>
  </si>
  <si>
    <t>@pfisherbirch In future, check Citywide Events calendar: https://t.co/6FLBZ0P4rm or call us at 311. Please note acct. monitored M-F 9AM-5PM</t>
  </si>
  <si>
    <t>@Calamity8Jane See info re: reporting dead animals in park/10 or more: https://t.co/zBnm3TlHym. Please DM if we can further assist. Thanks</t>
  </si>
  <si>
    <t>@francinajernee Call 311 to report st. unswept &amp;amp;dirty sidewalk: https://t.co/n87TgktfMZ &amp;amp; https://t.co/RBryhCJi1K or DM &amp;amp;we'll file for you.</t>
  </si>
  <si>
    <t>Tomorrow, Tue, 11/8 is #ElectionDay. NYC gov’t offices/NYC courts/schools closed. Trash collection &amp;amp; ASP suspended:… https://t.co/OcYIH7GTl8</t>
  </si>
  <si>
    <t>@prof_taxi @rachelhaot @NYCCouncil Sorry if not clear.We can file/assist w/NYC services.MTA=state&amp;amp;train issues must be filed w/MTA directly.</t>
  </si>
  <si>
    <t>@ackeemdugganPIX Sorry to hear. In future, report noise in progress from neighbor: https://t.co/RWUb7gNgdg  or bar: https://t.co/JoJ4VBolch</t>
  </si>
  <si>
    <t>@MattyKort We’re sorry to hear this. You can report green boro taxi driver for refusal of pickup online here: https://t.co/bvDUKWbWOa</t>
  </si>
  <si>
    <t>@jmphotonyc Sorry to hear. Check SR status for agency notes: https://t.co/baflJHCxKL. Use form to send DEP feedback: https://t.co/0ZudR4unRR</t>
  </si>
  <si>
    <t>@prof_taxi @MTA You can report a train maintenance issue directly to the MTA online here: https://t.co/uwBB4pTtG4 or by calling 511.</t>
  </si>
  <si>
    <t>@chernis930 6AM-10PM if outside below 55° inside must be 68°+. 10PM-6AM, if outside below 40° inside must be 55°+: https://t.co/KqFlXq4B9I</t>
  </si>
  <si>
    <t>@hirsch1402 Please DM &amp;amp; we’ll file sick tree for you. Or you can report online: https://t.co/mVRpfEHRYJ or w/App: https://t.co/k8GfaclMHD</t>
  </si>
  <si>
    <t>@NYCParks @JGoldny @NYC_DOT @NYCMayorsOffice @StephenLevin33 Thanks. Please use DOT Commissioner form to request: https://t.co/S2cXpWl2tu</t>
  </si>
  <si>
    <t>@verysimple In the future, you can report illegal parking in-progress online: https://t.co/EMYJOu6Ith or w/311 app: https://t.co/FRAGoS7hV4</t>
  </si>
  <si>
    <t>@wjfarr @NYCSanitation Sorry to hear. Report noise from private gbg truck online: https://t.co/ZSQVgx07TR. Call 311 if city (white) vehicle</t>
  </si>
  <si>
    <t>@joby_jacob @NYCParks @mitchell_silver @BarryGrodenchik Please DM us &amp;amp; we'll file Park Maintenance report for you: https://t.co/s7U7xvpBws</t>
  </si>
  <si>
    <t>@ALSABRI2010NY Please call us at 311 to be transferred to TLC for licensed driver questions/complaints. Thank you: https://t.co/LjE8D4DIHj</t>
  </si>
  <si>
    <t>@faruktj @NYCMayor Please call us at 311 to be transferred to TLC for licensed driver questions/complaints. Thanks. https://t.co/LjE8D4DIHj</t>
  </si>
  <si>
    <t>@paulagirl11102 Sorry to hear. You can send your concern/feedback to the DOT Commissioner using this online form: https://t.co/7gAhmV1xqj</t>
  </si>
  <si>
    <t>Mañana, martes 11/8 es el Día de Elección. Las oficinas del gobierno de NYC estarán cerradas. Aprende más aquí: https://t.co/SJslJFpUIv</t>
  </si>
  <si>
    <t>@KFed42 Tree prunings/firewood/branches/yard clippings cannot be included. See more Fall leaf collection details: https://t.co/bQ1JW3NjjR</t>
  </si>
  <si>
    <t>@mcirritonyc @NYPD108Pct You can check SR status online: https://t.co/CYy6UeX1hg &amp;amp; send feedback to police dept: https://t.co/wAxD4pXP9N</t>
  </si>
  <si>
    <t>@SKirbynyc @CentralParkNYC @NYCParks You can alert Parks personnel or report park rules violation online here: https://t.co/wqTNcYRe5z</t>
  </si>
  <si>
    <t>@YanksJetsGleek You can send your feedback to DOT Commissioner: https://t.co/7gAhmV1xqj &amp;amp; Police Commissioner here: https://t.co/wAxD4pXP9N</t>
  </si>
  <si>
    <t>@Karlin_C @mayorsCAU @NYC_DOT Hi, we filed this SR for you Fri PM, &amp;amp; replied to your DM w/ SR # &amp;amp; status update. Thanks for your patience.</t>
  </si>
  <si>
    <t>Its #NYCHeatSeason. Report lack of heat/hot water online: https://t.co/wVq7MQ1MTr or w/our free mobile app:… https://t.co/YVB9XIj8pC</t>
  </si>
  <si>
    <t>It's kickoff time for @NYCFC's 1st ever home playoff game. Best of luck, #NYC311 is rooting for you!… https://t.co/dR0vu4Ye41</t>
  </si>
  <si>
    <t>Tue Nov 8 is #generalelection. #KnowBeforeYouGo Check polling place online: https://t.co/RKJL6fS9pY or w/311 App:… https://t.co/dmlC8y5L2U</t>
  </si>
  <si>
    <t>NYC #HeatSeason is in effect through May 31 2017. See heat requirements: https://t.co/o9CZMww563  &amp;amp; report lack:… https://t.co/OEw5zFDJzF</t>
  </si>
  <si>
    <t>Time is of the essence today. #ChangeyourClock #ChangeyourBatteries #DaylightSaving #Fallback #NYCMarathon… https://t.co/zxW1pBSMKk</t>
  </si>
  <si>
    <t>Timing is everything. #ChangeYourClock #ChangeYourBatteries #DaylightSaving #FallBack #NYCMarathon @NYCMarathon https://t.co/6Sv0ovoEjt</t>
  </si>
  <si>
    <t>¡En sus marcas, listos, ya! El TCS @NYCMarathon empieza ahora mismo. Vea cuales calles están cerradas: https://t.co/0LZnt7wEuk</t>
  </si>
  <si>
    <t>READY, SET, GO! Best wishes to all participants in the @nycmarathon starting NOW. More info: https://t.co/mpPEJ1xXE5</t>
  </si>
  <si>
    <t>ATENCION: El horario de verano terminara mañana, domingo,11/6 a las 2AM. Retrase tu reloj una hora: https://t.co/Xoo2ae6J4w #DaylightSaving</t>
  </si>
  <si>
    <t>LAST CHANCE: get batteries for smoke alarm &amp;amp; CO2 detectors at @FDNY events around NYC today 12PM-4PM:… https://t.co/HDTEKZgROa</t>
  </si>
  <si>
    <t>Tomorrow, Sunday,Nov. 6 is TCS @nycmarathon. See best places/rules for viewing &amp;amp; all street closures:… https://t.co/4oOYRiutfg</t>
  </si>
  <si>
    <t>Relive classic games like the #potatosackrace at @NYCParks 2nd annual Fall Field Day on Tue. November 8:… https://t.co/chJHOqYlst</t>
  </si>
  <si>
    <t>REMINDER: #DaylightSaving Time ends tomorrow, Sunday, Nov. 6 at 2AM. #FallBack &amp;amp; set your clocks back 1 hour: https://t.co/hbnxz5ZT5Z</t>
  </si>
  <si>
    <t>Turn your pumpkins into #compost today at #PumpkinSmash in #Queens, #StatenIsland, #Brooklyn &amp;amp; #Manhattan:… https://t.co/5DoPCHfTas</t>
  </si>
  <si>
    <t>@elphaba_wins @FDNY Yes, if she can't attend GetAlarmed event, she can get alarm/batteries by calling AmericanRedCross at (877) 733-2767.</t>
  </si>
  <si>
    <t>Some lucky staff won @NYCFC donated tix to their #mlsplayoffs Sunday!Enter by 6 for chance to win.… https://t.co/5eOxeXsiWC</t>
  </si>
  <si>
    <t>Need batteries for your smoke alarm? @FDNY is giving them out at City events through 11/5: https://t.co/tYpvv3ro5A… https://t.co/5adcbWq7dv</t>
  </si>
  <si>
    <t>Next, Tuesday, November 8 is Election Day. #NYCASP is suspended. Meters are in effect. @NYCSchools are closed: https://t.co/2Nqk2PDzIy</t>
  </si>
  <si>
    <t>@Karlin_C @NYC_DOT @NYCMayorsOffice Thanks for pic.DM &amp;amp;we'll file sign stump sticking out of ground. Or file online: https://t.co/gE4acMkCj7</t>
  </si>
  <si>
    <t>@AlexJesusDolan Sorry to hear that. You can make a complaint about a utility provider to Public Service Commission: https://t.co/BNuggbmQex</t>
  </si>
  <si>
    <t>Don’t forget to #fallback! #DaylightSaving Time ends Sunday November 6 at 2AM. Set your clocks back 1 hour: https://t.co/hbnxz5ZT5Z</t>
  </si>
  <si>
    <t>@MsKaylaFriend You can check SR status here: https://t.co/ZIyJKuXCjn. DM if we can further assist. Thank you.</t>
  </si>
  <si>
    <t>@msr12789 @NYPDHighway @NYC_DOT Thanks for post. Please use this online form to send suggestion to DOT Commissioner: https://t.co/7gAhmV1xqj</t>
  </si>
  <si>
    <t>@DawnmarieB1103 @NY1ForYou  Your CB: https://t.co/cdf1vmkQp3 &amp;amp; local officials: https://t.co/RJydEOGqvZ also may be able to assist. 2/2</t>
  </si>
  <si>
    <t>@DawnmarieB1103 Please use this link to Direct Message name/phone &amp;amp;we'll research call experience&amp;amp;file for you: https://t.co/6eL8JPHBRI  1/2</t>
  </si>
  <si>
    <t>@shsilberman If you like, you can submit your concern to the Manhattan DOT borough commissioner by phone or email: https://t.co/0vu0LvtCWw.</t>
  </si>
  <si>
    <t>@noisybrooklyn1 Your CB: https://t.co/cdf1vmkQp3  &amp;amp; local elected officials: https://t.co/RJydEOGqvZ also may be able to further assist.</t>
  </si>
  <si>
    <t>@ACR_SuperStar Unfortunately, we don't have that info. Please contact DMV for questions re: traffic violations: https://t.co/X5bd8hjYg9</t>
  </si>
  <si>
    <t>@NYCclassicalACU Parents of students req accommodations must indicate need on RFT(request for testing).See FAQ here: https://t.co/vMv2l4gdQP</t>
  </si>
  <si>
    <t>@prof_taxi @nancysoria626 @talk_nyc @nyctaxi If have plate #, Car Service complaint has unlicensed/unauthorized:… https://t.co/AJyrwk1HWU</t>
  </si>
  <si>
    <t>#PumpkinSmash continues at PS 11 &amp;amp; the Tribeca greenmarket for #Manhattan tmrw, Sat. 11/5.  See designated times:… https://t.co/XfQPinEJ5a</t>
  </si>
  <si>
    <t>@liarramichelle @NYC_DOT Sorry to hear. Call 911 for harassment: https://t.co/ENINzCZkIk for police response. DM if we can further assist.</t>
  </si>
  <si>
    <t>@nyc311 is showing their support for @NYCFC . We're cheering them on before their historic play off home game Sunda… https://t.co/aUXd3Mlvo5</t>
  </si>
  <si>
    <t>@JarekFA @elipongo @D00RZ0NE Thanks for video. Always call 911 to report reckless or dangerous driving in progress: https://t.co/YArrf7EIHA</t>
  </si>
  <si>
    <t>Más de 50,000 corredores estarán compitiendo en el @nycmarathon este domingo, 11/6. Aprende más aquí: https://t.co/0LZnt7wEuk</t>
  </si>
  <si>
    <t>RT @nycgob: Hey, @Chicago311! Felicidades por el histórico triunfo de los @Cubs en la #SerieMundial2016! #FlytheW #cubswin @nyc311 #WorldSe…</t>
  </si>
  <si>
    <t>#Brooklynites: bring your unwanted pumpkins and gourds to smash and compost at Red Hook 10AM-12PM on Sat. 11/5:… https://t.co/JJd3Q7YZax</t>
  </si>
  <si>
    <t>@DawnmarieB1103 Sorry to hear this. Please DM time/ # you called from. We'll research your call experience &amp;amp; file this for you. Thank you.</t>
  </si>
  <si>
    <t>More than 50,000 runners will race in #TCSNYCMarathon on Sunday, Nov. 6. Learn more &amp;amp; see st. closures here:… https://t.co/x3no5ntW6z</t>
  </si>
  <si>
    <t>@jeffthemaximum Sorry for inconvenience. App team is working to fix. Please DM  complaint you're trying to file so we can further advise.</t>
  </si>
  <si>
    <t>@BissMarkie @FlyCleaners You can report blocked bike lane as illegal parking in-progress online or w/NYC311 App: https://t.co/EMYJOu6Ith</t>
  </si>
  <si>
    <t>@brendan_gray @placardabuse Yes, sorry for any confusion. Use "permits" category. Please formally submit your suggestion on App’s main menu.</t>
  </si>
  <si>
    <t>@BayRidgeDrivers @NYPDnews @NYCSanitation Yes, it's plates as long as there's one fixed metal license or in-transit paper registration plate</t>
  </si>
  <si>
    <t>@floodfish Sorry for inconvenience. App team is working to fix. You also can file online: https://t.co/0gQuEvv4Hv &amp;amp;we'll update when we can.</t>
  </si>
  <si>
    <t>.@NYCSchools are accepting applications for the Gifted &amp;amp; Talented program until Monday, November 14. Learn more:… https://t.co/N4nG2ioalq</t>
  </si>
  <si>
    <t>NYC trees are beautiful during #Autumn. Find the best spots to see the changing #leaves with @NYCParks:… https://t.co/n5ZNPOG742</t>
  </si>
  <si>
    <t>@paulschreiber @sree @NYCMayorsOffice @NYCMayor @MiguelGamino We’ll update you when we can. Thanks for your patience. 2/2</t>
  </si>
  <si>
    <t>@paulschreiber @sree @NYCMayorsOffice @NYCMayor @MiguelGamino Sorry for any inconvenience. Our app team is working to fix.  1/2</t>
  </si>
  <si>
    <t>@CandacetheGreat Report constructionnoise: https://t.co/eg2cudK02g. Contact CB: https://t.co/cdf1vmkQp3 &amp;amp; officials: https://t.co/RJydEOGqvZ</t>
  </si>
  <si>
    <t>@yi_tweets You can report excessive construction noise: https://t.co/eg2cudsoDG &amp;amp; check active street permits: https://t.co/C7a2cXCOCs 1/2</t>
  </si>
  <si>
    <t>@brendan_gray @placardabuse You can report disability permit mis-use to DOT Commissioner here: https://t.co/7gAhmV1xqj or DM &amp;amp; we'll file.</t>
  </si>
  <si>
    <t>@SHOWTIME___nyc @NYCParks You may want to reach out to Community Board:  https://t.co/cdf1vmkQp3  &amp;amp;local officials: https://t.co/RJydEOGqvZ</t>
  </si>
  <si>
    <t>@MsKaylaFriend Thanks for pic. DM us &amp;amp; we’ll report an abandoned vehicle for you. Or you can report online or w/app: https://t.co/GPMFZlN1zl</t>
  </si>
  <si>
    <t>@JenKepler You can file this under illegal parking "blocked sidewalk" &amp;amp; put "blocking crosswalk" in details on mobile app.</t>
  </si>
  <si>
    <t>@BayRidgeDrivers @NYPDnews @NYCSanitation Report abandoned vehicles w/plates to police online or with 311 app: https://t.co/rrJmYBb6HW</t>
  </si>
  <si>
    <t>@FirstDuePhotog You can report an abandoned vehicle with or without plates online: https://t.co/GPMFZlN1zl  or app: https://t.co/4JDKq5BCFY</t>
  </si>
  <si>
    <t>@Italchick Leave items curbside. If it’s still uncollected after 8AM next day, file missed collection online here: https://t.co/Ds3yDTOVEC</t>
  </si>
  <si>
    <t>@shaneferro Thanks for your pic. If you haven't already reported, you can file street flooding online here: https://t.co/47jJ22ENUn</t>
  </si>
  <si>
    <t>#Queens residents: bring your pumpkins &amp;amp; turn them into #compost at #PumpkinSmash on Saturday, 11/5 10:30AM:… https://t.co/OvFfg0gmh2</t>
  </si>
  <si>
    <t>@yi_tweets You can report smoking violation/no smoking signs not posted online here:  https://t.co/YwGLAwoK3P or DM &amp;amp; we'll file for you.</t>
  </si>
  <si>
    <t>@chuck_a We're sorry to hear that. You can report afterhours noise  from a jackhammer online here: https://t.co/eg2cudK02g</t>
  </si>
  <si>
    <t>@nauticalstar @Shimon You can report afterhours construction noise: https://t.co/eg2cudK02g &amp;amp; check active permits: https://t.co/C7a2cXldKU</t>
  </si>
  <si>
    <t>@MANIFEST_COACH We're not sure. Check MTA: https://t.co/bW24I1hMi1 Also can send MTA question: https://t.co/hag1r7xc0A or call them at 511.</t>
  </si>
  <si>
    <t>Hey @Chicago311 Congratulations on historic @Cubs #worldseries win! #FlytheW #cubswin</t>
  </si>
  <si>
    <t>@YLMoore Yes, because MTA is state agency, we don't handle those complaints. You can report online:  https://t.co/hag1r7xc0A or call 511.</t>
  </si>
  <si>
    <t>@NameCantBe Please DM any SR #s,incl.any for DEP feedback,if you filed that.We'll refile catchbasin condition &amp;amp;/or agency complaint for you.</t>
  </si>
  <si>
    <t>@noisybrooklyn1 You can report honking in progress here: https://t.co/BPAOO2slaF &amp;amp; send suggestion to policedept: https://t.co/wAxD4pXP9N</t>
  </si>
  <si>
    <t>@DannyTac15 Verrazano closed to all vehicles Sun 11/6 7AM-3PM(ish).MTA alert: https://t.co/MiBCj63QZT &amp;amp;st. closures: https://t.co/uqz4XkvScY</t>
  </si>
  <si>
    <t>#ThrowbackThursday to timelapse of #NYC311 coming together in pink last week #breastcancerawareness. #ThinkPink https://t.co/D9p8leHkAw</t>
  </si>
  <si>
    <t>@jooltman @HildaBikes @NYC_DOT Most Ped./all traffic signal issues req speaking w/phone rep for prioritizing &amp;amp; routing. Or DM M-F 9AM-5PM.</t>
  </si>
  <si>
    <t>@wandrew_w @bikelaneblitz @D00RZ0NE @BrooklynSpoke @bikesnobnyc  Please report dumpster blocking street w/this form: https://t.co/qa2ajLgnC0</t>
  </si>
  <si>
    <t>@YLMoore Sorry to here that. You can report this issue to the MTA directly online here: https://t.co/hag1r7xc0A</t>
  </si>
  <si>
    <t>@lexasaurrr Sorry for trouble. The # is correct &amp;amp; in service 24/7. DM us &amp;amp; we'll try to assist. All contact options: https://t.co/xTXPez17hc</t>
  </si>
  <si>
    <t>@NYC_DOT @TezzaCFS Please Direct Message &amp;amp; we'll file for you. Or you can report damaged streetsign online,or w/App: https://t.co/fq85Ngnp7A</t>
  </si>
  <si>
    <t>@BulletMap @TransitNinja205 @NYC_DOT DM add'l location &amp;amp;material info &amp;amp; we'll file barrier complaint.Or file online: https://t.co/x22K88muxk</t>
  </si>
  <si>
    <t>@eatdinner Thanks for reporting it.In future,you also can file tree damage online: https://t.co/mVRpfEHRYJ or w/App: https://t.co/k8GfaclMHD</t>
  </si>
  <si>
    <t>@mdrinkard @NYPD78Pct @NYC_DOT Unfortunately,we can't file via social media. Report illegal parking online/app: https://t.co/0gQuEvv4Hv</t>
  </si>
  <si>
    <t>Los árboles de NYC son bonitos en #otoño. Encuentra las mejores vistas con @NYCParks y vea las hojas cambiar:… https://t.co/OhskDQYFux</t>
  </si>
  <si>
    <t>#StatenIsland! Don’t miss your chance at #PumpkinSmash! Bring pumpkins &amp;amp; gourds to smash &amp;amp; compost on Sat. 11/5:… https://t.co/nwlTiF5g70</t>
  </si>
  <si>
    <t>If there's no heat/hot water in your apt, you can report it w/the #NYC311 App: https://t.co/FRAGoS7hV4  or online: https://t.co/wVq7MQ1MTr</t>
  </si>
  <si>
    <t>Get batteries for your smoke/CO2 alarms at @FDNY events this week leading up to #DaylightSaving time:… https://t.co/FOQdZneLgJ</t>
  </si>
  <si>
    <t>@lhommedieu @MayorDeblasio Please alert park personnel. Or you can report park rules violation online here: https://t.co/wqTNcYRe5z</t>
  </si>
  <si>
    <t>@MeetTheMatts Sorry to hear that. Report illegal parking in progress online: https://t.co/EMYJOu6Ith  or w/app:https://t.co/FRAGoS7hV4</t>
  </si>
  <si>
    <t>Don’t forget to follow us on #Facebook: https://t.co/OJr7wXyWkp , #Instagram: https://t.co/76qhqrm4eI  &amp;amp; #YouTube:… https://t.co/Q21BEIpdBV</t>
  </si>
  <si>
    <t>@NYC_DOT @BayRidgeDrivers Yes, DM &amp;amp; we'll file. Or report missing st. sign online: https://t.co/LYCzYNbWtY &amp;amp; w/App: https://t.co/k8GfaclMHD</t>
  </si>
  <si>
    <t>@elizabethbetsyr @Cb1Queens Thanks for asking. DHS sends an outreach team within 1 hour. More Home-Stat info: https://t.co/Ie9Dj1H0cC</t>
  </si>
  <si>
    <t>MT @nychealthy: Flu vaccine is best protection against influenza &amp;amp; its terrible symptoms: https://t.co/zYpwKzeHyX https://t.co/A4U59qL3V9</t>
  </si>
  <si>
    <t>@JacobBenesch And you also can report past/ recurring drag racing by calling us at 311. Info: https://t.co/kJsU3QEXjV 2/2</t>
  </si>
  <si>
    <t>@JacobBenesch Sorry to hear, &amp;amp; thanks for reporting. We hope no future need, but you can always call 911 for updates from operators. 1/2</t>
  </si>
  <si>
    <t>@kellbellcu Also can report lawncare equip. noise: https://t.co/188QpNIZkp &amp;amp; see active st.construct. permits: https://t.co/Jr2qs6GeLF 2/2</t>
  </si>
  <si>
    <t>@kellbellcu Construction usually allowed 7AM-6PM. You can report excessive noise even if during those hours: https://t.co/eg2cudK02g  1/2</t>
  </si>
  <si>
    <t>@HildaBikes @NYC_DOT Thanks for the photo. Please DM us and we'll file this pedestrian signal condition for you. Thank you.</t>
  </si>
  <si>
    <t>If you see a homeless person in need, you can use the free #NYC311 app to request homeless outreach assistance: https://t.co/ECVmfGOvMI</t>
  </si>
  <si>
    <t>@SquarePegDem @NYC_DOB @NYCHousing Please call 311 to report cracked bldg  exterior for proper routing &amp;amp; prioritizing w/phone rep.Thank you.</t>
  </si>
  <si>
    <t>@CNJ08540 Damaged pylon can be reported to ManhattanDOTBorough Commiss. office by phone/email: https://t.co/2XCUU7cB9s or DM &amp;amp; we'll file.</t>
  </si>
  <si>
    <t>@gravenerito @NYC_DOT Thanks.Please DirectMessage(incl. email if you'd like confirmation)&amp;amp;we'll file.Or file online: https://t.co/UbTPI6kWV8</t>
  </si>
  <si>
    <t>@CNJ08540 Thanks for pic. You can report illegal parking in progress online: https://t.co/0gQuEvv4Hv or w/311 App: https://t.co/k8GfaclMHD</t>
  </si>
  <si>
    <t>#Jobhunting? Search @NYCWorkforce1 job listings, attend a #recruitment event, or visit a #Career Center: https://t.co/sY7s46VmRo</t>
  </si>
  <si>
    <t>@MrFrost1977 Please DM &amp;amp; we'll file loose trash: https://t.co/eobXD4Rnf1 &amp;amp; dirty sidewalk: https://t.co/n87TgktfMZ  or you can file w/links.</t>
  </si>
  <si>
    <t>See #HeatSeason regulations: https://t.co/lkVgau5fQ6  Report no heat online: https://t.co/wVq7MQ1MTr  or w/App:… https://t.co/fZ5fBQSIT2</t>
  </si>
  <si>
    <t>@mayumitakeda_NY @MTA @NYCTSubway @NYSDEC Please Direct Message us w/ more details so we can assist you. Thank you. https://t.co/6eL8JPHBRI</t>
  </si>
  <si>
    <t>@kellbellcu @BilldeBlasio @2A Event sponsors responsible for cleanup. Call Street Activity Permit Office for info: https://t.co/X8lftL7Xf4</t>
  </si>
  <si>
    <t>@licenselandlord @NYCHousing Sorry to hear this. DM &amp;amp; we'll file no heat/hot water: https://t.co/0YA2q5RL3C &amp;amp; gas: https://t.co/RTdwhBiOAU</t>
  </si>
  <si>
    <t>@wallywenner The Manhattan DOT Borough Commissioner’s office should have info. You can reach out by phone or online: https://t.co/0vu0LvtCWw</t>
  </si>
  <si>
    <t>@sticks2222 Always call 911 to report a homeless person outstretched in the subway or inform MTA personnel: https://t.co/l0JOfxb3qX</t>
  </si>
  <si>
    <t>@leighgb Sorry to hear. You can report construction noise to DEP: https://t.co/eg2cudK02g &amp;amp; file MTA complaint here: https://t.co/hag1r7xc0A</t>
  </si>
  <si>
    <t>@Kibblet It's not req'd to go in person.Please follow link to find phone numbers for CountyClerk offices by borough: https://t.co/RzOzomluj5</t>
  </si>
  <si>
    <t>@BrandonWC @NYCWater Thanks for your post. We can report these locations for you. Please DM us &amp;amp; we'll file for you &amp;amp; send SR #s. Thanks.</t>
  </si>
  <si>
    <t>#PumpkinSmash starts tomorrow 11/2 at 3:30 in the #Bronx. Bring your pumpkins and gourds to smash &amp;amp; #compost:… https://t.co/ZqmxpenqWV</t>
  </si>
  <si>
    <t>@biztsar Yes, you can use the "car service" vehicle type to file a complaint.</t>
  </si>
  <si>
    <t>#NYCASP está suspendida hoy, martes, 11/1 por el Dia de Todos los Santos. Parquímetros están vigentes. Consigue app: https://t.co/D9WkiUoVG7</t>
  </si>
  <si>
    <t>#NYCASP is suspended today, Tuesday November 1 for All Saints Day.Parking meters are in effect. Download #NYC311 App:https://t.co/FRAGoS7hV4</t>
  </si>
  <si>
    <t>@Kibblet County Clerk has arrest warrant info. Bring valid ID if you go in person.Hours M-F 9AM-5PM or call 311: https://t.co/RzOzomluj5</t>
  </si>
  <si>
    <t>RT @NYC_DOT: Come share your ideas about improving transit accessibility in #Manhattan: 11/2, 2-4pm at @nyuniversity. @NYMTC @NYCDisabiliti…</t>
  </si>
  <si>
    <t>Celebra esta noche en el desfile anual de #Halloween entre las 7PM-11PM con música, artistas y bailarines: https://t.co/zZzEEpyoI2</t>
  </si>
  <si>
    <t>@johnniemela1 Always call 911 for drug activity.Landlord maintenance: https://t.co/VjImYtREMK &amp;amp; indoor air quality: https://t.co/vfQZpmvvw2</t>
  </si>
  <si>
    <t>Have fun &amp;amp; be safe tonight, NYC. @NYPDNews has safety tips for going out with kids.  #HalloweenSafety #Halloween https://t.co/DUkSuW8tRE</t>
  </si>
  <si>
    <t>@TONYCnimm Please contact precinct for that location to report an accident in the past/provide info: https://t.co/0LhGW3LBi7 Thank you.</t>
  </si>
  <si>
    <t>#NYCASP is suspended tomorrow,  Tuesday, November 1 for All Saints Day. Parking meters remain effect. Follow @NYCASP for daily updates.</t>
  </si>
  <si>
    <t>@TONYCnimm @UNFI Always call 911 to report dangerous driving in progress or car accident w/one car still on scene: https://t.co/YArrf7EIHA</t>
  </si>
  <si>
    <t>Happy #Halloween, NYC! Check out our #Halloween2016 logo on #Instagram. Have a spooky safe time!… https://t.co/R5E0OOyFUS</t>
  </si>
  <si>
    <t>#NYCASP está suspendida mañana, martes el primero de noviembre, por el Dia de Todos los Santos. Parquímetros estarán vigentes.</t>
  </si>
  <si>
    <t>@AnneBarschall Call 911 if immediate danger.If no emergency, DM your name&amp;amp;phone &amp;amp; we'll file for you. Or file here: https://t.co/47jJ22ENUn</t>
  </si>
  <si>
    <t>@KezNat We're sorry for any confusion. DM = Direct Message. You can send us one here: https://t.co/REiT04fA9q</t>
  </si>
  <si>
    <t>@gina22784 @FDNY Please call us at 311 to report w/phone rep 1) blocked fire exits w/Bldgs Dept &amp;amp; 2)potential fire hazard w/FDNY. Thank you.</t>
  </si>
  <si>
    <t>Tonight is the 43rd annual #VillageHalloweenParade from 7PM to 11PM w/puppets, musicians, dancers &amp;amp; artists:… https://t.co/0dLxEXiRs4</t>
  </si>
  <si>
    <t>@leighericam You can report reckless driving in a yellow taxi: https://t.co/Xo1kD5VSiZ or Green boro taxi: https://t.co/pfRte36Xmb</t>
  </si>
  <si>
    <t>@KezNat Please DM &amp;amp; we’ll file for you. Or file dirty sidewalk: https://t.co/D2pz9Mbxq1 &amp;amp; loose trash: https://t.co/voAjvlGL9U online.</t>
  </si>
  <si>
    <t>@D00RZ0NE @twowheelsg @bikelaneblitz @sbwhite @NYPD40Pct @NYC_DOT Please contact Bronx DOT Borough Commissioner: https://t.co/0vu0LvtCWw</t>
  </si>
  <si>
    <t>@Doctor_Atkinson They may have variance. Even if permitted, you can report excessive construction noise online here: https://t.co/eg2cudK02g</t>
  </si>
  <si>
    <t>@orchlibrarian Sorry to hear. Learn how precinct responds to noise SRs: https://t.co/39kNhirVka. File feedback: https://t.co/wAxD4pXP9N</t>
  </si>
  <si>
    <t>Heat is req'd through 5/31. Report lack w/our App:https://t.co/FRAGoS7hV4 online:https://t.co/wVq7MQ1MTr or DM wkdy… https://t.co/lvw0XjUt19</t>
  </si>
  <si>
    <t>@brohattan Please DM us &amp;amp; we’ll file for you. Or file dirtysidewalk condition https://t.co/D2pz9Mbxq1  &amp;amp; loosetrash: https://t.co/voAjvlGL9U</t>
  </si>
  <si>
    <t>@page17llc @NYCSanitation @HikindDov  Thanks for your post. That's probably Sanitation employees "snow training" for upcoming season.</t>
  </si>
  <si>
    <t>@MSFSilence You also can contact your local CB: https://t.co/cdf1vmkQp3   &amp;amp; elected officials:  https://t.co/RJydEOGqvZ</t>
  </si>
  <si>
    <t>@icmesccm If issue still exists Please DM name/address/phone &amp;amp; we'll file for you or report brown water here: https://t.co/CuFFiFN8i8 2/2</t>
  </si>
  <si>
    <t>@icmesccm @NYCWater @StuyTownApts Sorry to hear. Watermain work/construction nearby may cause discoloration. Run water 'til cold &amp;amp; clear 1/2</t>
  </si>
  <si>
    <t>@Sam_Guide Sorry to hear. Your CB: https://t.co/cdf1vmkQp3  &amp;amp; local elected officials: https://t.co/RJydEOGqvZ  may be able to assist.</t>
  </si>
  <si>
    <t>@merced_jenn Please DM details &amp;amp; we'll file this street metal plate issue: https://t.co/seNcb3vX5W or file online: https://t.co/seNcb3vX5W</t>
  </si>
  <si>
    <t>@kareljaros Thanks. Please Direct Message &amp;amp; we'll file this as park maintenance issue for you. Or file online, App: https://t.co/s7U7xvpBws</t>
  </si>
  <si>
    <t>@johnniemela1 Always call 911 for in progress drug activity. Call 311 to make anonymous tips re: illegal drug use: https://t.co/JErIeRS6yQ</t>
  </si>
  <si>
    <t>Facing eviction? @NYCDHS #HomeBase program has alternatives to shelters and other supportive services: https://t.co/5an7JUHDQs</t>
  </si>
  <si>
    <t>@donelizasays Thanks for pic. DM &amp;amp; we’ll file for you. Or you can request City tree branch removal online or w/App: https://t.co/3SeXvXviWt</t>
  </si>
  <si>
    <t>@Help152nd @NYPD30Pct Report in-progress noise here: https://t.co/tsfL0PK7Na. Call 911 for drug sales in progress: https://t.co/JErIeRS6yQ</t>
  </si>
  <si>
    <t>@TheRealTrump16 Thanks for your photo. You can report a bus sign maintenance issue directly with the MTA online: https://t.co/uwBB4pTtG4</t>
  </si>
  <si>
    <t>@kmcowdin @NYCMayorsOffice Learn how precinct responds noise complaints: https://t.co/39kNhirVka &amp;amp; file feedback: https://t.co/wAxD4pXP9N</t>
  </si>
  <si>
    <t>@GOD_HASSPOKEN47 @RepJeffries @GregFloydSlate @TishJames @cbrangel Please call NYCHA Customer Center 718-707-7771: https://t.co/nzEpcKOxwU</t>
  </si>
  <si>
    <t>NYC ofrece referidos legales para todo residente y asistencia legal gratuitita para #veteranos y personas ancianas: https://t.co/n9Y64O1hi6</t>
  </si>
  <si>
    <t>The 43rd annual #VillageHalloweenParade returns tomorrow, 10/31 7PM -11PM. See info to participate or watch:… https://t.co/SUrojypEP4</t>
  </si>
  <si>
    <t>Look up service requests  by location, category, complaint type, and date with the #NYC311 Service Request Map: https://t.co/RdPhyUjP6y</t>
  </si>
  <si>
    <t>Cubert is all wrapped up &amp;amp; ready to show his  #SupportYourCity pride for @NYCFC in their #MLSCupPlayoffs game today. https://t.co/YgX5zOp6QT</t>
  </si>
  <si>
    <t>#EarlyDetectionSavesLives. Make an appointment for free/low cost #mammogram w/@NYCHealthSystem:… https://t.co/CJiZPns8oi</t>
  </si>
  <si>
    <t>¿Olvidaste algo en un #taxi? Repórtalo aquí: https://t.co/jBKVSaj5g5  o con la aplicación de #NYC311:… https://t.co/stKAUfM5LX</t>
  </si>
  <si>
    <t>Left something in a yellow taxi? Use Taxi Lost &amp;amp; Found to track it down:https://t.co/jBKVSaj5g5  or our App:… https://t.co/p1K9E1Nemc</t>
  </si>
  <si>
    <t>Have fun &amp;amp; be safe this #Halloween, NYC. See @NYPDNews safety tips for trick-or-treating: https://t.co/uFsCRG69bK… https://t.co/XyxfIyRmbo</t>
  </si>
  <si>
    <t>Its #NYCHeatSeason. You can report a lack of heat or hot water online or with our free mobile app:… https://t.co/BbwzAJ23D5</t>
  </si>
  <si>
    <t>#YourChoicesMatter 1 in 4 pedestrian deaths or serious injuries involve turning vehicles #DontCutCorners #SlowDown… https://t.co/1hpPbFfCDx</t>
  </si>
  <si>
    <t>MT @nycgob: #Seacercaelinvierno. Si su casero no da calefacción reportalo aqui: https://t.co/26vzM002c5 https://t.co/LZm63Fde1D</t>
  </si>
  <si>
    <t>@Noreaster76 Sorry to hear. Please call us at 311 to report non-emergency traffic condition with phone rep for local precinct response.</t>
  </si>
  <si>
    <t>@JamesMTeague @ConEdison Sorry to hear about this. Please DM us your service request numbers so we can research &amp;amp; advise the next step.</t>
  </si>
  <si>
    <t>@iVe_hRnDz @NYPD109Pct Thanks for the photo. Please DM us your service request number so we can research &amp;amp; advise on next step.</t>
  </si>
  <si>
    <t>NYC’s annual #VillageHalloweenParade returns on Mon. Oct. 31 7PM. See details for participants &amp;amp; viewers:… https://t.co/dLy8lKAvUs</t>
  </si>
  <si>
    <t>@paulschreiber @sree @MiguelGamino Thanks for letting us know.We shared w/AppTeam &amp;amp;it should be resolved.Please let us know if not the case.</t>
  </si>
  <si>
    <t>@richfein Glad to hear the noise stopped. Please Direct Message if we can further assist. Thank you.</t>
  </si>
  <si>
    <t>@MiroWare If you've already reported,check SR status: https://t.co/CYy6UeX1hg. If you need to file please DM so we can assist you.Thank you.</t>
  </si>
  <si>
    <t>@DaniaDuran Hi, we're sorry to hear you're having trouble getting through. You can call ACC at 212.788.4000: https://t.co/SVnWo3FlRy</t>
  </si>
  <si>
    <t>@jennykutnow Please DM us any service request numbers you have so we can research and advise on next step. Thank you.</t>
  </si>
  <si>
    <t>@KewguysMk Thanks for letting us know. We've shared it with our App Team. We'll reply with update when we can.</t>
  </si>
  <si>
    <t>Fall just began but #Winteriscoming. Register to be a temporary snow laborer w/@NYCSanitation &amp;amp; earn $15 per hour:… https://t.co/lU9UMsiT9m</t>
  </si>
  <si>
    <t>@NYC_DOT @skoogfit Thanks for looping us in. Please DM us and we'll report no lights in the park for you. Thank you.</t>
  </si>
  <si>
    <t>@jennykutnow You also can report illegal/against approved plan construction to Dept of Bldgs online here: https://t.co/WB3l2lK3JZ 2/2</t>
  </si>
  <si>
    <t>@nyjerrykane @NYC_DOT @ConEdison @VGentile43 Call 911 if immediate danger. If not emergency please DM us &amp;amp; we'll file for you. Thank you.</t>
  </si>
  <si>
    <t>@jennykutnow There might be variance. Even w/permit, you can report excessive construction noise to DEP online: https://t.co/eg2cudK02g 1/2</t>
  </si>
  <si>
    <t>@MSFSilence Thanks for your messages. If you like, send your concern to DEP Commissioner using this online form: https://t.co/0ZudR4unRR</t>
  </si>
  <si>
    <t>@sara_moe We're sorry to hear this. If still no water, please DM us &amp;amp; we'll re-file for you. Here's online link: https://t.co/dNUyZEeEFx</t>
  </si>
  <si>
    <t>@tmcNYC @NYC_DOT Send police dept. concern w/online form:  https://t.co/wAxD4pXP9N. Contact your City Councilperson: https://t.co/qNa1ZUvcV1</t>
  </si>
  <si>
    <t>If you don’t have heat/hot water you can report it online:https://t.co/wVq7MQ1MTr  or w/the free #NYC311 mobile App… https://t.co/KIKypRzX5r</t>
  </si>
  <si>
    <t>NYC artists: apply to have your art displayed in a @NYCParks &amp;amp; get a $10,000 grant. Apply before 11/13 deadline:… https://t.co/jAf4IUFWBV</t>
  </si>
  <si>
    <t>#NYC311 staff stood together today in pink to encourage #breastcancerawareness #earlydetection &amp;amp; support.… https://t.co/86axYDt5Bh</t>
  </si>
  <si>
    <t>@johnniemela1 Call 911 for drug activity in progress.Or call 311 to give anonymous tips re:illegal drug use/sale: https://t.co/JErIeRS6yQ</t>
  </si>
  <si>
    <t>@bat_elm Unfortunately, we don't currently have that info. Please contact your landlord/building management for updates.</t>
  </si>
  <si>
    <t>Ser voluntario es bueno para ti, tu comunidad y otros. Busca oportunidades con @NYCService: https://t.co/gBEcPRkEOP</t>
  </si>
  <si>
    <t>@brainiikit Glad to hear you'd reported it.If you like, you can send your concern to NYCHA chair using online form: https://t.co/sQemHaQovH</t>
  </si>
  <si>
    <t>@nvrhem We're sorry to hear this. Please DM date/time/ # you called from so we can research your experience &amp;amp; further advise. Thank you.</t>
  </si>
  <si>
    <t>If you’ve filed a #NYC311 service request recently you can check status online: https://t.co/fCVqD5gUNB &amp;amp; with App: https://t.co/FRAGoS7hV4</t>
  </si>
  <si>
    <t>@elizabethkanter Thanks for clarifying. Please Direct Message so we can advise without character limit. Thank you. https://t.co/6eL8JPHBRI</t>
  </si>
  <si>
    <t>@elizabethkanter We’re sorry to hear this. You must call 911 to file a harassment report: https://t.co/ENINzCZkIk</t>
  </si>
  <si>
    <t>@thepaix Thanks for photo. You can send your concern to the Police Commissioner directly using this online form: https://t.co/wAxD4pXP9N</t>
  </si>
  <si>
    <t>@cd_clifford Sorry to see this. DM us &amp;amp; we'll file park maintenance: https://t.co/s7U7xvpBws for you. (Incl. email for confirmation msg.)</t>
  </si>
  <si>
    <t>There’s 4 ways to report a pothole. Online: https://t.co/YnJ8TJxvvd, our App: https://t.co/FRAGoS7hV4 or DM us wkda… https://t.co/5W8l4oWCSq</t>
  </si>
  <si>
    <t>@abr601 @NYCWater @FDNY Sorry to hear this.DEP should inspect w/in 6 hrs.If still exists, DM &amp;amp;we'll re-file for you: https://t.co/IsA8EYwXnI</t>
  </si>
  <si>
    <t>Need to pay or dispute a parking ticket? You can do either online, by mail, or in person. Find out more here: https://t.co/nzbBI5xtRm</t>
  </si>
  <si>
    <t>@Insomniac_Nat @NYC_Buildings Sorry to hear. Check status w/ SR Lookup online here: https://t.co/baflJHCxKL.  DM if we can further assist.</t>
  </si>
  <si>
    <t>@mikeyc_dub @NYCDHS @NYCMayorsOffice @BilldeBlasio @NYPDONeill @NYPDMTS Call 911 if hazard.Or 311 for encampment: https://t.co/l0JOfxb3qX</t>
  </si>
  <si>
    <t>@brainiikit Sorry to hear. We hope it's fixed, but if not, please call NYCHA Customer Contact Center 718-707-7771: https://t.co/Ce1cjVGFAu</t>
  </si>
  <si>
    <t>@Bear201_ @NYCSanitation If still uncollected 8AM day after your scheduled day, file missed collection online here: https://t.co/Ds3yDTOVEC</t>
  </si>
  <si>
    <t>@pixchix Call 911 if homeless are creating hazard. Or please call us at 311/use app to request outreach assistance: https://t.co/ECVmfGOvMI</t>
  </si>
  <si>
    <t>Heat is req’d 10/1-5/31 &amp;amp; hot water 365 days/yr. Report lack with #NYC311 app: https://t.co/FRAGoS7hV4  or online:… https://t.co/CmAXAx9ShO</t>
  </si>
  <si>
    <t>@sciencenate @JQuaglione @JustinBrannan @NYC_DOT If not reported yet, please DM details &amp;amp; we'll file pedestrian signal. Thank you.</t>
  </si>
  <si>
    <t>@Shmuli @NYC_DOT DOT Brooklyn Borough Commissioner's office should have info. You can reach out by phone or online: https://t.co/0vu0LvtCWw</t>
  </si>
  <si>
    <t>Heat is req’d through May 31 &amp;amp; hot water req’d 365 days a year. You can report a lack online or w/free #NYC311 app:… https://t.co/mxbxLHpkrz</t>
  </si>
  <si>
    <t>Padres: aprende como tus hijos pueden manejar las alergias este otoño con consejos de @NYCHealthSystem: https://t.co/IuRmZo3H6C</t>
  </si>
  <si>
    <t>@NYCHousing @RobHalperin Please Direct Message any details you wish to share so we can advise without character limit. Thank you.</t>
  </si>
  <si>
    <t>@NYC_DOT @brendan_gray Thanks for tagging us. You also can call us at 311 to report problem with City vehicle with a phone representative.</t>
  </si>
  <si>
    <t>If a home improvement contractor did more harm than good &amp;amp; work totaled $200+, you can file a complaint online: https://t.co/D3Vp3dWUV1</t>
  </si>
  <si>
    <t>@philipneumann @NYC_DOT Please reach out to Queens DOT Borough Commissioner by phone/email for updates: https://t.co/0vu0LvtCWw Thank you.</t>
  </si>
  <si>
    <t>@LindaSWang We'll report phone issue. Please call us at 311 &amp;amp; ask for 'city clerk online support,' to be transferred to City Clerk Systems.</t>
  </si>
  <si>
    <t>#NYC311 #Cubert is loving the weather! Check out @NYCParks fall foliage: https://t.co/2QWVJi4BZO &amp;amp; Halloween events… https://t.co/scgbzXCL0P</t>
  </si>
  <si>
    <t>@BayRidgeDrivers @NYPD68Pct @NYCSanitation Check SR status for agency  updates: https://t.co/baflJHCxKL. DM SR #s so we can further advise.</t>
  </si>
  <si>
    <t>@sarah_sirota You can report construction work being done offhours to DOB: https://t.co/WB3l2m1EBx &amp;amp; noise to DEP: https://t.co/eg2cudsoDG</t>
  </si>
  <si>
    <t>@LilianeSattie We’re not sure. Even if there's permit/variance, you can report afterhours construction noise: https://t.co/eg2cudK02g</t>
  </si>
  <si>
    <t>@AnikeRabiu We're sorry to hear that. You can file a helicopter noise complaint online here: https://t.co/jCiYITKXlp</t>
  </si>
  <si>
    <t>@serriadarling Sorry to hear. DM &amp;amp; we'll file no heat for you. Or report online: https://t.co/wVq7MQ1MTr or w/App: https://t.co/k8GfaclMHD</t>
  </si>
  <si>
    <t>@LindaSWang We understand your frustration.The # we have for Manhattan is 212-669-2400. Or use link to send inquiry: https://t.co/PaBMfh6sB8</t>
  </si>
  <si>
    <t>Parents: learn how your children can manage #allergies this fall season with tips from @NYCHealthSystem:… https://t.co/wTYBzx6XBc</t>
  </si>
  <si>
    <t>See #HeatSeason regs: https://t.co/lkVgau5fQ6  Report no heat online: https://t.co/wVq7MQ1MTr  or w/311 App:… https://t.co/Cfkszs3T2c</t>
  </si>
  <si>
    <t>@placardabuse @nycgov Thanks for alerting us.Please DM SR #s affected, &amp;amp; dates submitted (if you have), so we can share w/AppTeam.Thank you.</t>
  </si>
  <si>
    <t>@LindaSWang Sorry to hear that. We don't have alert for City Clerk phones. Which borough office are you trying to contact? DM if you prefer.</t>
  </si>
  <si>
    <t>@JerseyFraiche @megabus You can file longdistance bus service complaint w/Port Authority by phone or online form: https://t.co/drK0LZWjG7</t>
  </si>
  <si>
    <t>#NYCWell - 24/7 confidential &amp;amp; free mental health assistance for all NYers. Learn more: https://t.co/z7dsxTtQpS https://t.co/Rq2yCOZFm5</t>
  </si>
  <si>
    <t>@jschil @AVRBNY Thanks! You can call 311 or 212-NEW-YORK (212-639-9675) 24/7/365. See all the ways to connect w/us: https://t.co/xTXPez17hc</t>
  </si>
  <si>
    <t>Congratulations @BellevueHosp for 280 years of serving NYC! See all that #Bellevue offers: https://t.co/cognDWzeM5 https://t.co/ZSkxMCfql1</t>
  </si>
  <si>
    <t>@BAMstutz @NYC_DOT Please Direct Message (include email address to rec'v confirmation) &amp;amp; we'll file street line markings SR for you. Thanks.</t>
  </si>
  <si>
    <t>@SusanNam10024 Sorry to see that. Please call us at 311 to report non-emergency traffic condition w/phone rep. for local precinct response.</t>
  </si>
  <si>
    <t>@MzValeriaJ @YellowCabNYC @MTA We're sorry to hear that. You can report a reckless yellow taxi driver online here: https://t.co/TLuhhsdA5c</t>
  </si>
  <si>
    <t>Don’t let potholes ruin your commute. Report online: https://t.co/YnJ8TJxvvd  app: https://t.co/FRAGoS7hV4  DM/FB:… https://t.co/nOrdXKHKd8</t>
  </si>
  <si>
    <t>@PatrickNYC1 @TheChrisRitchey Hi. File parkgraffiti online: https://t.co/wHYjksJviB or DM (incl. email for confirmation)&amp;amp;we'll file for you.</t>
  </si>
  <si>
    <t>Report lack of heat/hot water online: https://t.co/wVq7MQ1MTr app: https://t.co/FRAGoS7hV4 or DM us wkdys 9-5 &amp;amp; we’ll file for you.</t>
  </si>
  <si>
    <t>@sumasetty DM name/phone &amp;amp;we’ll file for you,or you can file broken hydrant online: https://t.co/PpoUFeTbE6 or App: https://t.co/k8GfaclMHD</t>
  </si>
  <si>
    <t>@youthquake08 Please DM more info &amp;amp; we'll file,or call us at 311 to request removal of large amount of dumped items w/ phone rep. Thank you.</t>
  </si>
  <si>
    <t>@DanClayton666 Sorry to hear that. We see that you called to report the issue. Please DM if we can be of further assistance. Thank you.</t>
  </si>
  <si>
    <t>@passport2hauteT Always call 911 if smoke/fire: https://t.co/zgvpgE3pO2. If people smoking in station,report to MTA: https://t.co/hag1r7xc0A</t>
  </si>
  <si>
    <t>@HealthStudent @NYCTSubway @MTA @2AvSagas NYC CityStore might have info. You can use this 'Contact Us' to inquire: https://t.co/Zri1HbSQx0</t>
  </si>
  <si>
    <t>Beautify your neighborhood park. Report park areas or equipment in need of cleaning or repair online here: https://t.co/59317JLz4G</t>
  </si>
  <si>
    <t>@manatee5193 Staten Island residents can schedule pickup. If you're on SI, DM &amp;amp; we'll schedule for you. More info: https://t.co/KKOHv6tMiO</t>
  </si>
  <si>
    <t>@BryanByczek Yes, please call us at 311 to report stray/orphaned kitten. See more info on stray animals here: https://t.co/d3DgMebvsy</t>
  </si>
  <si>
    <t>@NYC_DOT @GeneYorkMorgan Thanks for looping us in. Please DM us and we'll file for you and send you a Service Request number. Thank you.</t>
  </si>
  <si>
    <t>@NYC_DOT @HokTan Thanks for looping us in. Please DM us and we'll file these highway potholes for you. Thank you.</t>
  </si>
  <si>
    <t>@EvangMcBayne Call 911 if there's immediate danger. If condition persists, please DM us &amp;amp; we'll report pedestrian signal or call us at 311.</t>
  </si>
  <si>
    <t>#NYCASP está suspendida hoy, martes 10/25 por Simchas Torah. Parquímetros están vigentes. Consigue nuestro app: https://t.co/D9WkiUoVG7</t>
  </si>
  <si>
    <t>#NYCASP is suspended today Tuesday, October 25 for Simchas Torah. Parking meters remain in effect. Get #NYC311 App: https://t.co/FRAGoS7hV4</t>
  </si>
  <si>
    <t>@EQTubeck We're looking into those SR #s. Please Direct Message us here: https://t.co/6eL8JPHBRI so we can continue w/out character limit.</t>
  </si>
  <si>
    <t>@DuranWrayc @NYCWater Sorry to hear. DM name/phone# (DEP requires it) &amp;amp;we'll file dirty water report.Or file online: https://t.co/dNUyZEeEFx</t>
  </si>
  <si>
    <t>Es el mes en Contra de la Violencia Domestica. Aprende sobre los centros de la justicia familiar y más: https://t.co/EFScvMFNsg</t>
  </si>
  <si>
    <t>#NYCASP will be suspended tomorrow, Tuesday, October 25 for Simchas Torah. Parking meters will be in effect:https://t.co/FRAGoS7hV4</t>
  </si>
  <si>
    <t>@onatimeout Please contact the local precinct to request a school crossing guard at a specific location: https://t.co/2roTJr1Zwr</t>
  </si>
  <si>
    <t>@onatimeout You can request a new stop sign by writing to the Dept. of Transportation Commissioner: https://t.co/GHQIhbjevx</t>
  </si>
  <si>
    <t>@wmclarkassoc @BikeNYCLaw If the app issue persists, please DM us with add’l screenshots so we can further research. Thank you. 2/2</t>
  </si>
  <si>
    <t>@wmclarkassoc @BikeNYCLaw Sorry for inconvenience. We hope issue doesn’t repeat, but also can be filed online: https://t.co/EMYJOu6Ith ½</t>
  </si>
  <si>
    <t>@EQTubeck We're sorry to see that.Please send Direct Message w/ your service request numbers so we can research &amp;amp; further assist.Thank you.</t>
  </si>
  <si>
    <t>Don’t let the #Mondayblues get to you. Make an appt to get your @IDNYC &amp;amp; enjoy free memberships &amp;amp; discounts: https://t.co/RdtEg7J75C</t>
  </si>
  <si>
    <t>@NYC_DOT @UberCiph Thanks for looping us in. Please DM us details &amp;amp; we'll file metal plate condition and/or failed street repair for you.</t>
  </si>
  <si>
    <t>Learn about #digitalmarketing with @BKLYNlibrary on Wednesday, 10/26 3PM-4:30PM. No experience needed. Register: https://t.co/O2lDaRdy8y</t>
  </si>
  <si>
    <t>@NYC_DOT @joby_jacob @NYCParks @nily Thanks for tagging us. Please DM us the location &amp;amp; we'll report faded line markings for you. Thanks.</t>
  </si>
  <si>
    <t>@NYCParks @MCG2000 Thanks for the tag. Yes, please Direct Message (incl. email for confirmation) &amp;amp; we'll file for you.</t>
  </si>
  <si>
    <t>@limeduck Please DM &amp;amp; we'll file this ped signal issue for you.Or file walk/don't walk showing at same time online: https://t.co/mNAyWxufRP</t>
  </si>
  <si>
    <t>@J0k3R_PFL See how precincts respond to noise complaints: https://t.co/39kNhirVka. Send police commissioner concern: https://t.co/wAxD4pXP9N</t>
  </si>
  <si>
    <t>@brandonRohwer We’re sorry to hear this. You can report after-hours jackhammering noise online here: https://t.co/2KULvb99GG</t>
  </si>
  <si>
    <t>@Coronakeith @JustinBrannan @NYCWater If discoloration persists,DM address/name/phone # &amp;amp; we'll file. Or online: https://t.co/CuFFiFN8i8 2/2</t>
  </si>
  <si>
    <t>@Coronakeith @JustinBrannan @NYCWater Sorry to hear. DEP crews opened hydrants overnight to flush mains. Running water should clear 1/2</t>
  </si>
  <si>
    <t>@SKirbynyc You can report park rules violation online here: https://t.co/wqTNcYRe5z or DM (incl. email for confirmation) &amp;amp;we'll file for you</t>
  </si>
  <si>
    <t>@passport2hauteT @NYPDnews @NYCTSubway Any time there's gas odor, find phone away from area &amp;amp; call 911 immediately: https://t.co/gJqaxnHvC2</t>
  </si>
  <si>
    <t>@yi_tweets In the future, you can report neighbor noise in progress online or w/App for local precinct to respond: https://t.co/RWUb7gNgdg</t>
  </si>
  <si>
    <t>@MoisesAloof Try to settle directly w/prop. owner.Find free,confidential mediation assistance for any conflict: https://t.co/sX91v84C1X. 2/2</t>
  </si>
  <si>
    <t>@MoisesAloof We're sorry to hear that. Unfortunately the City doesn't take complaints about bright lights from residential properties. 1/2</t>
  </si>
  <si>
    <t>#NYCWell - 24/7 confidential &amp;amp; free mental health assistance for all NYers. Learn more: https://t.co/z7dsxTtQpS https://t.co/dnTMb6D6sm</t>
  </si>
  <si>
    <t>Reporting No Heat or Hot Water from your phone with the #NYC311 App is easy &amp;amp; can take less than a minute. See how: https://t.co/yJXdnhHas9</t>
  </si>
  <si>
    <t>@suchanicegirl In future,check DOT &amp;amp; NYState 511 planned closures: https://t.co/e1Hn8bNqBf , register w/NotifyNYC: https://t.co/Xk3RRP5XZm</t>
  </si>
  <si>
    <t>@beyondtheissues And of course, you can always call us at 311 or text us at 311-692, phone reps/text available 24/7/365. Thank you. 3/3</t>
  </si>
  <si>
    <t>@beyondtheissues In future, if not emergency, DM us during those times , or you can report tree online, w/App: https://t.co/mVRpfEHRYJ 2/3</t>
  </si>
  <si>
    <t>@beyondtheissues Thanks. Please note this account monitored M-F, 9AM-5PM (except City holidays). Always call 911 if immediate danger 1/3</t>
  </si>
  <si>
    <t>No matter gender, immigration or language help is available for #domesticviolence victims throughout NYC:  https://t.co/RS7mFT63uu</t>
  </si>
  <si>
    <t>@BDesco You can. Collection events ensure they're disposed of properly. See guidelines for reg garbage disposal: https://t.co/vy35r5HjI5</t>
  </si>
  <si>
    <t>@KezNat Thanks for video. In future, you can report noise from vehicle online here: https://t.co/8p4eRpcJtP, local precinct to respond.</t>
  </si>
  <si>
    <t>@EyeRational Sorry to hear. In future, always call 911 to report an alarm in progress. Report chronic alarm issue: https://t.co/vEKDj1ozi7</t>
  </si>
  <si>
    <t>@runsammrun Hot h2o must be provided year-round. There's no variance for demand. Report no/not enough hot water: https://t.co/0YA2q5RL3C</t>
  </si>
  <si>
    <t>#NYCASP está suspendida hoy, lunes 10/24 por Shemini Atzereth y mañana, martes, 10/25 por Simchas Torah. Parquímetros estarán vigentes.</t>
  </si>
  <si>
    <t>#NYCASP suspended today Mon.10/24 for Shemini Atzereth &amp;amp; tmrw Tue. 10/25 for Simchas Torah. Prkg meters in effect:https://t.co/FRAGoS7hV4</t>
  </si>
  <si>
    <t>#NYCASP está suspendida mañana, lunes 10/24 por Shemini Atzereth y el martes, 10/25 por Simchas Torah. Parquímetros estarán vigentes.</t>
  </si>
  <si>
    <t>#NYCASP suspended tomorrow, Monday Oct. 24 for Shemini Atzereth &amp;amp; Tuesday Oct. 25 for Simchas Torah. Meters in effect. Follow @NYCASP.</t>
  </si>
  <si>
    <t>You can report graffiti that’s on a building, outside of a public school, in a park, &amp;amp; other locations online here: https://t.co/KtDptASAiN</t>
  </si>
  <si>
    <t>Can't make it to the poll site for Election Day, November 8? Learn about absentee voting with @BOENYC:… https://t.co/dgmU3TbvKa</t>
  </si>
  <si>
    <t>Businesses cannot charge men &amp;amp; women different prices for the same service. File a gender pricing complaint online: https://t.co/TEWqQD3GSM</t>
  </si>
  <si>
    <t>Encuentre información sobre viviendas a bajo costo, incluyendo como ser elegible y obtener una aplicación: https://t.co/jqyc39XxuX</t>
  </si>
  <si>
    <t>It’s NYC Heat Season. See regs: https://t.co/gmiamhgU0c  Report no heat online: https://t.co/wVq7MQ1MTr  or w/App:… https://t.co/VEPGqviRBb</t>
  </si>
  <si>
    <t>Today Sat. 10/22 is National Prescription Drug Take-Back Day. Locations are open from 10AM to 2PM:… https://t.co/vhVuNRWpKo</t>
  </si>
  <si>
    <t>#NYCASP está suspendida lunes 10/24 por Shemini Atzereth y martes 10/25 por Simchas Torah. Parquímetros estarán vigentes.</t>
  </si>
  <si>
    <t>@KezNat Thanks for your posts. We're replying to your Direct Message now.</t>
  </si>
  <si>
    <t>@AnneBarschall We understand and are happy to help you file, please Direct Message us.</t>
  </si>
  <si>
    <t>@D00RZ0NE Sorry to hear you had trouble &amp;amp; thanks for images. If issue continues please DM with addtl images (if possible) for assistance.</t>
  </si>
  <si>
    <t>#NYCASP is suspended on Mon, Oct, 24 for Shemini Atzereth &amp;amp; Tue, Oct. 25 for Simchas Torah. Meters will be in effect. Follow @NYCASP.</t>
  </si>
  <si>
    <t>Q: What to do w/unwanted/expired Rx? A: Bring them to Nat’l Rx Drug Take-Back Day participating location Sat Oct 22… https://t.co/6X5arbVJZX</t>
  </si>
  <si>
    <t>@serriadarling @NYCHousing Hi, sorry to hear that. Please DM us with any SR#s you may have so we can look into this further.</t>
  </si>
  <si>
    <t>@AnneBarschall Please DM us &amp;amp; we'll file street metal plate: https://t.co/seNcb3vX5W report for you. Let us know if other.</t>
  </si>
  <si>
    <t>Reporting a pothole has never been so easy. Watch on #YouTube: https://t.co/1Dy6eyT64P  &amp;amp; download #NYC311 App:… https://t.co/bQCU3hMkZm</t>
  </si>
  <si>
    <t>@JKub_eXtreme We're not sure.File afterhour construction noise: https://t.co/eg2cudK02g   &amp;amp;check active st. permits: https://t.co/Jr2qs6GeLF</t>
  </si>
  <si>
    <t>@youngerpants Please Direct Message us &amp;amp; we'll re-file this as a dirty sidewalk condition for you &amp;amp; send you a SR number. Thank you.</t>
  </si>
  <si>
    <t>@Trudo We don't have any alerts. If it still exists please DM us name/phone #/address &amp;amp; we'll file or file online: https://t.co/CuFFiFN8i8</t>
  </si>
  <si>
    <t>Today Fri.10/21 is National Mammography Day. Make a mammogram appt. for little or no cost: https://t.co/Mts8js4lGu… https://t.co/OinpTyKryD</t>
  </si>
  <si>
    <t>@merm2068 Hi, please refer to our previous Direct Message conversation for help options and to get more info without character limits.</t>
  </si>
  <si>
    <t>Thanks @FDNY for yesterday's visit! We're honored to work together on best practices for #emergencypreparedness:… https://t.co/9TBZ29lorJ</t>
  </si>
  <si>
    <t>Vea todos los eventos de #Halloween por @NYCParks este mes; incluyendo las exhibiciones de películas y más: https://t.co/mOYFSZn6cH</t>
  </si>
  <si>
    <t>It’s #DomesticViolence Awareness Month. Learn about it w/@NYCagainstabuse including statistics &amp;amp; services: https://t.co/mspeD65Wml</t>
  </si>
  <si>
    <t>@donelizasays @NYCParks @NYPDnews  Sorry to hear. You can send your concern to Parks w/ this online form: https://t.co/dFebX2iq3m</t>
  </si>
  <si>
    <t>Download @NYC_DOT’s 2016 Bike Map for #cyclist rights/responsibilities &amp;amp; info about pathway restrictions:… https://t.co/fUg4dqubzd</t>
  </si>
  <si>
    <t>@NYCSanitation @lenarsic Thanks! Please DM (incl email for confirmation) &amp;amp; we'll file for you. Or file online/App: https://t.co/59317JLz4G</t>
  </si>
  <si>
    <t>@mariadiana Thanks for your link. If you haven't already, report afterhours construction noise to DEP online here: https://t.co/eg2cudK02g</t>
  </si>
  <si>
    <t>@Jake_Rust1 @Wix @nycgo @NYCMayorsOffice @WixLounge @NotifyNYC @NY1 Hi, please DM details so we can advise w/o character limit. Thank you.</t>
  </si>
  <si>
    <t>@tarashnat Thanks for your pic. In the future, you can report illegal parking in progress online or with our App: https://t.co/EMYJOu6Ith</t>
  </si>
  <si>
    <t>@BayRidgeDrivers @NYC_DOT Or if you prefer, you can report missing line markings online here: https://t.co/e5eCgjMoRp  2/2</t>
  </si>
  <si>
    <t>@BayRidgeDrivers @NYC_DOT Please DM &amp;amp; we'll file street markings request for you. Incl. email address if you'd like confirmation. 1/2</t>
  </si>
  <si>
    <t>Check out all of @NYCParks free #Halloween events this month like spooky movie showings, haunted tours &amp;amp; more:… https://t.co/j0Wz8Cyuu3</t>
  </si>
  <si>
    <t>@slopegal Try to settle directly w/prop. owner. Find free, confidential mediation assistance for any conflict: https://t.co/sX91v84C1X. 2/2</t>
  </si>
  <si>
    <t>@slopegal We're sorry to hear that. Unfortunately the City doesn't take complaints oabout bright lights from residential properties. 1/2</t>
  </si>
  <si>
    <t>@subtle116 @HalfPintPlanner @NYC_DOT Please contact DDC for Forsyth Plaza questions. Call 311 or phone/email here: https://t.co/lzTQWKPdWQ</t>
  </si>
  <si>
    <t>@msr12789 @NYC_DOT DM us email for confirmation &amp;amp; we’ll file. Or you can report overgrown weeds on highway online: https://t.co/1FSQL08RRO</t>
  </si>
  <si>
    <t>@molarryhils @NYCSanitation Thanks for tagging us. We're replying to your DM now.</t>
  </si>
  <si>
    <t>@222Nels Please Direct Message us your Service Request number &amp;amp; details so we can research and further advise. Thank you.</t>
  </si>
  <si>
    <t>Consigue descuentos al @BarclaysCenter, @Modells y membresía de un año gratis a @NYRR con @IDNYC: https://t.co/vTOXfe7oZs</t>
  </si>
  <si>
    <t>@sarahclingman No, dispose of diapers &amp;amp; other personal hygiene items as garbage on your regular pickup day: https://t.co/K8Uj6PePBV</t>
  </si>
  <si>
    <t>Are you on #Instagram? Follow us for the latest on our awesome employees &amp;amp; mascot, Cubert: https://t.co/fwpVfzy6Xe    #WeareNYC311</t>
  </si>
  <si>
    <t>@kellecruz @CentralParkNYC @NYC_DOT You can report violation of park rules (&amp;amp; attach photo/video) online here: https://t.co/wqTNcYRe5z</t>
  </si>
  <si>
    <t>.@NYC_DOT is having a free bike helmet fitting &amp;amp; distribution event on Sat. October 22 12PM in #theBronx:… https://t.co/Zx1FhsUriQ</t>
  </si>
  <si>
    <t>@lisslissa_ How can we help you? Please send Direct Message so we can assist w/o character limit: https://t.co/6eL8JPHBRI Thank you.</t>
  </si>
  <si>
    <t>@YDuICare @NYC_DOT @NYCMayorsOffice @NYPDnews @Gothamist @transalt Report illegal parking inprogress online,w/App: https://t.co/EMYJOu6Ith</t>
  </si>
  <si>
    <t>@YDuICare @NYCMayorsOffice If you'd like to submit your comments to the Mayor formally, you can send by mail/email: https://t.co/8K8Yqm9HvO</t>
  </si>
  <si>
    <t>@NYCAssassin1 Sorry to hear.In future call 911 for emergency traffic cond'n in progress: https://t.co/ZCAzHJrRTy Follow @NotifyNYC alerts</t>
  </si>
  <si>
    <t>Friday, Oct. 21 is Nat'l Mammography Day. Buddy up for moral support &amp;amp; schedule a #mammogram appt with a friend:… https://t.co/2tc00ZeNP7</t>
  </si>
  <si>
    <t>@BritttanyLeighh Sorry to hear.Always call 911 if emergency traffic condition inprogress: https://t.co/ZCAzHJrRTy Follow @NotifyNYC alerts.</t>
  </si>
  <si>
    <t>@manueltrevilla Thanks for your posts. We'll reply to your Direct Message where's there's no character limit. We appreciate your patience.</t>
  </si>
  <si>
    <t>@MeetTheMatts Sorry to hear that. You can file a complaint with E-Z pass by calling them at 800-333-8655: https://t.co/1PaF7f3Quh</t>
  </si>
  <si>
    <t>¿Estás en #Instagram? Síguenos para las últimas noticias sobre nuestros empleados y #Cubert aquí: https://t.co/76qhqrm4eI</t>
  </si>
  <si>
    <t>@manueltrevilla Sorry to hear. Was it this form: https://t.co/Xo1kD5VSiZ ? Please DM more details if you still haven’t been able to submit.</t>
  </si>
  <si>
    <t>MT @NYCzerowaste: Sat. 10/22 is National Prescription Drug Take Back Day. Bring unused meds: https://t.co/Z2RgNsiBEZ https://t.co/1EA7s1lNUV</t>
  </si>
  <si>
    <t>@charlotteebinns @NYSDOT @CMReynoso34 Sorry to see that. Please DM us &amp;amp; we'll file dirty sidewalk:https://t.co/D2pz9Mbxq1 report for you.</t>
  </si>
  <si>
    <t>@tmcNYC App can be used for outreach req's only. We tested locator &amp;amp; it works for us. If poor signal, address can be entered manually 2/2</t>
  </si>
  <si>
    <t>@tmcNYC We’re sorry to hear that. Homeless encampments must be reported by calling 311 &amp;amp; speaking w/phone rep: https://t.co/ltWaS4gMcU  1/2</t>
  </si>
  <si>
    <t>@cusick Hi, please DM if Manhattan or Brooklyn &amp;amp; we'll check active construction permits for you. Or check here: https://t.co/Jr2qs6GeLF</t>
  </si>
  <si>
    <t>@jmphotonyc Always call 911 to report accident/emergency/reckless driving in progress. Illegal parking in progress: https://t.co/EMYJOu6Ith</t>
  </si>
  <si>
    <t>@jehiah Thanks for reaching out. Please Direct Message details about your concern so we can better advise w/out character limit. Thank you.</t>
  </si>
  <si>
    <t>@youngerpants You can report construction blocking sidewalk: https://t.co/tXKRiC657X or DM(incl. email for confirmation)&amp;amp;we'll file for you.</t>
  </si>
  <si>
    <t>@BayRidgeDrivers @VGentile43 @NYCMayorsOffice @NYCCouncil You can send concern (incl.SR #s) to Commissioner here:  https://t.co/wAxD4pXP9N</t>
  </si>
  <si>
    <t>#DYK food scraps can help NYC #gogreen? Find dropoff locations &amp;amp; learn how it becomes #compost &amp;amp; ends #foodwaste:… https://t.co/Q16qL2LP3q</t>
  </si>
  <si>
    <t>#NYCASP está suspendida hoy, martes 10/18 por Succoth. Parquímetros están vigentes. Consigue app: https://t.co/D9WkiUoVG7</t>
  </si>
  <si>
    <t>#NYCASP is suspended today, Tuesday, October 18 for Succoth. Parking meters are in effect. Follow @NYCASP: https://t.co/FRAGoS7hV4</t>
  </si>
  <si>
    <t>@BissMarkie Please Direct Message for info about this location. Or contact DOTBorough Commissioner: https://t.co/0vu0LvtCWw Thank you.</t>
  </si>
  <si>
    <t>@BrandonWC @bdhowald @Bahij Thanks for the feedback. We appreciate it.</t>
  </si>
  <si>
    <t>@bdhowald @Bahij @BrandonWC Thanks for letting us know. We appreciate your feedback.</t>
  </si>
  <si>
    <t>@NYC_DOT @The_BX_Pulse @NYPDnews @rubendiazjr @AndyKingNYC Thanks.File abandoned vehicle w/plate online or w/App: https://t.co/GPMFZlN1zl</t>
  </si>
  <si>
    <t>@KezNat Chronic littering complaints are handled by Sanitation. Please DM any service request #s so we can research &amp;amp; advise on next step.</t>
  </si>
  <si>
    <t>@SKirbynyc @NYCParks @CentralParkNYC You can file online. Or M-F, 9AM-5PM, DM &amp;amp; we'll file for you so Parks can respond. Thank you. 2/2</t>
  </si>
  <si>
    <t>@SKirbynyc @NYCParks @CentralParkNYC Sorry to hear you had trouble getting through. You can always try dialing 212-NEW-YORK if necessary 1/2</t>
  </si>
  <si>
    <t>¿Cansado de llevar monedas para el parquímetro? Compra una tarjeta de estacionamiento. Aprende más aqui: https://t.co/kS2Ch3G7ZA</t>
  </si>
  <si>
    <t>@NYC_DOT @secondsatellite @transalt @StreetsblogNYC Yes,DM &amp;amp; we'll file st blocked by construct'n for you or online: https://t.co/tXKRiC657X</t>
  </si>
  <si>
    <t>@loop243 We're sorry to hear this. Please Direct Message any Service Request numbers you can so we can research &amp;amp; advise. Thank you.</t>
  </si>
  <si>
    <t>@travis_robert DM &amp;amp; we can file agency complaint for you. Or you can use online form to send to policecommissioner: https://t.co/wAxD4pXP9N</t>
  </si>
  <si>
    <t>@NYCParks @wendeeyah Hi, sorry to hear. Yes, you can file online or w/ App: https://t.co/5kSk01BqvB. Or DM &amp;amp; we'll file for you. Thanks.</t>
  </si>
  <si>
    <t>NYC parking cards are pre-paid and can be used at Muni-Meters and other locations. Details here: https://t.co/VO3357AJfD</t>
  </si>
  <si>
    <t>@local_fleebs Please call us at 311 to report pigeon trapping without permit with phone representative: https://t.co/KttVCFcGVx Thank you.</t>
  </si>
  <si>
    <t>@NYCHousing @shaz_mcgarrell TenantHarassment &amp;amp; legal assistance: https://t.co/givGMPPdEv    &amp;amp; HousingCourt info: https://t.co/lpht487tF2 2/2</t>
  </si>
  <si>
    <t>@NYCHousing @shaz_mcgarrell Hi, thanks for tagging us. Please DM service request #s so we can research &amp;amp; advise on best next step(s). 1/2</t>
  </si>
  <si>
    <t>@NYC_DOT @mr_revolution5 Thanks for tagging us. Please DM us location we'll file blocked street sign for you: https://t.co/LYCzYNbWtY</t>
  </si>
  <si>
    <t>@NYCParks @wendeeyah DM us &amp;amp; we'll file for you. Include email if you'd like confirmation email. Or file w/app: https://t.co/FRAGoS7hV4</t>
  </si>
  <si>
    <t>@KezNat Thanks for your video. Please call us at 311 to report as chronic littering with a telephone representative. Thank you.</t>
  </si>
  <si>
    <t>@harlem_tenant @NYC_Buildings @BilldeBlasio Please call us at 311 to report a building that is shaking w/ phone rep: https://t.co/m1lPgcA1Xp</t>
  </si>
  <si>
    <t>It’s never too late to find out if you qualify for City, State, &amp;amp; Federal benefits with #ACCESSNYC:… https://t.co/YUI4zDudn6</t>
  </si>
  <si>
    <t>@ConStar24 @NYCHA We're sorry to hear this. Report no hot water w/ NYCHA’s Customer Contact Center (718) 707-7771: https://t.co/nzEpcKOxwU</t>
  </si>
  <si>
    <t>@breakerAHY Sorry to hear this. We hope there's no need, but in future report noise from neighbor online or app: https://t.co/tsfL0PK7Na</t>
  </si>
  <si>
    <t>@Mingxmantis If it's still running please DM us name &amp;amp; phone # &amp;amp; we’ll file for you. Or report online or w/App: https://t.co/KKJYSJeoP7</t>
  </si>
  <si>
    <t>You can enter a ticket giveaway for the #GracieHalloween party until today Oct.17 5PM. More details &amp;amp; enter:… https://t.co/mbW6kABNhd</t>
  </si>
  <si>
    <t>@photosbydeb13 Please DM us &amp;amp; we'll file for you. Or you can report this park maintenance issue online or w/app: https://t.co/59317JLz4G</t>
  </si>
  <si>
    <t>@tmcNYC Please call 311 any time there’s non-emergency traffic condition.Send concern to police dept.w/online form: https://t.co/wAxD4pXP9N</t>
  </si>
  <si>
    <t>@NYNYbirder @CentralParkNYC If you like, DM location details (incl. email to rec'v confirmation) &amp;amp;we'll file parks rules violation for you.</t>
  </si>
  <si>
    <t>@Sooki101 Contact Rent InfoLine for rent law clarification: https://t.co/4kksVH6Ryi. Find legal referral/assistance: https://t.co/FzLyxXtTZG</t>
  </si>
  <si>
    <t>@travis_robert Thanks for tagging us. In the future you can report blocked street or sidewalk online here: https://t.co/tXKRiC657X</t>
  </si>
  <si>
    <t>#NYCforgivingfines - reducing some city agencies' violation penalties in judgment until 12/12:… https://t.co/TsWqXoh1U4</t>
  </si>
  <si>
    <t>#NYCASP está suspendida hoy lunes 10/17 y mañana martes 10/18 por Succoth. Parquímetros están vigentes: https://t.co/D9WkiUoVG7</t>
  </si>
  <si>
    <t>#NYCASP is suspended today Mon.10/17 &amp;amp; tmrw, Tue.10/18 for Succoth. Parking meters are in effect. Get App: https://t.co/FRAGoS7hV4</t>
  </si>
  <si>
    <t>#NYCASP está suspendida mañana, lunes 10/17 y el martes 10/18 por Succoth. Parquímetros están vigentes: https://t.co/D9WkiUoVG7</t>
  </si>
  <si>
    <t>#NYCASP is suspended tomorrow, Monday October 17 &amp;amp; Tuesday October 18 for Succoth. Parking meters are in effect. Follow @NYCASP.</t>
  </si>
  <si>
    <t>You can enter a ticket giveaway for the #GracieHalloween party through tmrw Mon. Oct.17 5PM. More details &amp;amp; enter:… https://t.co/zTuhozW1VV</t>
  </si>
  <si>
    <t>Co-op &amp;amp; condo owners may qualify for a Co-op/Condo Property Tax Abatement. See requirements &amp;amp; apply by 3/1/17: https://t.co/zwQpoQxIbg</t>
  </si>
  <si>
    <t>Know before you go. Check planned street, bridge, and highway closures with @NYC_DOT: https://t.co/e1Hn8bNqBf</t>
  </si>
  <si>
    <t>No importa #estatusmigratorio idioma, o género; hay asistencia de #violenciadomestica disponible: https://t.co/gDysBx0ZE9 #DVAM2016</t>
  </si>
  <si>
    <t>Whether you're a visitor or native NYer you can learn about America’s beginning at the @FederalhallNPS for free:… https://t.co/aN2s1q0z5X</t>
  </si>
  <si>
    <t>Seeking a career in law enforcement? Apply to take @NYCDCAS correctional, school, &amp;amp; special officer exams thru 10/3… https://t.co/uUi2NDCtvi</t>
  </si>
  <si>
    <t>Would you like to see your artwork displayed in @NYCParks? Apply for $10,000 grant before November 13 deadline:… https://t.co/SWrsFeHvYl</t>
  </si>
  <si>
    <t>You can enter a ticket giveaway for the #GracieHalloween party through Mon. Oct.17 5PM. More details &amp;amp; enter:… https://t.co/ZWwns7yH2s</t>
  </si>
  <si>
    <t>IN-PERSON Voter Register EXTENDED at select poll sites today Saturday Oct 15, 2016 from 1pm until 9pm:… https://t.co/ySAW3GFNs5</t>
  </si>
  <si>
    <t>@NYNYbirder @CentralParkNYC @NYPD Please alert park personnel. Or you can report park rules violation online here: https://t.co/wqTNcYRe5z</t>
  </si>
  <si>
    <t>IN-PERSON Voter Register EXTENDED at select poll sites tomorrow, Saturday Oct 15, 2016 from 1pm until 9pm:… https://t.co/TAL2tI33pJ</t>
  </si>
  <si>
    <t>RT @NYCMayorsOffice: EXTENDED: Procrastinators rejoice! Register to vote IN PERSON at select poll sites tomorrow, Oct 15 (Saturday). https:…</t>
  </si>
  <si>
    <t>#NYCASP está suspendida lunes, 10/17 y martes 10/18 por Succoth. Parquímetros estarán vigentes: https://t.co/D9WkiUoVG7</t>
  </si>
  <si>
    <t>@DulceMarcello @NYCMayorsOffice You can contact DOT Borough Commissioner by phone/email for project info/complaint: https://t.co/0vu0LvtCWw</t>
  </si>
  <si>
    <t>Today through Mon 10/17 5PM, you can enter a ticket giveaway for the #GracieHalloween party. More details:… https://t.co/ntz7j61xAZ</t>
  </si>
  <si>
    <t>RT @NYCSanitation: We are #RaisinAwareness to the benefit of putting food scraps to good use. Find out more: https://t.co/VSBvvyJ5zb https:…</t>
  </si>
  <si>
    <t>#NYCASP is suspended on Mon. October 17 &amp;amp; Tue. October 18 for Succoth. Meters are in effect. Follow @NYCASP or App:https://t.co/FRAGoS7hV4</t>
  </si>
  <si>
    <t>@NYC_DOT @TheCos30 Thanks for tag. DM name/phone (DEP req's) &amp;amp; we'll file catchbasin issue for you,or file online: https://t.co/IOy2STzbFq</t>
  </si>
  <si>
    <t>#Donate your used goods at @NYCZerowaste’s Stop ‘N’ Swap tmrw Sat. Oct 15 in #Brooklyn &amp;amp; bring something home: https://t.co/dpE7jQ5CG0</t>
  </si>
  <si>
    <t>@jooltman @NYCDoITT @NYCMayorsOffice @MMViverito Check SR online: https://t.co/baflJHCxKL. Please DM SR #s &amp;amp;we'll research/report.Thanks 2/2</t>
  </si>
  <si>
    <t>@jooltman @NYCDoITT @NYCMayorsOffice @MMViverito Sorry to hear. If not auto-refreshing or updating when you click through each SR... 1/2</t>
  </si>
  <si>
    <t>Hoy viernes 10/14 es el último día para registrar para votar en la elección general en noviembre. Regístrese: https://t.co/qS3Zfk9cfN</t>
  </si>
  <si>
    <t>Today, Friday 10/14 is the last day to register to vote in November’s election. Register or check voter status:… https://t.co/OjuIqEz2tn</t>
  </si>
  <si>
    <t>@rhonlirob If you need to report no heat, DM weekdays &amp;amp; we'll file for you. Or you can report w/App or online: https://t.co/wVq7MQ1MTr 2/2</t>
  </si>
  <si>
    <t>@rhonlirob NYC’s landlords must provide heat from 10/1 through 5/31.  See time of day/temp requirements: https://t.co/lkVgau5fQ6  1/2</t>
  </si>
  <si>
    <t>@leauncc ...depending on responding agency, prioritization, &amp;amp;/or emergencies. Please Direct Message # you called from, &amp;amp; we'll research 2/2</t>
  </si>
  <si>
    <t>@leauncc We assist w/most non-emergency info &amp;amp; service requests. Some inquiries do require being transferred to other agencies...1/2</t>
  </si>
  <si>
    <t>@tuckerbaileyco Thanks for letting us know. We contacted DEP to inquire and are waiting for an update. We'll reply when we have more info.</t>
  </si>
  <si>
    <t>@missmagen23 You can report a defective boiler for the Dept. of Buildings to inspect online here: https://t.co/vJfAJ4BW8Q</t>
  </si>
  <si>
    <t>@missmagen23 Unfortunately, excessive heat reports are only accepted for residential buildings 6/1 through 9/30: https://t.co/0YA2q5RL3C</t>
  </si>
  <si>
    <t>Mañana, viernes 10/14 es el último día para registrar para votar en la elección general en noviembre:… https://t.co/z3GtSxzMIH</t>
  </si>
  <si>
    <t>@bikelaneblitz You can reach out to your Community Board:  https://t.co/cdf1vmkQp3 and local elected officials: https://t.co/RJydEOGqvZ</t>
  </si>
  <si>
    <t>@WhoisChrisC Sorry to see that. You can report a dirty sidewalk or gutter online here: https://t.co/D2pz9Mbxq1 or DM &amp;amp; we'll file for you.</t>
  </si>
  <si>
    <t>@Insomniac_Nat @Macys Brooklyn CB 2: https://t.co/d5Yq2yMyIu &amp;amp; your local elected officals: https://t.co/qNa1ZUvcV1 may be able to assist.</t>
  </si>
  <si>
    <t>Are you switching to the new #iPhone? Donate your old cell phone to support #DomesticViolence victims: https://t.co/FnelaTCa2T #DVAM2016</t>
  </si>
  <si>
    <t>@leauncc @NYCMayorsOffice @nypost We're sorry to hear this. Please DM date/time/# you called from so we can research &amp;amp; assist. Thank you.</t>
  </si>
  <si>
    <t>@NYCJulieNYC Thanks for pic. You can obtain NY State Dept. of Health divorce certificate online, by phone, or mail: https://t.co/pGkPCFuVdm</t>
  </si>
  <si>
    <t>It's #FirePreventionWeek. Be #FDNYSmart and replace alarms that use removable batteries with ones that contain seal… https://t.co/sFuB4idQVi</t>
  </si>
  <si>
    <t>Are you senior aged 62+ living in rent-regulated apt? @NYCFinance’s SCRIE freezes rent for qualifying tenants:… https://t.co/jXhxsZC0t8</t>
  </si>
  <si>
    <t>@BrooklynGuy_1 Thanks for letting us know. We're replying to your DM.</t>
  </si>
  <si>
    <t>@NYC_DOT @BrooklynGuy_1 @FDNY Thanks for your messages. We're replying to your direct message &amp;amp; can file hydrant running for you.</t>
  </si>
  <si>
    <t>@chadrodriguez If bldg construction, you also can report afterhours/against approved plans to DOB here: https://t.co/WB3l2lK3JZ 2/2</t>
  </si>
  <si>
    <t>@chadrodriguez It may be allowed w/ a variance. Even so, you can report afterhours jackhammering noise online: https://t.co/eg2cudK02g 1/2</t>
  </si>
  <si>
    <t>@elizabeth_banta @NYCParks Please DM &amp;amp; we'll file streetlight condition for you. Incl. email if you'd like to rec'v confirmation. Thank you.</t>
  </si>
  <si>
    <t>@tuckerbaileyco @MJKilgore Ah, thanks for update &amp;amp; for reporting. You can check service request status online here: https://t.co/baflJHCxKL</t>
  </si>
  <si>
    <t>@officepnuk @MTA Sorry to hear this. Please report subway issues to the MTA directly with this online form: https://t.co/vcjTxfQdQA</t>
  </si>
  <si>
    <t>@tuckerbaileyco We don't currently have water alert.File dirty water: https://t.co/CuFFiFN8i8 or DM address/name/phone&amp;amp;we'll file for you.</t>
  </si>
  <si>
    <t>@EdwinHRoberts Always call 911 if immediate danger.If no emergency,DM &amp;amp;we'll file for you.Or file st.light online: https://t.co/HHn1tnJphf</t>
  </si>
  <si>
    <t>Tomorrow, Friday October 14 is the deadline to register to vote to participate in November’s general election:… https://t.co/f27eutCPf9</t>
  </si>
  <si>
    <t>@222Nels Some residential bldgs may qualify for free City repair when roots have severely damaged sidewalk: https://t.co/dyBVK0yhH6   1/2</t>
  </si>
  <si>
    <t>@222Nels You can read more about Trees &amp;amp; Sidewalks program: https://t.co/HoRfy6BdfJ  &amp;amp; apply for it here: https://t.co/3QigOigw1k   2/2</t>
  </si>
  <si>
    <t>@rodtownsend @NYCParks Please DM &amp;amp; we’ll report streetlight condition for you. Or you can report it online here: https://t.co/HHn1tnJphf</t>
  </si>
  <si>
    <t>@bikelaneblitz You can send public safety concern to police dept. using their online form: https://t.co/wAxD4pXP9N</t>
  </si>
  <si>
    <t>MT @NYCCHR @@NYCDisabilities NYSBOE @NYCCHR invite you to “Get Out Disability Vote” event, tmrw, Oct 13.  Register:… https://t.co/2WaMdoPk23</t>
  </si>
  <si>
    <t>@parkan @uhaul Online here:https://t.co/EMYJOu6Ith or w/app:https://t.co/FRAGoS7hV4. CB also may offer assist: https://t.co/cdf1vmkQp3  2/2</t>
  </si>
  <si>
    <t>@parkan You can report illegal parking in progress incl. commercial parked for 3+hrs, overnight, parked 7+days as against posted rules…1/2</t>
  </si>
  <si>
    <t>El 14 de octubre es el último día de registro para votar en elecciones de noviembre! https://t.co/nPTLkZmC9d https://t.co/MXwBsnSsTV</t>
  </si>
  <si>
    <t>@LouPeralta DM address/name/phone (&amp;amp; email for confirmation) &amp;amp; we'll file for you. Or file dirty water online: https://t.co/CuFFiFN8i8 2/2</t>
  </si>
  <si>
    <t>@LouPeralta We don't currently have alert, but watermain work/construction nearby may cause discoloration. Run water until cold &amp;amp; clear 1/2</t>
  </si>
  <si>
    <t>Friday 10/14: last day to register to vote in the 11/8 election. Register online, in person, or by mail:… https://t.co/CyPHX4G1Ur</t>
  </si>
  <si>
    <t>#WednesdayWisdom: Stay up to date with City services, info and alerts with the free #NYC311 mobile app:… https://t.co/LAoVutpxXe</t>
  </si>
  <si>
    <t>@pazonada @BilldeBlasio Please call us at 311 or DM to be connected to Hate Crimes Hotline: https://t.co/k9UXGm7KTK  https://t.co/REiT04fA9q</t>
  </si>
  <si>
    <t>See #HeatSeason regulations: https://t.co/lkVgau5fQ6 Report no heat online: https://t.co/wVq7MQ1MTr or w/App:… https://t.co/AKUjDhnM38</t>
  </si>
  <si>
    <t>@jess4ureyes Yes, please DM us &amp;amp; we'll file bus stop shelter complaint for you or you can report it online here: https://t.co/kYP39nk42M</t>
  </si>
  <si>
    <t>Is your child riding in the right #carseat? Make an appt. to have a #free car seat inspection on Sat. 10/15:… https://t.co/7DQrKzT1dk</t>
  </si>
  <si>
    <t>@AirlineFlyer @GlobeTrotScott @nycHealthy Thanks for tagging us.Please DM/call us to file restaurant grade complaint:https://t.co/B66x6IF3LD</t>
  </si>
  <si>
    <t>@Pulsar_Ent If still uncollected the day after your next scheduled pickup day, file missed collection online here: https://t.co/Ds3yDTOVEC</t>
  </si>
  <si>
    <t>@Insomniac_Nat @Macys And you can report construction being done afterhours/beyond permit to DOB here: https://t.co/WB3l2lK3JZ  2/2</t>
  </si>
  <si>
    <t>@Insomniac_Nat @Macys If you haven't already, report afterhours construction noise to DEP online here: https://t.co/eg2cudK02g 1/2</t>
  </si>
  <si>
    <t>@RevelrousP @verizon @Gothamist St. construction  permit info: https://t.co/Jr2qs6GeLF  &amp;amp;report construction noise: https://t.co/eg2cudK02g</t>
  </si>
  <si>
    <t>Are you disabled &amp;amp; living in a rent-regulated apt? @NYCFinance’s DRIE can freeze rent for qualifying tenants:… https://t.co/vd8tRgiGCV</t>
  </si>
  <si>
    <t>@VioletL_Phoenix You can report overflowing litter basket &amp;amp; request new one online here: https://t.co/teLXByBE4E or DM &amp;amp;we'll file for you.</t>
  </si>
  <si>
    <t>@ice8ball Thanks for your message. Please DM &amp;amp; we'll file streetlight condition for you. Or you can file online/app: https://t.co/HHn1tnJphf</t>
  </si>
  <si>
    <t>.@NYCSchools están cerradas hoy, miércoles 12 de octubre por Yom Kippur. Vea el calendario escolar aquí: https://t.co/WDGCfjj8iu</t>
  </si>
  <si>
    <t>.@NYCSchools are closed today, Wednesday October 12 for Yom Kippur. See the public school calendar: https://t.co/2Nqk2PDzIy</t>
  </si>
  <si>
    <t>#NYCASP está suspendida hoy miércoles, 10/12 por Yom Kippur. Parquímetros están vigentes. Consigue el app: https://t.co/D9WkiUoVG7</t>
  </si>
  <si>
    <t>#NYCASP is suspended today Wednesday, October 12 for Yom Kippur. Meters are in effect. Get the #NYC311 App: https://t.co/FRAGoS7hV4</t>
  </si>
  <si>
    <t>@Robohunt7 Thanks for your interest. App is currently for iPhone &amp;amp; Android. You can send suggestion to DoITT here: https://t.co/A6WCgK7OUW</t>
  </si>
  <si>
    <t>@CP_Capitalist We're not sure. DOT Borough Commissioner office should have more info. You can call or send email: https://t.co/0vu0LvtCWw</t>
  </si>
  <si>
    <t>@mikeyc_dub @NYCDHS @NYCMayorsOffice @BilldeBlasio @NYPDONeill Please DM details/ SR #s you have so we can advise next steps. Thank you.</t>
  </si>
  <si>
    <t>@mikeyc_dub @NYCDHS @NYCMayorsOffice @BilldeBlasio @NYPDONeill Please call 311 for outreach assist/report encampmt: https://t.co/ECVmfGOvMI</t>
  </si>
  <si>
    <t>Mañana, miércoles 10/12 es Yom Kippur. #NYCASP estará suspendida y parquímetros están vigentes. @NYCSchools estarán cerradas.</t>
  </si>
  <si>
    <t>@StagehandMan Hi. Report a dead animal on public street/sidewalk online here: https://t.co/DJogXcUXhl. Or DM &amp;amp;we'll file for you. Thanks.</t>
  </si>
  <si>
    <t>If you see a homeless person in need, you can use free #NYC311 app to request outreach. More info/download: https://t.co/ECVmfGOvMI</t>
  </si>
  <si>
    <t>@msr12789 @NYC_DOT Thanks. We're replying via Direct Message.</t>
  </si>
  <si>
    <t>Tomorrow, Wed. 10/12 is Yom Kippur. #NYCASP suspended &amp;amp; meters in effect:https://t.co/FRAGoS7hV4  @NYCSchools closed:https://t.co/2Nqk2PDzIy</t>
  </si>
  <si>
    <t>@nycHealthy @johnniemela1 Call 911 for drug activity in progress. Call us at 311 to make tip re: illegal drug use: https://t.co/g1G1ZofRMj</t>
  </si>
  <si>
    <t>@jtjarzemsky Please DM us any service request numbers you may have so we can research and advise. Thank you.</t>
  </si>
  <si>
    <t>@ReluRosu Please use the Direct Message link &amp;amp; we'll file, it should bring you right into new Direct Message w/us: https://t.co/REiT04fA9q</t>
  </si>
  <si>
    <t>@eapelosi You can report no super available &amp;amp; no heat online: https://t.co/VjImYtREMK or DM &amp;amp; we'll file for you.</t>
  </si>
  <si>
    <t>Registering to #vote is as easy as getting lunch. #NoshTheVote - lunchtime voting registration at some of city's be… https://t.co/6HOdEirXzx</t>
  </si>
  <si>
    <t>@ressydm @NYPD23Pct Please call us at 311 for City vehicle issue w/telephone rep, &amp;amp; also can file illegal parking in progress.Thank you.</t>
  </si>
  <si>
    <t>October is #breastcancer awareness month. @NYCHealthySystem has mammogram info incl. $ assistance &amp;amp; what to expect:https://t.co/ynTSre81sT</t>
  </si>
  <si>
    <t>@EtepKcalb We don't have alert. Contact precinct for temp noparking info: https://t.co/acqxS6oVE8 CB also may know: https://t.co/cdf1vmkQp3</t>
  </si>
  <si>
    <t>@bpfish36 @gregmocker If you like, you also can send Sanitation your concern w/ this online form: https://t.co/xKQ7ScoNIz 2/2</t>
  </si>
  <si>
    <t>@bpfish36 @gregmocker Please DM &amp;amp;we’ll file for you.Or file dirtysidewalk: https://t.co/D2pz9Mbxq1 &amp;amp;loosetrash: https://t.co/voAjvlGL9U 1/2</t>
  </si>
  <si>
    <t>@pinkpeacoat Always call 911 to report prostitution in progress. Info: https://t.co/WTA7uyOmwV.</t>
  </si>
  <si>
    <t>@ReluRosu Please DM us &amp;amp; we'll file this as a street resurface request for you.Or you can file online here: https://t.co/YnJ8TJxvvd</t>
  </si>
  <si>
    <t>@mbkratter @wholefoodsnyc Please call us at 311 to report a food safety concern in a grocery with phone rep. Thank you.</t>
  </si>
  <si>
    <t>@charlesmonaco Thanks for your photo. You can report illegally painted curb online: https://t.co/VrChTi5q6J or DM &amp;amp; we'll file for you.</t>
  </si>
  <si>
    <t>@Sooki101 @NYCHousing See tenant rights/responsbilities: https://t.co/YzAI0UX5KC  &amp;amp; Tenant harassment assistance: https://t.co/givGMPPdEv</t>
  </si>
  <si>
    <t>@CP_Capitalist See https://t.co/CjuHXX4pyh permits: https://t.co/Jr2qs6GeLF &amp;amp; report construction/jackhammer noise: https://t.co/eg2cudK02g</t>
  </si>
  <si>
    <t>@CmStolfo Unfortunately we currently can't contact borough commissioner for you. If you'd rather file agency complaint, please DM.Thank you.</t>
  </si>
  <si>
    <t>@littleredhead33 @NYCParks @prospectpark Or, if you prefer, you can file online: https://t.co/59317JLz4G, App: https://t.co/FRAGoS7hV4 2/2</t>
  </si>
  <si>
    <t>@littleredhead33 @NYCParks @prospectpark Sorry to hear this. Filing lets Parks know specific locs/conditions. DM &amp;amp; we’ll file for you 1/2</t>
  </si>
  <si>
    <t>@academyking305 Please reach out to Staten Island DOT Borough Commissioner by phone or email for assistance/info: https://t.co/0vu0LvtCWw</t>
  </si>
  <si>
    <t>@leighhpr We're sorry to hear this. Please report this toll tunnel condition directly to MTA online here:  https://t.co/IXrbwxBKXn</t>
  </si>
  <si>
    <t>@buriaworld You also can report afterhours/without permit/against approved plans bldg construction to DOB: https://t.co/WB3l2lK3JZ   2/2</t>
  </si>
  <si>
    <t>@buriaworld Check SR status for agency notes (DEP): https://t.co/baflJHCxKL. You can refile to let DEP know condition still exists.  1/2</t>
  </si>
  <si>
    <t>Don't overload surge protectors &amp;amp; don't rely on them too heavily. Be #FDNYSmart w/ these tips https://t.co/9Zt9OJH8PH #FirePreventionWeek</t>
  </si>
  <si>
    <t>@LLQBTT In the future, please always call 911 to report reckless driving in progress Info: https://t.co/EpExbD6duH</t>
  </si>
  <si>
    <t>@DannyTac15 In future,check DOT &amp;amp; NYState 511 planned closures: https://t.co/e1Hn8bNqBf, register w/NotifyNYC: https://t.co/Xk3RRP5XZm 2/2</t>
  </si>
  <si>
    <t>@DannyTac15 Hi,please note this account monitored Mon-Fri, 9AM – 5 PM. We're happy to help here then. Phone reps are available 24/7/365 1/2</t>
  </si>
  <si>
    <t>¿Has presentado una solicitud de servicio con #NYC311? Comprueba el estatus en línea aquí: https://t.co/f85QGXdcu4</t>
  </si>
  <si>
    <t>It's #FirePreventionWeek &amp;amp; you can help make NYC safer by attending these #FDNY events in all 5 boroughs this week… https://t.co/QYbuCw4DOb</t>
  </si>
  <si>
    <t>Did you know you can register to #vote in 3 ways? Online, by mail or in person! Register before 10/14 deadline:… https://t.co/FYIzsnB5Jp</t>
  </si>
  <si>
    <t>Hoy, lunes 10/10 es el Dia de Colon. Las oficinas del gobierno están cerradas. ASP/correo/basura suspendida: https://t.co/m3kR4pHQP2</t>
  </si>
  <si>
    <t>Today Mon. Oct. 10 is #ColumbusDay. ASP/mail/trash pickup suspended. DMV/courts/gov't offices closed. See more: https://t.co/TI8xC1qZTd</t>
  </si>
  <si>
    <t>.@NYCSchools están cerradas hoy, lunes 10/10 para el Dia de Colon. Vea las otras cerradas de escuela aquí: https://t.co/WDGCfjj8iu</t>
  </si>
  <si>
    <t>.@NYCSchools are closed today, Mon. October 10 for #ColumbusDay. You can see other school closures online here: https://t.co/2Nqk2PDzIy</t>
  </si>
  <si>
    <t>#NYCASP está suspendida hoy, lunes 10/10 para el Dia de Colon. Parquímetros están vigentes. Consigue app: https://t.co/D9WkiUoVG7</t>
  </si>
  <si>
    <t>#NYCASP is suspended today, Mon. October 10 for Columbus Day. Meters in effect. Follow @NYCASP &amp;amp; get our App: https://t.co/FRAGoS7hV4</t>
  </si>
  <si>
    <t>Mañana lunes, 10/10 es el Dia de Colon. Las oficinas del gobierno estarán cerradas. Aprende más aquí: https://t.co/m3kR4pZrGA</t>
  </si>
  <si>
    <t>.@NYCSchools are closed tomorrow, Monday Oct. 10 for #ColumbusDay. See public school calendar: https://t.co/2Nqk2PDzIy</t>
  </si>
  <si>
    <t>Tomorrow Monday Oct. 10 is #ColumbusDay. Gov’t offices, DMV &amp;amp; courts are closed. Mail &amp;amp; trash pickup are suspended: https://t.co/TI8xC1qZTd</t>
  </si>
  <si>
    <t>#NYCASP estará suspendida mañana 10 de octubre para el Dia de Colon. Parquímetros estarán vigentes: https://t.co/D9WkiUoVG7</t>
  </si>
  <si>
    <t>#NYCASP is suspended tomorrow October 10 for Columbus Day. Meters remain in effect. Follow @NYCASP &amp;amp; get App: https://t.co/FRAGoS7hV4</t>
  </si>
  <si>
    <t>If streetlight/lampost is out, file online: https://t.co/HHn1tnJphf  or with the free #NYC311 mobile App: https://t.co/FRAGoS7hV4</t>
  </si>
  <si>
    <t>Si no puedes comprar comida #SNAP puede ayudarte. Solicita #SNAP (#cuponesdealimento) aquí: https://t.co/wTDdfnGNVZ https://t.co/WM0KFyIbiq</t>
  </si>
  <si>
    <t>Come see some of the nation’s best wheelchair athletes w/@NYCDisabilities tmrw Sun. 10/9 in #Brooklyn for #free:… https://t.co/VAfujRFIF9</t>
  </si>
  <si>
    <t>If you can’t afford food, #SNAPhelps. You can apply for SNAP (also known as food stamps) online:… https://t.co/RLCS9XcyTg</t>
  </si>
  <si>
    <t>#Saturdays are for fun, but you can find free &amp;amp; low-cost fun everyday in NYC with Citywide Events Calendar: https://t.co/v4yO23bmzv</t>
  </si>
  <si>
    <t>It’s the end  of Nat'l #CustomerServiceWeek but our #customercommitment goes on. See all the ways we’re here for yo… https://t.co/8atznok75c</t>
  </si>
  <si>
    <t>@cap_transport @NYC_DOT Please DM &amp;amp; we'll file as failed street repair for you. Incl. email if you'd like confirmation. Thank you.</t>
  </si>
  <si>
    <t>@Snodncr Call 911 if immediate danger to life/property. DM &amp;amp; we'll file blocked traffic signal. Or file online: https://t.co/mAOe40NRUi</t>
  </si>
  <si>
    <t>¿Has visitado nuestra página de Facebook? Dale “Like” para actualizaciones exclusivas: https://t.co/e90Qfy4n8f</t>
  </si>
  <si>
    <t>See cool crafts from all US regions for free at The Autumn Crafts Festival tmrw Sat. 10/8 at @LincolnCenter: https://t.co/kPktezgX4I</t>
  </si>
  <si>
    <t>Don't be a victim of #deedfraud. Receive alerts by email/text/letter when a deed is recorded against your property: https://t.co/uCwHszVMHE</t>
  </si>
  <si>
    <t>@francinajernee Please call us at 311 to file poor street sweeping w/phone rep: https://t.co/iFCXq8oXhI or DM &amp;amp; we'll file for you. Thanks.</t>
  </si>
  <si>
    <t>@paulschreiber Sorry you had trouble filing. App Team's looking into it &amp;amp; we'll let you know when they update us. Thanks for your patience.</t>
  </si>
  <si>
    <t>@MsHeidiBurkhart Check active st. construction permits here: https://t.co/Jr2qs6GeLF Contact DOT BoroCommissioner: https://t.co/0vu0LvtCWw</t>
  </si>
  <si>
    <t>@YacFace You also can report afterhours/without permit/against approved plans construction to DOB here: https://t.co/WB3l2lK3JZ  2/2</t>
  </si>
  <si>
    <t>@YacFace If there's a variance. Even if permitted, you can report excessive construction noise online here: https://t.co/eg2cudK02g 1/2</t>
  </si>
  <si>
    <t>@MeQuiteContrary We're not sure. We didn't have alert/info re: that location. If you like, DM more details so we can further assist. Thanks.</t>
  </si>
  <si>
    <t>@GWlife1 @NYCMayorsOffice In future,call 911 to report drag racing in progress.If recurring, please call us at 311: https://t.co/yWRY5jHegV</t>
  </si>
  <si>
    <t>@familyfc7 Please call us at 311 M-F, 9AM-5PM to speak w/phone rep. Or visit City Register at Finance Business Ctr: https://t.co/4qSDqrpu6j</t>
  </si>
  <si>
    <t>@buriaworld Sorry for confusion. You also can file complaint about CCRB, by calling 311 or messaging CCRB director: https://t.co/iWmXgHTpGE</t>
  </si>
  <si>
    <t>@TheMikeMcEwan Thanks for your messages. We've replied to your Direct Message where there's no character limitation. Thank you.</t>
  </si>
  <si>
    <t>Concerned about losing your home? Speak with a housing counselor free by calling the #ForeclosurePrevention Hotline: https://t.co/otg32oUXHC</t>
  </si>
  <si>
    <t>@Gul_Dukat88 You can report a problem with taxi driver, incl. pickup refusal, to TLC online here: https://t.co/Xo1kD5VSiZ</t>
  </si>
  <si>
    <t>@shellyeversley Unfortunately, Dept. of Environmental Protrection requires address for each location &amp;amp; name &amp;amp; # for all hydrant complaints.</t>
  </si>
  <si>
    <t>@buriaworld @NYCagainstabuse Please call us at 311 to file CCRB complaint. Or you send with this online form: https://t.co/iWmXgHTpGE</t>
  </si>
  <si>
    <t>Lunes 10/10 es el Dia de Colon. Las oficinas del gobierno y @NYCSchools estarán cerradas. Más información: https://t.co/m3kR4pHQP2</t>
  </si>
  <si>
    <t>@bikelaneblitz Please DM any other SR #s affected so we can research and advise. Thank you.</t>
  </si>
  <si>
    <t>@lyric_thompson @NYCHousing Please DM us more details about the situation and any SR#s so we can research &amp;amp; further advise.  Thank you.</t>
  </si>
  <si>
    <t>Next Mon. 10/10 is Columbus Day. Gov’t offices/DMV/courts/@NYCSchools are closed. No mail &amp;amp; trash pickup: https://t.co/TI8xC1qZTd</t>
  </si>
  <si>
    <t>Spread the word! DRIE: https://t.co/uzmZG1c78s &amp;amp; SCRIE: https://t.co/pJD9lBwmsZ #NYCRentfreeze #seniors #disability https://t.co/8MbWl7sUTn</t>
  </si>
  <si>
    <t>It’s #throwbackthursday to last year’s #NYC311 Recognition Awards during National #CustomerServiceWeek. See &amp;amp; like:… https://t.co/LjsVdYnlHD</t>
  </si>
  <si>
    <t>@shellyeversley Thanks for pics. DM name&amp;amp;phone &amp;amp; we'll file for you.  Or online: https://t.co/KKJYSJeoP7 or app: https://t.co/FRAGoS7hV4</t>
  </si>
  <si>
    <t>@NellEstefania Please DM us violation# OR plate#, state issued, &amp;amp; plate type so we can research &amp;amp; further advise w/o character limit.Thanks.</t>
  </si>
  <si>
    <t>@MagRahn Thanks for photo.DM name, phone #, (&amp;amp;email for confirmation) &amp;amp; we'll file leaking hydrant. Or file online: https://t.co/KKJYSJeoP7</t>
  </si>
  <si>
    <t>Don’t forget to follow us on Facebook: https://t.co/OJr7wXyWkp , Instagram: https://t.co/76qhqrm4eI  &amp;amp; YouTube:… https://t.co/UkEA0VtVEh</t>
  </si>
  <si>
    <t>@eatdinner @SandmanMS51 Thanks. You also can report the destruction of City or Park trees online here: https://t.co/DXThC66K0r</t>
  </si>
  <si>
    <t>@nickborgg Please DM &amp;amp; we’ll report this cave-in for you. Include email to rec'v confirmation. Or file online here: https://t.co/YnJ8TJxvvd</t>
  </si>
  <si>
    <t>@_iL33t_ Please call us at 311 to report street not swept:  https://t.co/iFCXq8oXhI treet cleaning. Or DM and we'll file for you.</t>
  </si>
  <si>
    <t>@_iL33t_ Alternate Side Parking rules apply even if sweeper has passed or is late: https://t.co/sVCb4YcO3O 1/2</t>
  </si>
  <si>
    <t>#nycforgivingfines The City is reducing penalties for violations in judgment from some city agencies until 12/12: https://t.co/R3sEhpXbBB</t>
  </si>
  <si>
    <t>@CmStolfo Please report this to Manhattan DOT borough commissioner by phone or email: https://t.co/0vu0LvtCWw. Thank you.</t>
  </si>
  <si>
    <t>@kodabb Usually til 6PM, unless there's variance. Even if permit,you can report excessive constructionnoise online: https://t.co/eg2cudK02g</t>
  </si>
  <si>
    <t>@noisybrooklyn1 Learn how NYPD responds to noise complaints: https://t.co/39kNhirVka . File  policedept. feedback: https://t.co/wAxD4pXP9N</t>
  </si>
  <si>
    <t>@ShannanSiemens You can report wild animal in park online here: https://t.co/LQH7X3VqC0 or DM us &amp;amp; we'll file for you.</t>
  </si>
  <si>
    <t>@BrandonWC @NYC_DOT Please DM name/phone &amp;amp; we'll file as damaged catchbasin for you. Or you can report online here: https://t.co/IOy2STzbFq</t>
  </si>
  <si>
    <t>Today, Thursday October 6 is #NYCGoPurple Day. Wear purple for #domesticviolence awareness &amp;amp; show your support onli… https://t.co/n1La4THzwL</t>
  </si>
  <si>
    <t>@jmphotonyc @dahvnyc @NYPD114Pct  You can submit suggestions to DOT Queens Borough Comm. by phone or w/online form: https://t.co/0vu0LvtCWw</t>
  </si>
  <si>
    <t>Octubre es el mes en Contra de la #ViolenciaDomestica. Hay ayuda aquí con @NYCAgainstabuse: https://t.co/gDysBx0ZE9</t>
  </si>
  <si>
    <t>@theonlyemmett @NYC_DOT Thanks for looping us in. Please DM us and we'll file for you. Thank you.</t>
  </si>
  <si>
    <t>Tomorrow Thu. 10/6 is #NYCGoPurple Day. Join @NYCAgainstAbuse &amp;amp; raise #DomesticViolenceAwareness by wearing purple… https://t.co/ZTggVMuVQ7</t>
  </si>
  <si>
    <t>You can call us at #NYC311 &amp;amp; speak with a phone rep 24/7/365.That’s excellent customer service.… https://t.co/KgmIz6SWBX</t>
  </si>
  <si>
    <t>@khethi_mpoti You can report retail store for fraud/deceptive practices to Dept. of Consumer Affairs online here: https://t.co/cCHfcJRfe6</t>
  </si>
  <si>
    <t>@ViaCorrado @NYPDnews Send concern to policedept: https://t.co/wAxD4pXP9N  &amp;amp; healthdept: https://t.co/l98CaGYk9L or DM &amp;amp; we'll file for you.</t>
  </si>
  <si>
    <t>@ZelkovaVC Hi, it depends on construction type &amp;amp; who is doing it. Please DM us details so we can advise w/o character limit. Thank you.</t>
  </si>
  <si>
    <t>@EnviroKelso @NYC_DOT Re-filing let's DEP know condition still exists.Please DM your SR # &amp;amp; any details so we can further advise.Thank you.</t>
  </si>
  <si>
    <t>@NYC_DOT @jmphotonyc Please call us at 311 to report problem with City vehicle with a telephone rep. Thank you.</t>
  </si>
  <si>
    <t>@zaberto @NYC_DOT If you like, you can reach out to Bronx DOT Borough Commissioner by phone/online w/your concern: https://t.co/0vu0LvtCWw</t>
  </si>
  <si>
    <t>@jmphotonyc If not auto-refreshing and/or updating when you click through, you can check SR status online here: https://t.co/baflJHCxKL</t>
  </si>
  <si>
    <t>@EnviroKelso @NYC_DOT You can re-file here: https://t.co/eg2cudK02g your CommunityBoard: https://t.co/cdf1vmkQp3 also may assist/have info</t>
  </si>
  <si>
    <t>@tribecacitizen @NYC_DOT  Please DM us &amp;amp; we'll file streetlight report for you. Or file online or w/app: https://t.co/HHn1tnJphf</t>
  </si>
  <si>
    <t>Are you registered to #vote yet? October 14 is the last day to register to vote in November’s general election:… https://t.co/dqaxJYloIH</t>
  </si>
  <si>
    <t>@DarthBirder @NYCAudubon Sorry to hear this. In the future, you can report injured animal in park online here: https://t.co/LQH7X3VqC0.</t>
  </si>
  <si>
    <t>@TheQuietCar Sorry to hear. You can report MetroNorth issues to MTA directly with online form: https://t.co/vcjTxfQdQA or call them at 511.</t>
  </si>
  <si>
    <t>@NYC_DOT @KeemieVon Thanks for tagging us. Please Direct Message more details/any SR #s you have so we can research &amp;amp; advise. Thank you.</t>
  </si>
  <si>
    <t>@aprilmaiz @NYCTBus That's great to hear. If you'd like to formally submit compliment, you can send to MTA here: https://t.co/vcjTxfQdQA</t>
  </si>
  <si>
    <t>@WolphHongo Hi, please Direct Message us for info to find out if biz can put display items on certain st. Or you can call us at 311. Thanks.</t>
  </si>
  <si>
    <t>@loveelizadesign @nycgov Sorry to hear. You can report sewer odor online: https://t.co/nrpIqSQCm1 or DM name/phone # &amp;amp; we'll file for you.</t>
  </si>
  <si>
    <t>@SHOWTIME___nyc @NYCParks You can send your concern to Parks Commissioner (&amp;amp; incl. your SR #s ) w/this form: https://t.co/dFebX2iq3m</t>
  </si>
  <si>
    <t>Since its Nat'l #CustomerServiceWeek, we’re giving a shout out to our #NYC311 staff, who always go above &amp;amp; beyond: https://t.co/fwpVfzy6Xe</t>
  </si>
  <si>
    <t>@runsammrun @AmazonHelp You can report toy/fake gun that's not brightly colored to Consumer Affairs Dept. here:  https://t.co/BhBel4aBNM</t>
  </si>
  <si>
    <t>@buriaworld @NYCagainstabuse You can report police officer misconduct to CCRB online, in person, by phone,or mail: https://t.co/hlDgUIHxCf</t>
  </si>
  <si>
    <t>Tmrw Wed. 10/5 - students return to @NYCSchools: https://t.co/2Nqk2PDzIy. ASP in effect. Be in-the-know w/311App: https://t.co/FRAGoS7hV4</t>
  </si>
  <si>
    <t>@laurenmzj @FDNY Please DM your name &amp;amp; phone # &amp;amp; we'll report running hydrant for you.Or you can file online, w/App: https://t.co/KKJYSJeoP7</t>
  </si>
  <si>
    <t>@strykerpark @NYC_DOT @CB7Manhattan @MarkLevineNYC Sorry to hear that. Please DM any Service Request #s so we can research &amp;amp; advise. Thanks.</t>
  </si>
  <si>
    <t>@RegoParkQueens @NYPD112Pct @NYPD911Dispatch Always call 911 to report trespassing or outdoor drug use in progress: https://t.co/9M3C2WoP4X</t>
  </si>
  <si>
    <t>Reporting No Heat or Hot Water from your phone with the #NYC311 App is easy &amp;amp; can take less than a minute. See how:… https://t.co/wny5vqDX5y</t>
  </si>
  <si>
    <t>@kristenrapp Sorry to hear that. Please call us at 311 to report secondhand smoke from another apartment with a phone rep. Thank you.</t>
  </si>
  <si>
    <t>@molarryhils Please contact a private wildlife removal service for assistance in removing healthy wildlife from private property.</t>
  </si>
  <si>
    <t>@Coronakeith @NYC_DOT Sorry to hear. You can send your concern/inquiry to DEP w/this online form: https://t.co/0ZudR4unRR</t>
  </si>
  <si>
    <t>@StFinbarBklyn File general USPS complaint here: https://t.co/O8AHvC5Dl8  &amp;amp; contact USPS Inspector Gen. here: https://t.co/ypUyKL7ktH  2/2</t>
  </si>
  <si>
    <t>@StFinbarBklyn Thanks for pics. Report illegal parking in progress online: https://t.co/EMYJOu6Ith  or w/app: https://t.co/FRAGoS7hV4 1/2</t>
  </si>
  <si>
    <t>@mikeschnall @NYCParks Thanks for your photo.Please DM &amp;amp; we'll file for you. Include email if you'd like to receive confirmation.Thank you.</t>
  </si>
  <si>
    <t>@PaulOdellScott Sorry to hear. You can report offhours construction noise online here: https://t.co/eg2cudK02g</t>
  </si>
  <si>
    <t>@iAmDaConnector Please DM name/phone # &amp;amp; we'll file running hydrant for you.  You also can file online or w/App: https://t.co/KKJYSJeoP7</t>
  </si>
  <si>
    <t>@lupaPadmae35 @NYC_DOT Thanks for map. Please DM &amp;amp; we'll file st. resurface request for you.Or you can file online: https://t.co/YnJ8TJxvvd</t>
  </si>
  <si>
    <t>.@NYCAgainstabuse is holding events throughout NYC for #domesticviolence awareness month. See info: https://t.co/WeblWPzzcK #DVAM2016</t>
  </si>
  <si>
    <t>.@NYCSchools están cerradas hoy martes 10/4 por Rosh Hashanah. Vea el calendario escolar aquí: https://t.co/WDGCfjj8iu</t>
  </si>
  <si>
    <t>.@NYCSchools are closed today, Tuesday, October 4 for Rosh Hashanah. See public school calendar: https://t.co/2Nqk2PDzIy</t>
  </si>
  <si>
    <t>#NYCASP está suspendida hoy martes 10/4 por Rosh Hashanah. Parquímetros están vigentes. Consigue el app: https://t.co/D9WkiUoVG7</t>
  </si>
  <si>
    <t>#NYCASP is suspended today Tuesday October 4 for Rosh Hashanah. Meters are in effect. Get the #NYC311 App: https://t.co/FRAGoS7hV4</t>
  </si>
  <si>
    <t>@lupaPadmae35 @NYC_DOT You can req. highway resurfacing by sending message to DOTCommissioner w/online form here: https://t.co/ELDzVJQlmW</t>
  </si>
  <si>
    <t>@NYCHousing @jessicaplautz Heat req: https://t.co/lkVgau5fQ6 File no heat online: https://t.co/wVq7MQ1MTr, w/App: https://t.co/FRAGoS7hV4</t>
  </si>
  <si>
    <t>@NYCSanitation @Suered11 Yes, thanks, Sanitation. You also can report abandoned vehicle with the free 311 App: https://t.co/FRAGoS7hV4</t>
  </si>
  <si>
    <t>@brownisthecolor Sorry to hear. You can file res. maintenance issues online: https://t.co/Xl2zfDVVB2 or call us at 311 &amp;amp; file w/phone rep.</t>
  </si>
  <si>
    <t>@angas @NYC_DOT Yes, please DM &amp;amp; we'll file for you. Or you can report online: https://t.co/YnJ8TJxvvd or w/App: https://t.co/FRAGoS7hV4</t>
  </si>
  <si>
    <t>@Artanis5 Sorry to hear.Please tell us more: is debris blocking st. or sidewalk? DM where there's no character limit, if you like. Thanks.</t>
  </si>
  <si>
    <t>@adriel_reyes Thanks for your pic. You can file litter basket issue in park online or w/app: https://t.co/59317JLz4G or DM us &amp;amp; we'll file.</t>
  </si>
  <si>
    <t>ATENCION: @NYCSchools estarán cerradas mañana martes, 10/4 por Rosh Hashanah. Vea el calendario escolar aquí: https://t.co/WDGCfjj8iu</t>
  </si>
  <si>
    <t>REMINDER: @NYCschools are closed tmrw, Tue. October 4 for Rosh Hashanah. See the public school calendar online: https://t.co/2Nqk2PDzIy</t>
  </si>
  <si>
    <t>ATENCION: #NYCASP está suspendida mañana martes, 10/4 por Rosh Hashanah. Parquímetros estarán vigentes: https://t.co/D9WkiUoVG7</t>
  </si>
  <si>
    <t>#NYCASP suspended tomorrow Tuesday, October 4 for Rosh Hashanah. Meters remain in effect. Follow @NYCASP for updates.</t>
  </si>
  <si>
    <t>@NYC_DOT @academyking305 Yes, DM &amp;amp; we'll file. Or request resurfacing: https://t.co/YnJ8TJxvvd &amp;amp; line markings: https://t.co/e5eCgjMoRp</t>
  </si>
  <si>
    <t>@philipneumann @NYC_DOT Thanks for tagging us in. Please Direct Message (https://t.co/taifWg96km) &amp;amp; we'll file catchbasin request for you.</t>
  </si>
  <si>
    <t>@harlemtoilegirl Thanks for your post. Please DM more details about your concern so we can research &amp;amp; advise best next step. Thank you.</t>
  </si>
  <si>
    <t>@NYC_DOT @jooltman Yes DM &amp;amp; we'll file for you (incl. email for confirmation) Or report faded st. markings online: https://t.co/e5eCgjMoRp</t>
  </si>
  <si>
    <t>@NYC_DOT @ChristRobbins Please call 311 to report City vehicle issue. File illegal parking inprogress online,w/App: https://t.co/EMYJOu6Ith</t>
  </si>
  <si>
    <t>@NYC_DOT @juanjonjuan Thanks. Please DM &amp;amp; we'll file failed street repair for you. Or you can file online, w/app: https://t.co/YnJ8TJxvvd</t>
  </si>
  <si>
    <t>@paulschreiber @NYC_DOT Hi, please DM &amp;amp; we'll file street markings request for you. Incl. email address if you'd like confirmation. Thanks.</t>
  </si>
  <si>
    <t>@CpuBrooklyn You can report streetlight out online: https://t.co/HHn1tnJphf, w/App: https://t.co/FRAGoS7hV4  or DM &amp;amp; we'll file for you.</t>
  </si>
  <si>
    <t>@Stephs_Twittah If open for activities,parkingrestrictions are in effect: https://t.co/TtNqAR3DXB. Contact school: https://t.co/OGOixjJgYS</t>
  </si>
  <si>
    <t>@Pulsar_Ent Please call 311 to file moviecrew problem w/phone rep: https://t.co/F8jzItLLqi. CB also may have info: https://t.co/cdf1vmkQp3</t>
  </si>
  <si>
    <t>@MomoShanahan @nycgov @NYCParks Thanks for pic. You can report this issue to Port Authority directly online here: https://t.co/ahlZcrDvyT</t>
  </si>
  <si>
    <t>@pattid1213 We're not sure. You can ask Sanitation directly w/their online form: https://t.co/xKQ7ScoNIz  Or DM us &amp;amp; we'll file for you.</t>
  </si>
  <si>
    <t>#Didyouknow kids 18 or under can get free memberships to @NYCParks Recreational Centers? Find one near you: https://t.co/H1CDBzzx8U</t>
  </si>
  <si>
    <t>@SJoylisaCo @NYCHousing 6AM-10PM, if outside falls below55, inside temp must be min. 68degrees. File online, w/App: https://t.co/wVq7MQ1MTr</t>
  </si>
  <si>
    <t>@SJoylisaCo @NYCHousing 10PM-6 AM, if outside temp falls below 40, inside temp must be at least 55 degrees: https://t.co/lkVgau5fQ6 1/2</t>
  </si>
  <si>
    <t>@NikkiLBirdsall @NYPD108Pct @NYCMayorsOffice @JimmyVanBramer Sorry to hear, Call 911 to report alarm in progress: https://t.co/Fu5AAtK6ck</t>
  </si>
  <si>
    <t>@molarryhils @NYPD111Pct @NYCMayorsOffice Or 311 if rabid &amp;amp; contact w/pet. See removal/deterrence advice here: https://t.co/n8GoPiAhGr 2/2</t>
  </si>
  <si>
    <t>@molarryhils @TonyAvella @NYPD111Pct Unfortunately, NYC doesn’t remove healthy wildlife. Call 911 if raccoon is vicious/dangerous 1/2</t>
  </si>
  <si>
    <t>@ABatemanHouse Or you can Direct Message us here weekdays, 9AM – 5PM (except City holidays) and we’ll file for you. Thank you. 2/2</t>
  </si>
  <si>
    <t>@ABatemanHouse In future, call 911 for emergency trafficlight condition or 311 if there's no immediate danger: https://t.co/JTH7g7pTNU  1/2</t>
  </si>
  <si>
    <t>It’s National #CustomerServiceWeek &amp;amp; #NYC311 aims to provide the best. Meet our dedicated employees:… https://t.co/X99fxPw3SU</t>
  </si>
  <si>
    <t>@yi_tweets @UrbanAmerican1 If water still dirty, please DM name/phone/address &amp;amp; we'll file. Or file online: https://t.co/CuFFiFN8i8 2/2</t>
  </si>
  <si>
    <t>@yi_tweets @UrbanAmerican1 Watermain work nearby may cause discoloration. Water is safe.Settling times vary, run til cold &amp;amp; clear 1/2</t>
  </si>
  <si>
    <t>@chupsterette @NYPD94Pct Check SR status for notes: https://t.co/baflJHCxKL. Send police concern w/online form: https://t.co/wAxD4pXP9N 2/2</t>
  </si>
  <si>
    <t>@chupsterette @NYPD94Pct Sorry to hear. Precinct responds to noise complaints when not handling emergencies: https://t.co/39kNhirVka 1/2</t>
  </si>
  <si>
    <t>@BAMstutz @NYCParks  Sorry to hear.Send your concern to ParksCommissioner: https://t.co/dFebX2iq3m (incl.SR #s).Or DM &amp;amp; we'll file for you.</t>
  </si>
  <si>
    <t>@Rstearns @NYPDHighway Sorry to hear. In future, please call us at 311 to report non-emergency traffic condition for precinct to respond.</t>
  </si>
  <si>
    <t>@bronzebeauty25 @NYPD103Pct You can send feedback to police dept. using this online form: https://t.co/wAxD4pXP9N   2/2</t>
  </si>
  <si>
    <t>@bronzebeauty25 @NYPD103Pct The precinct responds to noise complaints when not handling emergencies: https://t.co/39kNhirVka  1/2</t>
  </si>
  <si>
    <t>@MovingForwardUn If City litterbaskets, you can report overflowing (&amp;amp; request in new locations) online here: https://t.co/teLXByBE4E 2/2</t>
  </si>
  <si>
    <t>@MovingForwardUn If still uncollected 8 AM day after your https://t.co/QIz3hEA3v1,file missedcollection here: https://t.co/Ds3yDTOVEC 1/2</t>
  </si>
  <si>
    <t>@leauncc @NYCMayorsOffice Unfortunately this can't be reported via socialmedia. It req's speaking w/311 phone rep to proper document/route</t>
  </si>
  <si>
    <t>.@NYCSchools están cerradas hoy lunes 10/3  y manana martes 10/4 por Rosh Hashanah. Vea el calendario escolar aquí: https://t.co/WDGCfjAJa2</t>
  </si>
  <si>
    <t>.@NYCSchools are closed today, Monday, Oct 3 &amp;amp; Tuesday, Oct 4 for Rosh Hashanah. See public school calendar: https://t.co/2Nqk2PDzIy</t>
  </si>
  <si>
    <t>#NYCASP está suspendida hoy lunes 10/3 y manana martes 10/4 por Rosh Hashanah. Parquímetros están vigentes: https://t.co/D9WkiUoVG7</t>
  </si>
  <si>
    <t>#NYCASP suspended today Mon 10/3 &amp;amp; tmrw, Tue 10/4 for Rosh Hashanah. Meters are in effect. Get our #NYC311 app: https://t.co/FRAGoS7hV4</t>
  </si>
  <si>
    <t>.@NYCSchools estarán cerradas mañana lunes 10/3 y martes 10/4 por Rosh Hashanah. Vea el calendario escolar aquí: https://t.co/WDGCfjj8iu</t>
  </si>
  <si>
    <t>#NYCASP está suspendida mañana lunes, 10/3 y martes 10/4 por Rosh Hashanah. Parquímetros estarán vigentes: https://t.co/D9WkiUoVG7</t>
  </si>
  <si>
    <t>#NYCASP suspended tomorrow Mon. Oct 3 &amp;amp; Tue. Oct 4 for Rosh Hashanah. Meters will remain in effect. Follow @NYCASP for updates.</t>
  </si>
  <si>
    <t>.@NYCSchools closed tomorrow Monday, October 3 &amp;amp; Tueday, October 4 for Rosh Hashanah. See public school calendar: https://t.co/2Nqk2PDzIy</t>
  </si>
  <si>
    <t>It’s #breastcancer awareness month. @NYCHealthSystem offers free/low cost mammograms &amp;amp; breast examinations: https://t.co/dJCK0TSq5t</t>
  </si>
  <si>
    <t>#NYCASP está suspendida el lunes 10/3 y el martes 10/4 por Rosh Hashanah. Parquímetros estarán vigentes: https://t.co/D9WkiUoVG7</t>
  </si>
  <si>
    <t>#NYCASP suspended Mon. 10/3 &amp;amp; Tue. 10/4 for Rosh Hashanah. Meters remain in effect. Follow @NYCASP &amp;amp; get app: https://t.co/FRAGoS7hV4</t>
  </si>
  <si>
    <t>.@NYCSchools están cerradas el lunes 10/3 y el martes 10/4 por Rosh Hashanah. Vea el calendario escolar aquí: https://t.co/WDGCfjj8iu</t>
  </si>
  <si>
    <t>October is #DomesticViolence Awareness Month. Help is available in NYC incl. counseling &amp;amp; housing: https://t.co/RS7mFT63uu #DVAM2016</t>
  </si>
  <si>
    <t>REMINDER: @NYCSchools closed Monday, October 3 &amp;amp; Tuesday, October 4 for Rosh Hashanah. See public school calendar: https://t.co/2Nqk2PDzIy</t>
  </si>
  <si>
    <t>Today is 1st day of NYC #HeatSeason, in effect through May 31, 2017. See residential heat requirements:… https://t.co/zGJEacxqtj</t>
  </si>
  <si>
    <t>Se esperan 8 #NYCASP suspensiones para octubre 2016. Quédate informado a través @NYCASP y nuestra aplicación: https://t.co/FRAGoS7hV4</t>
  </si>
  <si>
    <t>@kaieous Thanks for your posts; we'll reply to your Direct Message.</t>
  </si>
  <si>
    <t>@_TheRobynShow Hi, drivers required to go to any destination in 5boroughs &amp;amp; more. Report taxi driver problem here: https://t.co/Xo1kD5VSiZ</t>
  </si>
  <si>
    <t>@bottomcumboi Always call 911 if someone's stuck in elevator. If no emergency, DM &amp;amp; we'll file or report online: https://t.co/fXqHZAIaR1</t>
  </si>
  <si>
    <t>There are 8 #NYCASP suspensions for October 2016. Stay updated by following @NYCASP &amp;amp; through our App:… https://t.co/sI0fZY9L1E</t>
  </si>
  <si>
    <t>@Yahtsy Hi, there's different complaint types for diff.issues. Please Direct Message details &amp;amp;we'll advise. Thanks. https://t.co/REiT04fA9q</t>
  </si>
  <si>
    <t>If rain causes a leak in your apt. &amp;amp; your landlord’s not fixing it, report it as maintenance issue: https://t.co/jBWCZogr4N</t>
  </si>
  <si>
    <t>@StacyLeMelle @MTA Hi, sorry to hear that. Please report subway issues to the MTA directly with this online form: https://t.co/vcjTxfQdQA</t>
  </si>
  <si>
    <t>@EnviroKelso @NYC_DOT Glad you filed. Check status online: https://t.co/baflJHkWmb. CB: https://t.co/cdf1vmCrgB may have info/assistance.</t>
  </si>
  <si>
    <t>@Bmwtwit Sorry to see this. Please call us at 311 to request dumped items removal &amp;amp; file improper trash disposal w/phone rep. Thank you.</t>
  </si>
  <si>
    <t>@subtle116 @NYC_DOT @bfurnas If you have SR #, check status here: https://t.co/Y93bf559PH. DM if you'd like us to file for you. Thanks.</t>
  </si>
  <si>
    <t>@Punch_DrunkNYC Please DM location/name/phone # (DEP req's it) &amp;amp; we'll file running hydrant.  Or file online,w/App: https://t.co/KKJYSJeoP7</t>
  </si>
  <si>
    <t>@J_rinac Please DM your SR #s &amp;amp; we'll file agency complaint for you. Or send police dept. your concern w/this form: https://t.co/wAxD4pXP9N</t>
  </si>
  <si>
    <t>@nicknormal @JimmyVanBramer @NYCWater @RepMaloney Glad to see your photo. Thanks for letting us know.</t>
  </si>
  <si>
    <t>@jwroque Sorry to hear. We hope there's no need, but if still uncollected after 8AM next day, report it online: https://t.co/Ds3yDTOVEC</t>
  </si>
  <si>
    <t>@Brenlo924 Please DM &amp;amp; we'll file agency complaint for you.Or you can use this form to send concern to policedept:  https://t.co/wAxD4pXP9N</t>
  </si>
  <si>
    <t>@Mcsweeeeen In future,call 911 if immediate danger. If not emergency &amp;amp; we can file streetlight SR for you, please DM details. Thanks.</t>
  </si>
  <si>
    <t>Today's Nat'l #PreparAthon Day. Learn how you can take action during emergencies w/ @NYCOEM: https://t.co/0RqVlDn8XR #NatlPrep #NPM2016</t>
  </si>
  <si>
    <t>@heatherjensen We can help w/non-emergency info/services. Suspicious/unattended pkg is for 911 or MTA: https://t.co/EK0Wnc87ku</t>
  </si>
  <si>
    <t>@heatherjensen Always call 911 to report suspicious pkg: https://t.co/e59GU3DSlP  You also can alert police officer or MTA employee nearby.</t>
  </si>
  <si>
    <t>@DHAltman @NYCSanitation @NYCCouncil You can also send concern to DSNY commissioner using this online form: https://t.co/xKQ7ScoNIz  2/2</t>
  </si>
  <si>
    <t>@DHAltman @NYCSanitation @NYCCouncil Request new litter basket &amp;amp; indicate the current one is broken online here: https://t.co/teLXByBE4E 1/2</t>
  </si>
  <si>
    <t>Si eres un dueño de un pequeño negocio en NYC y necesita ayuda en tu idioma @NYCSmallbizsvcs te puede ayudar. https://t.co/jwVuF6twgs</t>
  </si>
  <si>
    <t>@NYC_DOT @philipneumann Thanks for tag. Please DM &amp;amp;we'll file bridge condition report for you, or file online here: https://t.co/NntKbXG8vj</t>
  </si>
  <si>
    <t>@nicknormal @JimmyVanBramer @NYCWater @RepMaloney Thanks for your patience. We're researching &amp;amp; will DM ASAP so there's no character limit.</t>
  </si>
  <si>
    <t>@radlerkoenigin @NYC_DOT @MTA App categories are abbreviated - Any should get to right place but Damaged is appropriate. Thanks for filing!</t>
  </si>
  <si>
    <t>Tmrw Fri. 9/30 is National #PreparAthon Day! Get prepared w/ @NYCOEM: https://t.co/0RqVlDn8XR #NPM2016 #NatlPrep</t>
  </si>
  <si>
    <t>@NYC_DOT @radlerkoenigin @MTA Thanks! Please DM &amp;amp; we'll file incorrect sign for you. Or you can file online,w/App: https://t.co/fq85Ngnp7A</t>
  </si>
  <si>
    <t>@lafemmeluna @nyctaxi We're sorry to hear this &amp;amp; thanks for filing. Check status w/SR # (after 24 hrs) online: https://t.co/baflJHCxKL</t>
  </si>
  <si>
    <t>Are you on Instagram? Follow us &amp;amp; see exclusive photos of #Cubert,  #NYC311 behind-the-scenes &amp;amp; monthly news:… https://t.co/6tm7iARyHZ</t>
  </si>
  <si>
    <t>@muzicman424 Thanks for reporting it. You can status with your service request # (after 24 hours) online here: https://t.co/baflJHCxKL</t>
  </si>
  <si>
    <t>@jen_epstein @NYCParks @NYC_DOT Hi. Please DM us &amp;amp; we'll file streetlight report for you. Or file online or w/app: https://t.co/HHn1tnJphf</t>
  </si>
  <si>
    <t>@tmcNYC @NYPD17Pct C_DOT @MTA @cbsix Status updates come from precinct. Please contact pct directly for more info: https://t.co/3KuRsGNMUM</t>
  </si>
  <si>
    <t>@_iL33t_ Please call us at 311 to report a poor or missed street sweeping: https://t.co/iFCXq8oXhI</t>
  </si>
  <si>
    <t>@CitiFieldSheas Please reach out to Queens DOT Borough Commissioner by phone/email to request signage: https://t.co/0vu0LvtCWw Thank you.</t>
  </si>
  <si>
    <t>@NYC_DOT @Jon_Estreich @CoreyinNYC Thanks for mention. DM&amp;amp; we'll file incorrect sign for you.Or file online&amp;amp;w/App: https://t.co/fq85Ngnp7A</t>
  </si>
  <si>
    <t>NYC has over 140 farmers markets and almost all accept SNAP. Shop fresh and local: https://t.co/dWC8HDkXKu</t>
  </si>
  <si>
    <t>@leauncc @NYCMayorsOffice Please call us at 311 to report homeless encampment w/phone representative: https://t.co/ltWaS4gMcU Thank you.</t>
  </si>
  <si>
    <t>@tmcNYC @NYC_DOT Thanks for your post. We'll Reply via Direct Message where there's no character limit.</t>
  </si>
  <si>
    <t>@dadarocks If wood/other,crib&amp;amp;sealed mattress go curbside for reg.trash day.Check collection days by address: https://t.co/hVqyvaIyew 2/2</t>
  </si>
  <si>
    <t>@dadarocks Hi, Mattress/bxspring must be sealed in plastic bags: https://t.co/Xw9McP49bX. If metal/plastic crib, put out for recycle day 1/2</t>
  </si>
  <si>
    <t>@Warrennyc @PaulVallone @NYCParks @NYCDDC Or you can report it online: https://t.co/DXThC66K0r  or w/app: https://t.co/FRAGoS7hV4 2/2</t>
  </si>
  <si>
    <t>@Warrennyc @PaulVallone @NYCParks @NYCDDC Please Direct Message&amp;amp;we’ll file unauthorized st.tree removal for you. 1/2 https://t.co/REiT04fA9q</t>
  </si>
  <si>
    <t>@bikelaneblitz We believed issue was fixed, so we appreciate your letting us know. Thanks for your patience. We'll reply to your DM.</t>
  </si>
  <si>
    <t>@dnj1999 @NYCMayorsOffice In future, call 911 if  immediate danger. If no emergency, call 311 for crane complaint: https://t.co/cf90H5B6S3</t>
  </si>
  <si>
    <t>Are there potholes on your commute? Report w/App: https://t.co/FRAGoS7hV4 or DM/Facebook: https://t.co/OJr7wXyWkp https://t.co/fwRodTeEvt</t>
  </si>
  <si>
    <t>@bikelaneblitz We're sorry to hear this. Please DM any SR #s w/no email confirms sent, method filed (online? app?) &amp;amp; we'll escalate.Thanks.</t>
  </si>
  <si>
    <t>La Ciudad de Nueva York ofrece clases #gratis de educación para adultos en los cinco condados. Más info en: https://t.co/sQgqlgtWQ4</t>
  </si>
  <si>
    <t>@arleneherring Sorry that you had trouble, but glad you called to file. You can check SRstatus (after 24hrs) here: https://t.co/baflJHCxKL</t>
  </si>
  <si>
    <t>NYC College Line has info &amp;amp; resources to help get into #college, pay for it and stay in. Find local programs: https://t.co/mcHidYmVVz</t>
  </si>
  <si>
    <t>@MeowMiya88 Thanks for your photo. You can report animal abuse to the local police precinct online here: https://t.co/6ctRTQfIR2 .</t>
  </si>
  <si>
    <t>@arleneherring @NYCSanitation Hi, please use this link, it should bring you right into new Direct Message w/us: https://t.co/REiT04fA9q</t>
  </si>
  <si>
    <t>Learn about #NYC311 with our #mobileapp demos &amp;amp; employee profiles on our #YouTube channel: https://t.co/HIBeGKLCav.… https://t.co/n3iyXu32e9</t>
  </si>
  <si>
    <t>@NYCSanitation @arleneherring Thanks. Please Direct Message name/phone # &amp;amp; we'll file for you. Or report odor here: https://t.co/UMjKvQtmx7</t>
  </si>
  <si>
    <t>@NYC_DOT @benjieflores @NYCMayorsOffice Please call us at 311 to report improper use of City parking permit. Thank you.</t>
  </si>
  <si>
    <t>@jmphotonyc @NYPD108Pct @JimmyVanBramer Report illegal parking inprogress online: https://t.co/EMYJOu6Ith or w/app:https://t.co/FRAGoS7hV4</t>
  </si>
  <si>
    <t>@blindgator Sorry for the inconvenience. Please Direct Message us details about the complaint &amp;amp; we’ll file for you: https://t.co/REiT04fA9q</t>
  </si>
  <si>
    <t>@buriaworld You can re-file noise: https://t.co/eg2cudK02g &amp;amp; your Comm.Board: https://t.co/cdf1vmkQp3 may have info/be able to assist 2/2</t>
  </si>
  <si>
    <t>@buriaworld Sorry to hear that. You SR status may have notes, you can check online here: https://t.co/baflJHCxKL 1/2</t>
  </si>
  <si>
    <t>@suzannahbtroy @NYPDONeill @NYPD10Pct @NYCDHS Please Direct Message us details about the issue so we can advise: https://t.co/REiT04fA9q</t>
  </si>
  <si>
    <t>@mcirritonyc @NYPD108Pct @JimmyVanBramer You can report illegal parking inprogress (blocked hydrant) online, w/app: https://t.co/EMYJOu6Ith</t>
  </si>
  <si>
    <t>@MaureenFrench @HelenRosenthal Please use DirectMessage link if you'd like us to file feedback for you.Thanks. 2/2 https://t.co/REiT04fA9q</t>
  </si>
  <si>
    <t>@MaureenFrench @HelenRosenthal @TrinitySchoolNY Please contact 24th Precinct to request school crossing guard: https://t.co/81xqOUqPuz  1/2</t>
  </si>
  <si>
    <t>Help conserve water. You can report leaking/running #firehydrants online: https://t.co/KKJYSJeoP7 or w/our App:… https://t.co/7InJ9G3sZE</t>
  </si>
  <si>
    <t>It’s not too late to participate in #NationalVoterRegistrationDay! Register to #vote or check status:… https://t.co/2vua5eGjBi</t>
  </si>
  <si>
    <t>@MaureenFrench @HelenRosenthal @TrinitySchoolNY Please DM contact info/email if you'd like us to file police feedback for you. Thank you.</t>
  </si>
  <si>
    <t>@NYC_DOT @EricMcClureBK @NYC_Buildings Please call 911 to report hazardous road condition likely to cause accident: https://t.co/adb7oa8GKW</t>
  </si>
  <si>
    <t>@MaureenFrench @HelenRosenthal @TrinitySchoolNY You also can send police dept. your concern w/online form: https://t.co/wAxD4pXP9N 2/2</t>
  </si>
  <si>
    <t>@MaureenFrench @HelenRosenthal @TrinitySchoolNY You can call us at 311 to report non-emergency traffic condition for precinct to respond 1/2</t>
  </si>
  <si>
    <t>¿Necesitas ánimo para bajar de peso? @NYCHealthySystem tiene 10 consejos para una mejor nutrición aquí: https://t.co/lgHKHfIdMr</t>
  </si>
  <si>
    <t>@MaureenFrench @HelenRosenthal @TrinitySchoolNY Please let us know if it’s something else. Send Direct Message if you prefer. Thanks. 3/3</t>
  </si>
  <si>
    <t>@MaureenFrench @HelenRosenthal @TrinitySchoolNY You also can report vehicle noise/honking in progress here: https://t.co/8p4eRpcJtP   2/3</t>
  </si>
  <si>
    <t>@MaureenFrench @HelenRosenthal @TrinitySchoolNY  Sorry to hear. You can report construction noise online here: https://t.co/eg2cudK02g 1/3</t>
  </si>
  <si>
    <t>@yechields You can submit your concern about this to the MTA directly with this online form: https://t.co/vcjTxfQdQA</t>
  </si>
  <si>
    <t>Hot water is req'd 365 days/yr. Report a lack with the #NYC311 app: https://t.co/FRAGoS7hV4  or online: https://t.co/wVq7MQ1MTr</t>
  </si>
  <si>
    <t>@belleoflonglake @McDonalds Please call us at 311 to report non-emergency traffic condition with a phone rep for local precinct to respond.</t>
  </si>
  <si>
    <t>NYC, its #NationalVoterRegistrationDay! Register to vote before 10/14 to participate in the general election:… https://t.co/DSClZGmv8D</t>
  </si>
  <si>
    <t>NYC is no stranger to the forces of nature. Learn how to #Besmart with @NYCOEM for #NationalPreparednessMonth: https://t.co/0RqVlDn8XR</t>
  </si>
  <si>
    <t>#DYK there’s 4 ways to report a pothole? Online or our App: https://t.co/YnJ8TJxvvd  Twitter DM &amp;amp; FB (weekdays): https://t.co/OJr7wXyWkp</t>
  </si>
  <si>
    <t>RT @NYPDnews: #HappeningSoon: Mayor @BilldeBlasio, @FDNY, @NYPDONeill &amp;amp; @nycoem update NYers on incident in #Bronx. WATCH: https://t.co/StY…</t>
  </si>
  <si>
    <t>@buriaworld And if bldg construction, report afterhours/without permit/against approved plans to DOB here: https://t.co/WB3l2lK3JZ 2/2</t>
  </si>
  <si>
    <t>Today Tue. 9/27 is #NationalVoterRegistrationDay. Register &amp;amp; vote in general election: https://t.co/nPTLkZmC9d… https://t.co/yfwIxXsPaL</t>
  </si>
  <si>
    <t>@SikLunChutNay You also can submit your comments to the Mayor by mail or online here: https://t.co/8K8Yqm9HvO 2/2</t>
  </si>
  <si>
    <t>@SikLunChutNay Thanks for your photos. Please call us at 311 to file a complaint about movie/film crew with a phone representative. 1/2</t>
  </si>
  <si>
    <t>@DATLADYGREEN Sorry to hear this. DM us &amp;amp; we’ll file helicopter noise complaint for you. Or you can file online: https://t.co/G5ZkVrGRp8</t>
  </si>
  <si>
    <t>@Karlin_C Call 911 if immediate danger. If not emergency, DM &amp;amp; we’ll file park maintenance for you. Or file online: https://t.co/59317JLz4G</t>
  </si>
  <si>
    <t>@buriaworld Sorry to hear this. You can report off-hours construction noise to DEP online here: https://t.co/eg2cudK02g 1/2</t>
  </si>
  <si>
    <t>@ankushnarula Usually 6PM, unless there's a variance.Regardless, you can always report excessive jackhammer noise: https://t.co/eg2cudK02g</t>
  </si>
  <si>
    <t>@varud You can send your concern to police commissioner w/this online form (include any SR numbers for reference): https://t.co/wAxD4pXP9N</t>
  </si>
  <si>
    <t>@sam_guide You can send police dept. public safety concern w/this form: https://t.co/wAxD4pXP9N &amp;amp; DOT traffictrend: https://t.co/BijO0Lp7ek</t>
  </si>
  <si>
    <t>@JenKepler @NYC_DOT You can send police dept. public safety concern here: https://t.co/wAxD4pXP9N &amp;amp; traffic trend: https://t.co/BijO0Lp7ek</t>
  </si>
  <si>
    <t>¿Te gusta leer? Hay bibliotecas abiertas al público en cada condado: https://t.co/3cZBm31h2o @QueensLibrary @Bklynlibrary @NYPL</t>
  </si>
  <si>
    <t>@NicoMcLane @NYPDnews @NYPDONeill Thanks for your patience. Please Direct Message so we can advise best next steps. Thank you.</t>
  </si>
  <si>
    <t>@SSmithNYC We're sorry to hear that.  Please report directly to MTA with their online form: https://t.co/vcjTxfQdQA   or call them at 511.</t>
  </si>
  <si>
    <t>Poetry lovers: enjoy an evening w/@NYCParks at @Bryantparknyc tmrw Tue. 9/27 7PM to 8:30PM: https://t.co/wQuotiV8qM #poetrynight</t>
  </si>
  <si>
    <t>Get discounts to @barclayscenter  events, @Modells  &amp;amp; free 1yr membership to @nyrr w/@IDNYC. Get your #IDNYC: https://t.co/RdtEg7J75C</t>
  </si>
  <si>
    <t>@MsEngInAction You can try calling us at 212-639-9675. Or DM us the number you are calling from, your CFC appt. number, and the location.</t>
  </si>
  <si>
    <t>@NYC_DOT Thanks for tagging us. @mcpanzo Please DM us the cross street and we'll report for you &amp;amp; send your SR number. Thank you.</t>
  </si>
  <si>
    <t>Get the latest updates about traffic, projects, #StatenIsland ferry &amp;amp; art news with @NYC_DOT email updates: https://t.co/VdT9FI9SMB</t>
  </si>
  <si>
    <t>@FabianBuchheim Please call us at 311 to report homeless encampment: https://t.co/ltWaS4gMcU &amp;amp; chronic drug activity w/phone rep.Thank you.</t>
  </si>
  <si>
    <t>@jeremyfaust We hope there's no need, but in future, you can report noise from neighbor online or w/ our App: https://t.co/tsfL0PK7Na</t>
  </si>
  <si>
    <t>@MsEngInAction Sorry to hear that. Heavy call volume can result in delays. Are you waiting for a rep? Or getting  busy signal? Let us know.</t>
  </si>
  <si>
    <t>@katrina_elyse8 You can file some noise complaints w/our free App: https://t.co/FRAGoS7hV4  Direct Message if we can further assist 2/2</t>
  </si>
  <si>
    <t>@katrina_elyse8 Some noise types require filing when noise in-progress for precinct response. See diff. types: https://t.co/mBOxPqhbXC 1/2</t>
  </si>
  <si>
    <t>@leastonce Sorry to hear this. You can report this issue to Port Authority directly online here: https://t.co/ahlZcrDvyT</t>
  </si>
  <si>
    <t>@Italchick Thanks for your post. You can contact the NYS DMV for assistance &amp;amp; info about your vehicle registration: https://t.co/IVlWrChTAI</t>
  </si>
  <si>
    <t>@MarthaArgelia23 We're sorry to hear that. You can report afterhours noise from  construction/jackhammer online: https://t.co/eg2cudK02g</t>
  </si>
  <si>
    <t>@JenKepler @NYC_DOT In the future, call 911 to report reckless driving in progress: https://t.co/EpExbD6duH</t>
  </si>
  <si>
    <t>@NYCMelDeey Sorry to hear. In future, please call us at 311 to report non-emergency traffic condition in-progress for precinct to respond.</t>
  </si>
  <si>
    <t>@icelily20 Thanks for your post. You can request stop sign installation online here: https://t.co/YZ6ylWuuiq</t>
  </si>
  <si>
    <t>@nicknormal @msenese You can send concern to DEPCommissioner w/online form: https://t.co/0ZudR4unRR. (Include your Service Request #s.)</t>
  </si>
  <si>
    <t>@tgcowles Or weekdays, 9AM-5PM (except City holidays) we can file non-emergency traffic signal conditions via Direct Message here. 2/2</t>
  </si>
  <si>
    <t>@tgcowles In the future, call 911 if immediate danger. If not emergency, please call 311 to report traffic signal issue w/phone rep. 1/2</t>
  </si>
  <si>
    <t>@ressydm Please report illegal parking online or w/App. See rules for City Disabilities parking permit holders: https://t.co/E8qUXV7QS5.</t>
  </si>
  <si>
    <t>@doublejnyc You also may want to contact Councilperson in Council District 7 https://t.co/L4A43TxHOt &amp;amp; CB 7 https://t.co/qSJ0C3VsBT. 2/2</t>
  </si>
  <si>
    <t>@doublejnyc You can submit your request to the Park Commissioner using this online form: https://t.co/dFebX2iq3m. 1/2</t>
  </si>
  <si>
    <t>@pfeil @glennEmartin @preet You can send your comments to the Mayor by mail or with online email form linked here: https://t.co/8K8Yqm9HvO</t>
  </si>
  <si>
    <t>@macsamurai Please DM us we'll file for you. Or you can report an incorrect street sign with app or online: https://t.co/fq85Ngnp7A</t>
  </si>
  <si>
    <t>@sara_moe Sorry to hear. Please Direct Message details &amp;amp; any Service Request #s you have, so we can research &amp;amp; further assist. Thank you.</t>
  </si>
  <si>
    <t>@AsariNYC Or weekdays, 9AM-5PM (except City holidays) we can file non-emergency traffic signal conditions via Direct Message here.  2/2</t>
  </si>
  <si>
    <t>@AsariNYC In the future, call 911 if immediate danger. If not emergency, please call 311 to report traffic signal issue w/phone rep.  1/2</t>
  </si>
  <si>
    <t>@646_8329 Hi. Please let us know how we can help. We're here for all NYC non-emergency &amp;amp; government info/services: https://t.co/BpaCtajHjR</t>
  </si>
  <si>
    <t>@JMCappiello In the future, call 911 to report emergency traffic conditions: https://t.co/adb7oa8GKW</t>
  </si>
  <si>
    <t>@youngerpants Please DM your name &amp;amp; phone # &amp;amp; we'll report running hydrant for you. Or you can file online, w/App: https://t.co/KKJYSJeoP7</t>
  </si>
  <si>
    <t>@batilpatung Please report this problem directly to MTA with their online form: https://t.co/vcjTxfQdQA  or call them at 511. Thank you.</t>
  </si>
  <si>
    <t>@SydneyPigeNY Sorry to hear. It may be allowed w/variance. However you can always report excessive jackhammer noise: https://t.co/eg2cudK02g</t>
  </si>
  <si>
    <t>@UL0VET Please DM &amp;amp; we'll file mold &amp;amp; bedbug SRs for you. Or, you can file online: https://t.co/utVTKq6TjF &amp;amp; here: https://t.co/462Lyrpc0q</t>
  </si>
  <si>
    <t>@steve_ohh @bikelaneblitz @NYC_DOT Lane hardware isn’t SR currently.Please contact DOTCommissioner to suggest: https://t.co/FMa7QvyPsm  2/2</t>
  </si>
  <si>
    <t>@steve_ohh @bikelaneblitz @NYC_DOT Loose debris in bike lane/street SR already can be reported with phone rep: https://t.co/DNG15zmFIw 1/2</t>
  </si>
  <si>
    <t>@NYC_DOT Thanks for looping us in. @sarahteitler @transalt Please DM us &amp;amp; we'll report the streetlight issue for you. Thanks.</t>
  </si>
  <si>
    <t>@NYC_DOT @_ZayBanks Yes, please DM us the address or intersection of the pothole. We'll file for you &amp;amp; send your Service Request number.</t>
  </si>
  <si>
    <t>@SovAdjEast You also can call us at 311 to report a non-emergency traffic inprogress with a phone rep, for local precinct to respond. 2/2</t>
  </si>
  <si>
    <t>@SovAdjEast Sorry to hear.In future, you can report vehicle noise, incl. horn honking, in progress online here: https://t.co/8p4eRpcJtP 1/2</t>
  </si>
  <si>
    <t>@zamopr We're sorry to hear this. Please call us at 311 to make a complaint about public school construction: https://t.co/tE3tmzhsM5</t>
  </si>
  <si>
    <t>@SyedAAli @NYC_DOT If you haven't already, you give suggestions to DOT Bronx Borough Commissioner by phone, email: https://t.co/0vu0LvtCWw</t>
  </si>
  <si>
    <t>@M_Barone78 Check Queens weekly resurfacing schedule: https://t.co/E5dNDZjSfo. If not there,DM &amp;amp; we'll file for you: https://t.co/YnJ8TJxvvd</t>
  </si>
  <si>
    <t>Need some healthy #MondayMotivation? @NYCHealthSystem has 10 tips for Better Nutrition online here: https://t.co/1GflFVFl4d</t>
  </si>
  <si>
    <t>@ggnyc1 We're sorry to hear that. If you haven't already, you can report a rude taxi driver online here: https://t.co/Xo1kD5VSiZ</t>
  </si>
  <si>
    <t>@eappleton  You can report blocked bike lane inprogress as double parking online: https://t.co/EMYJOu6Ith or w/app: https://t.co/FRAGoS7hV4</t>
  </si>
  <si>
    <t>No tire baterías o pintura en la basura. Tráigalo a los sitios de residuos especiales de @NYCSanitation: https://t.co/iWLJnZRSVt</t>
  </si>
  <si>
    <t>Learn all about #webdevelopment, #HTML, #CSS at @bklynlibrary on Wed. 9/28 6:30PM. Register for class: https://t.co/Y6klSADP35</t>
  </si>
  <si>
    <t>If you’re considering #adopting or #fostering, you can learn about the kids who need caring homes here: https://t.co/1YKccJXFCV</t>
  </si>
  <si>
    <t>Get the #free #NYC311 app for Android &amp;amp; iPhone to keep City services, info, &amp;amp; alerts at your fingertips: https://t.co/FRAGoS7hV4</t>
  </si>
  <si>
    <t>Es el Mes Nacional de la Preparación. Prepárate para los inesperados con consejos de @NYCOEM: https://t.co/6NMdNVDtKo</t>
  </si>
  <si>
    <t>NYC is #1 City for fast-growing businesses. @NYCSmallbizsvcs has international business owners info/incentives: https://t.co/jwVuF6twgs</t>
  </si>
  <si>
    <t>#Queens! Bring your unwanted electronics to #Woodhaven tmrw 9/25 for #e-waste #recycling w/@NYCSanitation:… https://t.co/z1xu9rkvMm</t>
  </si>
  <si>
    <t>Come to the #LittleRedLighthouse today 12PM-4PM for free family fun with @NYCParks &amp;amp; Urban Park Rangers:… https://t.co/UP2N2lEaAC</t>
  </si>
  <si>
    <t>@ReddTwo @NYCHousing  Housing, Preservation, &amp;amp; Development (HPD) may have info. Find borough offices here: https://t.co/FiwE1QQVfl</t>
  </si>
  <si>
    <t>¿Buscas un programa después de escuela? @NYCYouth tiene lugares en los 5 condados. Llama 800-246-4646 o visita:https://t.co/Ud37pohPmW</t>
  </si>
  <si>
    <t>@annelibby  Unfortunately,we can't file this via social media. You also can report illegal parking inprogress by calling 311 or text 311-692</t>
  </si>
  <si>
    <t>@LiberalJoel For privacy reasons,we don’t send Service Request #s publicly. Please DM &amp;amp; we'll reply w/SR#. Thanks. https://t.co/REiT04xb0Y</t>
  </si>
  <si>
    <t>@SondraSPQR For privacy reasons,we don’t send Service Request numbers publicly. DM &amp;amp; we'll reply with SR #. Thanks. https://t.co/REiT04fA9q</t>
  </si>
  <si>
    <t>@annelibby We're not sure. You can report illegal parking in progress (blocking hydrant) online or w/app: https://t.co/EMYJOu6Ith</t>
  </si>
  <si>
    <t>Follow, like &amp;amp; subscribe to all our social media accounts: https://t.co/OJr7wXyWkp, https://t.co/fwpVfzy6Xe  &amp;amp;… https://t.co/ipFNct5ydw</t>
  </si>
  <si>
    <t>@castig @NYC_DOT @nycgov You also can reach out to your DOT BoroughCommissioner: https://t.co/OeghANa1XK re: trafficcalming options/info 2/2</t>
  </si>
  <si>
    <t>@castig @NYC_DOT @nycgov You can file in-progress vehicle noise: https://t.co/8p4eRpcJtP or call 311 if non-emergency traffic condition 1/2</t>
  </si>
  <si>
    <t>@NSRCHOF There's DOB violation info/status here: https://t.co/BW9zslmD5i &amp;amp; HPD here: https://t.co/WhFC43fjHu. DM if we can further assist.</t>
  </si>
  <si>
    <t>@SyedAAli @NYC_DOT The DOT Bronx Borough Commissioner should have painting schedule &amp;amp;traffic calming info/options: https://t.co/OeghANa1XK</t>
  </si>
  <si>
    <t>@NYC_DOT Thanks for tagging us. @Elphygirl Please DM name/phone # &amp;amp; we'll file or you can report water leak online: https://t.co/jBWCZogr4N</t>
  </si>
  <si>
    <t>Enjoy your Saturday #kayaking w/@NYCParks tmrw 9/24 10AM, free! at @BklynBrdgPark. No experience needed: https://t.co/q5jLBYwvyA</t>
  </si>
  <si>
    <t>@NicoMcLane You also may want to contact your Councilperson in Council District #3 https://t.co/5nHC7RH6gR &amp;amp; CB 4 https://t.co/5ORQSDQLKu</t>
  </si>
  <si>
    <t>@Brooklyn_nyc1 DM &amp;amp; we'll file agency complaints for you. Or send to sanitation: https://t.co/xKQ7ScoNIz &amp;amp; police: https://t.co/wAxD4pXP9N</t>
  </si>
  <si>
    <t>@tsagar21 You can send message to DEP Commissioner with this online form: https://t.co/0ZudR4unRR. Incl. any Service Request # you have.</t>
  </si>
  <si>
    <t>@JazzGtrSteve You can send public safety concern to police dept. (incl. any SR #s you have) using this online form: https://t.co/wAxD4pXP9N</t>
  </si>
  <si>
    <t>@matikalwill Thanks for your pic.Please DM name&amp;amp;phone # &amp;amp;we'll file running hydrant for you. Or file online,w/App: https://t.co/KKJYSJeoP7</t>
  </si>
  <si>
    <t>@RobertFosterNYC However, MTA (a NY State agency) is in charge of Verrazano &amp;amp; they will have best detailed info for you.  2/2</t>
  </si>
  <si>
    <t>@RobertFosterNYC  We do have all NYC non-emergency government info &amp;amp; services, incl. City bridge info, &amp;amp; can file most bridge complaints 1/2</t>
  </si>
  <si>
    <t>@Libr_Ari_an Call 911 if immediate danger or in need of medical attention. For more info: https://t.co/ltWaS4gMcU</t>
  </si>
  <si>
    <t>Did you know there's afterschool programs for kids in music, arts sports &amp;amp; more? Find one w/@NYCYouth: https://t.co/Ud37pohPmW</t>
  </si>
  <si>
    <t>@Raetwon We're not sure. LiveChat w/Consumer Affairs M-F 9:30AM-5PM here: https://t.co/QHYauLuyZ5 or send message: https://t.co/jH9Un59JWa</t>
  </si>
  <si>
    <t>Es el Mes Nacional de la Preparación. Regístrese con @NotifyNYC: https://t.co/WdbKEgUjmV Aprende más c/@NYCOEM: https://t.co/6NMdNVDtKo</t>
  </si>
  <si>
    <t>@NYC_DOT Thanks for looping us in. @LiberalJoel Please DM us &amp;amp; we'll report streetlights for you &amp;amp; send your Service Request number. Thanks.</t>
  </si>
  <si>
    <t>@glenn_pacitti Always call 911 immediately to report fire, smoke, or fumes: https://t.co/ZKK0wBsEbK</t>
  </si>
  <si>
    <t>It’s National Preparedness Month. Sign up for @NotifyNYC: https://t.co/Xk3RRP5XZm &amp;amp; learn at @NYCOEM events: https://t.co/0RqVlDn8XR</t>
  </si>
  <si>
    <t>@SondraSPQR Or if you prefer, you can report rodent sighting in a park online: https://t.co/Qi5yxNqERB or w/App: https://t.co/FRAGoS7hV4 2/2</t>
  </si>
  <si>
    <t>@SondraSPQR We apologize for delay. Please Direct Message your email &amp;amp; playground name &amp;amp; we’ll re-file rodent complaint for you. 1/2</t>
  </si>
  <si>
    <t>RT @NYC_DOT: #QueensboroBridge #bikenyc/pedestrian path nightly full closure resumes tonight (9PM to 5AM) for @ConEdison work. Free shuttle…</t>
  </si>
  <si>
    <t>@pathall Please contact precinct for barrier reposition/removal: https://t.co/acqxS6oVE8 Send police dept. concern: https://t.co/wAxD4pXP9N</t>
  </si>
  <si>
    <t>@SHOWTIME___nyc @NYCParks DM w/email for confirmation &amp;amp; we’ll file parks maintenance for you.Or file online,w/App:https://t.co/59317JLz4G</t>
  </si>
  <si>
    <t>@bendgold Please DM &amp;amp; we'll file pothole for you (incl. more loc details &amp;amp; email for confirmation) or file here: https://t.co/YnJ8TJxvvd</t>
  </si>
  <si>
    <t>See a pothole?  File online:https://t.co/YnJ8TJxvvd App:https://t.co/iMMUZYlr4e  or DM/FB:https://t.co/P0TX8alKze https://t.co/Iwh8LbMyDE</t>
  </si>
  <si>
    <t>@HealthStudent @NYCTSubway We're not sure. You can ask the Transit Museum directly: https://t.co/ivnbjP1Kur</t>
  </si>
  <si>
    <t>@msr12789 @NYC_DOT @NYCGreenfield Or you can send your concern to Parks Commissioner using online form: https://t.co/dFebX2iq3m 2/2</t>
  </si>
  <si>
    <t>@msr12789 @NYC_DOT @NYCGreenfield  SR status for agency notes: https://t.co/baflJHCxKL. DM &amp;amp; we'll file Parks agency complaint for you 1/2</t>
  </si>
  <si>
    <t>@HeNNyPrINcE  Mosquito spraying was scheduled for parts of Brooklyn. Check here for your zip code/neighborhood: https://t.co/WFEejaTocW</t>
  </si>
  <si>
    <t>@vulcanscience Check active street construction permits: https://t.co/Jr2qs6GeLF. Contact your Community Board: https://t.co/cdf1vmkQp3 2/2</t>
  </si>
  <si>
    <t>@vulcanscience We’re not sure. Even if there's permit/variance, you can report afterhours construction noise: https://t.co/eg2cudK02g 1/2</t>
  </si>
  <si>
    <t>@D00RZ0NE You can report a  vendor in a restricted area online here: https://t.co/sSyxnxS6b0</t>
  </si>
  <si>
    <t>@SarahGowrie Thanks for your posts. We'll reply to your Direct Message.</t>
  </si>
  <si>
    <t>@EricBellDrummer @Bronxbeautiful Thanks for reporting it &amp;amp; for tagging us. You can always check SR status online: https://t.co/baflJHCxKL</t>
  </si>
  <si>
    <t>@nicknormal Thanks. We'll reply to your Direct Message.</t>
  </si>
  <si>
    <t>@NYC_DOT @benjaminbriu Thanks for mention. Please Direct Message more location details (rds intersect 2x) &amp;amp; we'll report for you. Thanks.</t>
  </si>
  <si>
    <t>Today is the 1st day of #Autumn. Rejoice at @NYCParks festivals: https://t.co/tG4AAtqFef &amp;amp; see fall #foliage: https://t.co/r5DdReUtzn</t>
  </si>
  <si>
    <t>@RobertFosterNYC We don't have that info. You can ask MTA directly with their online form: https://t.co/vcjTxfQdQA  or call them at 511.</t>
  </si>
  <si>
    <t>@Jewyorican You can check active street/sidewalk construction permits here: https://t.co/Jr2qs6XPDd. 2/2</t>
  </si>
  <si>
    <t>@Jewyorican If tenant, contact your super/landlord/management company. If homeowner contact national grid: https://t.co/N9oyDvYstK. 1/2</t>
  </si>
  <si>
    <t>@AlexWithAK @NYC_DOT Thanks, we'll reply to your DM shortly.</t>
  </si>
  <si>
    <t>@bettykang Sprinklers turned on when temp reach 80 degrees or above 3days in a row between Memorial Day &amp;amp; Labor Day: https://t.co/laDGTQKhQf</t>
  </si>
  <si>
    <t>@NYC_DOT Thanks for looping us in. @AlexWithAK @BayRidgeDrivers @Bob_Gunderson Please DM markings location &amp;amp; we'll file for you &amp;amp; send SR#.</t>
  </si>
  <si>
    <t>@NYC_DOT Thanks for looping us in. @George_Adamski Please DM us the address/intersection &amp;amp; we'll file resurfacing request for you. Thanks.</t>
  </si>
  <si>
    <t>Congratulations to #NYC311 Mobile App team! Best App Serving the Public! #CenterforDigitalGovernment #BestofNY Awar… https://t.co/cyqVp1YVRy</t>
  </si>
  <si>
    <t>@margemenghini DM name &amp;amp; phone # &amp;amp; we'll report running hydrant. Or report online: https://t.co/KKJYSJeoP7 or w/App: https://t.co/FRAGoS7hV4</t>
  </si>
  <si>
    <t>@nyc118 @NYCSanitation Find upcoming 2016 SAFE Disposal events: https://t.co/6MMzOy8EPs. Submit suggestion here: https://t.co/xKQ7ScoNIz</t>
  </si>
  <si>
    <t>#WednesdayWisdom Don’t throw paint or batteries w/trash. Bring them to @NYCSanitation’s Special Waste site: https://t.co/96VqU11c5k</t>
  </si>
  <si>
    <t>@mattkenefick We're sorry to hear that. You can report rent overcharge to Rent Info Line at 718-739-6400: https://t.co/ryEVAgmBoq</t>
  </si>
  <si>
    <t>@AngryNewYorkr Oops a word was cut off. If it's 4 or more floors you can report as "illegal use of a building" with the same link.</t>
  </si>
  <si>
    <t>@BobinOakPark Please call us at 311 to report unsafe crane/derrick w/telephone representative: https://t.co/cf90H5B6S3</t>
  </si>
  <si>
    <t>@AngryNewYorkr Or DM us and we'll file for you. 2/2</t>
  </si>
  <si>
    <t>@AngryNewYorkr If bldg has 3 floors or less file as illegal conversion: https://t.co/Vomo1xCAGb. If 4 or more file as illegal w/same link1/2</t>
  </si>
  <si>
    <t>Even a trickle is wasted water. File running hydrant online or w/app: https://t.co/KKJYSJeoP7 See more:… https://t.co/uVhVM79uHw</t>
  </si>
  <si>
    <t>@bugly91 Please DM us your name &amp;amp; phone # &amp;amp; the location and we'll file water leak. Or you can file online here: https://t.co/jBWCZogr4N</t>
  </si>
  <si>
    <t>@sunnygardensqns @JimmyVanBramer Hi, please DM us any service request numbers you have so we can research &amp;amp; advise. Thank you.</t>
  </si>
  <si>
    <t>@bklyn_willie @NYCSanitation @SenMartyGolden DM us &amp;amp; we’ll file dirty sidewalk for you. Or you can file online: https://t.co/D2pz9Mbxq1</t>
  </si>
  <si>
    <t>@Jah_mes_ Sorry to hear that. Please Direct Message us more details about the water shutdown so we can research &amp;amp; further advise. Thanks.</t>
  </si>
  <si>
    <t>@page17llc @NYC_DOT Thanks for clarifying! You can report street blocked by personal property for precinct response: https://t.co/tXKRiC657X</t>
  </si>
  <si>
    <t>@JosephBCaraccio @FDNY Please DM us &amp;amp; we’ll report a defective elevator for you. Or you can report it online here: https://t.co/fXqHZAIaR1</t>
  </si>
  <si>
    <t>@nicknormal If condition still exists, please DM us your name &amp;amp; phone # &amp;amp; we'll file water leak. Or file online: https://t.co/jBWCZogr4N</t>
  </si>
  <si>
    <t>@MissSUZz Call Office of the Buildings Marshal at 212-393-2930 to report unlicensed work currently being done: https://t.co/EN3UKdxGYu</t>
  </si>
  <si>
    <t>@page17llc @HikindDov @NYC_DOT You can report dumpster blocking street or sidewalk or is overflowing online here: https://t.co/Nrt0NM0n5X</t>
  </si>
  <si>
    <t>@felio77 Call 911 for disorderly group in-progress. Report neighbor noise online/app: https://t.co/tsfL0PK7Na for non-emergency response 2/2</t>
  </si>
  <si>
    <t>@felio77 Smoking prohibited in hallways/elevators: https://t.co/ZT6ZGLbqub  File residential bldg. online: https://t.co/fRUo84fJr1 1/2</t>
  </si>
  <si>
    <t>Protégete contra el robo de identidad. Recibe consejos y aprende como reportarlo aquí @NYCDCA: https://t.co/PN72Uen0wf</t>
  </si>
  <si>
    <t>@PNE_Rules Thanks for video. Please DM name/phone &amp;amp; we'll file for you. Or you can report overflowing manhole here: https://t.co/RglYAxD51D</t>
  </si>
  <si>
    <t>@NYC_DOT @ressydm Sorry to hear you had trouble. Please DM problem details (incl. screenshots, if you can) so we can advise/assist. Thanks.</t>
  </si>
  <si>
    <t>@slava_f You can see Parks Rules&amp;amp;Regs here: https://t.co/XyveX0u4as &amp;amp; send your question to Commissioner here: https://t.co/dFebX2iq3m 2/2</t>
  </si>
  <si>
    <t>@slava_f We don't have specific park info. In general, you may enter/use parks 6AM-1AM unless other open hours are posted at any park. 1/2</t>
  </si>
  <si>
    <t>Having housing issues &amp;amp; need general info on the housing rules &amp;amp; regulations? Check out the ABCs of Housing Guide: https://t.co/cwW6pLLAQF</t>
  </si>
  <si>
    <t>MT @NYCzerowaste: Bring harmful household items (paint,electronics, etc)  @UnionSquareNY 9/25 10A-4P #SAFEdisposal… https://t.co/gKP8zw7TZs</t>
  </si>
  <si>
    <t>@jrmooni We're sorry to hear. Please Direct Message the service request numbers you have so we can research &amp;amp; further advise. Thank you.</t>
  </si>
  <si>
    <t>It’s #NationalPreparednessMonth. Learn how your community &amp;amp; businesses can do their part to be ready: https://t.co/0RqVlDn8XR</t>
  </si>
  <si>
    <t>@jrmooni Please DM us &amp;amp; we'll file for you. Or report rodent condition online: https://t.co/Qi5yxNqERB  or w/App: https://t.co/FRAGoS7hV4</t>
  </si>
  <si>
    <t>@meelee2B Sorry to hear. Please report this problem directly to MTA with their online form: https://t.co/vcjTxfQdQA  or call them at 511</t>
  </si>
  <si>
    <t>@ree_christine Or if it was truck driving on road where not allowed, report inprogress condition online here: https://t.co/8PZr9QKnGc 2/2</t>
  </si>
  <si>
    <t>@ree_christine Thanks for your pic. In future, you can report illegal parking in progress online or with w/App: https://t.co/EMYJOu6Ith 1/2</t>
  </si>
  <si>
    <t>@ReddTwo @NYCHousing There's no City service for taking over vacant apartment. You can contact bldg owner, landlord, or management company.</t>
  </si>
  <si>
    <t>@originalFS76 (incl. email in DM if you want to rec'v confirmation) Or if you prefer you can file online here: https://t.co/CuFFiFN8i8 2/2</t>
  </si>
  <si>
    <t>@originalFS76 We don't have current/recent water alert. If there's color/odor, please DM your address/name/Phone &amp;amp; we'll file for you 1/2</t>
  </si>
  <si>
    <t>@robertihobson @BilldeBlasio TenantHarassment assistance: https://t.co/givGMPPdEv &amp;amp;Tenant Rights/HousingCourt: https://t.co/lpht487tF2 2/2</t>
  </si>
  <si>
    <t>@robertihobson You can send your comments to the Mayor by mail or by using the online email form linked here: https://t.co/8K8Yqm9HvO 1/2</t>
  </si>
  <si>
    <t>@ressydm @NYC_DOT When you call, rep can also file DOT agency complaint for you. Thank you. 2/2</t>
  </si>
  <si>
    <t>@ressydm @NYC_DOT Unfortunately, we’re not able to file this w/Twitter.Please call us at 311 to report issue w/City vehicle w/phone rep 1/2</t>
  </si>
  <si>
    <t>@kat_lau Pls DM us &amp;amp; we'll file for you. Or report fallen tree branch online: https://t.co/3SeXvXviWt or w/App: https://t.co/FRAGoS7hV4</t>
  </si>
  <si>
    <t>Protect yourself against #identitytheft. Learn tips on how to be safe and how to report it: https://t.co/AzcRBuEf7v</t>
  </si>
  <si>
    <t>@gramercy_tom Please call us at 311 or Direct Message &amp;amp; we'll file sidewalk blocked by trash for you: https://t.co/tXKRiC657X. Thank you.</t>
  </si>
  <si>
    <t>@abimlebt Thanks for letting us know and for your posts. We'll reply to your Direct Message where there's no character limit.</t>
  </si>
  <si>
    <t>@ReddTwo You can find building information online here: https://t.co/vpTRFC1Wty See HPD's Apartment Seeking tips: https://t.co/kpCMFbZ8Ac</t>
  </si>
  <si>
    <t>Familias de #NYC: La ferias de escuelas secundarias de @NYCSchools es este sábado 9/24 y domingo 9/25: https://t.co/qnKfSDTVNW</t>
  </si>
  <si>
    <t>@NYC_DOT @BklynCurmudgeon Or, if you prefer, report online here: https://t.co/QbQU1kO2pC or with free 311 App: https://t.co/FRAGoS7hV4 2/2</t>
  </si>
  <si>
    <t>@NYC_DOT @BklynCurmudgeon Please DM exact address (incl. email address to have confirmation sent) &amp;amp; we'll file damaged sidewalk for you. 1/2</t>
  </si>
  <si>
    <t>@KarinaMClausen Hi, please Direct Message specific locations &amp;amp; we'll file for you. Include email address if you'd like confirmation sent.</t>
  </si>
  <si>
    <t>@wtbryce @NYCParks Thanks for your posts. We'll reply to your Direct Message.</t>
  </si>
  <si>
    <t>@ytas101 Thanks for the video. File residential maintenance complaint online: https://t.co/Xl2zfDVVB2 or DM more info &amp;amp; we'll file for you.</t>
  </si>
  <si>
    <t>@BillBixBe @NYPDCT Call 911 immediately to report a suspicious package: https://t.co/e59GU3DSlP</t>
  </si>
  <si>
    <t>Parents/families: @NYCSchools 2016 Citywide High School Fair is this wknd Sat. 9/24 &amp;amp; Sun. 9/25. See flyer: https://t.co/WZK3DtVkfn</t>
  </si>
  <si>
    <t>RT @NYPDnews: #HappeningNow: Mayor @BilldeBlasio &amp;amp; @NYPDONeill update NYers on Chelsea explosion &amp;amp; suspect. Watch LIVE https://t.co/BKA0Sa4…</t>
  </si>
  <si>
    <t>@tsagar21 Thanks for pics. Please DM us your Name &amp;amp;Phone# &amp;amp; we'll report water leak for you. Or you can file online: https://t.co/jBWCZogr4N</t>
  </si>
  <si>
    <t>@rhs718 Please contact BoardofElections directly to inquire. See their office phone numbers &amp;amp;/or Live Chat w/them: https://t.co/9n3CJvUqb5</t>
  </si>
  <si>
    <t>@aksadoff @NYC_DOT @CommunityBoard1 You can report dumping into catchbasin online here: https://t.co/lbXPZH8dGT or DM &amp;amp; we'll file for you.</t>
  </si>
  <si>
    <t>@emtfrenchie @NYCSanitation Please call us at 311 to report missed street cleaning w/phone rep: https://t.co/iFCXq8oXhI. Thank you.</t>
  </si>
  <si>
    <t>You can get real-time public transit information and service advisories from the #MTA online here: https://t.co/bW24I1hMi1</t>
  </si>
  <si>
    <t>@NYCParks @wtbryce Thanks. Yes, please Direct Message loc/condition details &amp;amp; we'll file for you. Or use our App: https://t.co/FRAGoS7hV4</t>
  </si>
  <si>
    <t>@BayRidgeDrivers You may want to contact your CB: https://t.co/cdf1vmkQp3 &amp;amp; local officials: https://t.co/RJydEOGqvZ   re: chronic issue.</t>
  </si>
  <si>
    <t>@bottomcumboi @armenoush_nyc Please report this problem directly to MTA with their online form: https://t.co/vcjTxfQdQA  or call them at 511</t>
  </si>
  <si>
    <t>@elipongo @NYC_DOT  For privacy reasons,we don’t send Service Request numbers publicly. If you send DM, we'll reply with SR #. Thank you.</t>
  </si>
  <si>
    <t>@rhs718 You must request one.If haven’t yet–get application here: https://t.co/DTn5PpPGz3. Or call 1-866-VOTE-NYC (1-866-868-3692) for info</t>
  </si>
  <si>
    <t>@yaypineapples Please Direct Message us more info, incl. any SR #s you have, so we can research &amp;amp; advise without character limit. Thank you.</t>
  </si>
  <si>
    <t>@ashbygourmand Please DM us name &amp;amp; phone # &amp;amp; we'll file for you. Or you can report overflowing manhole online here: https://t.co/RglYAxD51D</t>
  </si>
  <si>
    <t>@riceunderwater You can find information about volunteer opportunities with nyc service online here: https://t.co/tTIbHCo8kx 2/2</t>
  </si>
  <si>
    <t>@riceunderwater Thanks for your interest. We currently don't have volunteer information specific to that location. 1/2</t>
  </si>
  <si>
    <t>@abimlebt You can DM us &amp;amp; we'll file for you. Or report rodent condition online: https://t.co/Qi5yxNqERB or w/App: https://t.co/FRAGoS7hV4</t>
  </si>
  <si>
    <t>@DayDayLavine You also can get phone/email contacts for CB https://t.co/cdf1vmkQp3    &amp;amp; your local officials: https://t.co/RJydEOGqvZ 2/2</t>
  </si>
  <si>
    <t>@DayDayLavine Sorry to hear. In future, report bar/club noise in-progress: https://t.co/swxFfVXixn  or w/ App: https://t.co/FRAGoS7hV4 1/2</t>
  </si>
  <si>
    <t>@cberne Thanks for your messages. Please call us at 311 to report an issue with a call alarm box w/ a phone rep: https://t.co/rb5rY64Fuc</t>
  </si>
  <si>
    <t>@CraigLintonAtty  Always call 911 for emergency traffic condition or in progress/recent traffic accident. https://t.co/adb7oa8GKW  1/2</t>
  </si>
  <si>
    <t>@CraigLintonAtty You can send information about a crime, including uploading video, online here: https://t.co/Bd9ifKPFrd 2/2</t>
  </si>
  <si>
    <t>@kmcowdin You also can Direct Message us your Service Request numbers so we can research and advise next steps. Thanks.</t>
  </si>
  <si>
    <t>@laulaurlaurie Always call 911 if wire is sparking/immediate danger. If no emergency report downed wire to ConEd: https://t.co/WqAxYdDC0V</t>
  </si>
  <si>
    <t>@kmcowdin If you like, you can send your concern to the Mayor by mail or using this online email form: https://t.co/8K8Yqm9HvO</t>
  </si>
  <si>
    <t>For the latest on #Chelsea, please follow: 
-@NotifyNYC
-@NYCMayorsOffice
-@BilldeBlasio
-@NYPDnews
-@FDNY
-@nycoem</t>
  </si>
  <si>
    <t>@jamieob256 Sorry to hear. Please report this problem directly to MTA with their online form: https://t.co/vcjTxfQdQA or call them at 511</t>
  </si>
  <si>
    <t>@DrkwingDuck How precinct responds to noise complaints: https://t.co/39kNhirVka. Send police commissioner concern: https://t.co/wAxD4pXP9N</t>
  </si>
  <si>
    <t>RT @NotifyNYC: #alert #SeBusca: Ahmad Khan Rahami, 28 años, por la #explosión en Chelsea. Llame a 1-888-57PISTA. @NYCMayorsOffice https://t…</t>
  </si>
  <si>
    <t>@BayRidgeDrivers  You can send your concern to police dept. using this online form: https://t.co/wAxD4pXP9N</t>
  </si>
  <si>
    <t>RT @NotifyNYC: #alert The following individual is wanted in regards to the Chelsea explosion: Ahmad Khan Rahami, 28 year old male. https://…</t>
  </si>
  <si>
    <t>RT @NYCMayorsOffice: WATCH:
After the explosion in Chelsea last night, Mayor @BilldeBlasio asks all New Yorkers to stay vigilant. https://t…</t>
  </si>
  <si>
    <t>¿Vez construcción en tu barrio que parezca planeado? Vea permisos activos de construcción en calles y aceras: https://t.co/kH0e0f7Wk1</t>
  </si>
  <si>
    <t>Want to check planned construction in your neighborhood? See active street &amp;amp; sidewalk construction permits: https://t.co/Jr2qs6GeLF</t>
  </si>
  <si>
    <t>For the latest on #Chelsea, please follow:
-@NYCMayorsOffice 
-@NYPDnews
-@FDNY
-@nycoem</t>
  </si>
  <si>
    <t>RT @NYPDnews: The buildings in the area were checked by @FDNY &amp;amp; @NYCBuildings and deemed to be structurally stable.</t>
  </si>
  <si>
    <t>RT @NYCMayorsOffice: Mayor @BilldeBlasio, @NYPDONeill, &amp;amp; @NewYorkFBI LIVE with updates on #ChelseaExplosion – https://t.co/k64rDETbwN</t>
  </si>
  <si>
    <t>Our dedicated employees help make the whole of #NYC311 run smoothly. See how: https://t.co/HIBeGKLCav #WeAreNYC311 https://t.co/LKBBC0i5bU</t>
  </si>
  <si>
    <t>Estas en #Instagram? https://t.co/76qhqrm4eI o #Facebook? https://t.co/e90Qfy4n8f Síguenos para las ultimas noticias del #NYC311.</t>
  </si>
  <si>
    <t>Know someone who’d like to better their computer skills? @nypl  has 1 on 1 Computer Help classes for adults: https://t.co/EDNHLkhqQm</t>
  </si>
  <si>
    <t>Even a trickle is wasted water. Report leaking/running hydrant online: https://t.co/KKJYSJeoP7   or w/app:https://t.co/FRAGoS7hV4</t>
  </si>
  <si>
    <t>Are you a #bookworm? NYC libraries are open to the public in all 5 boroughs: https://t.co/jgLHDCSvTr  @QueensLibrary @BKLYNlibrary @nypl</t>
  </si>
  <si>
    <t>@sam_guide  Please call us at 311 to report non-emergency traffic issue in progress w/ a phone rep for local precinct to respond. 2/2</t>
  </si>
  <si>
    <t>@sam_guide We're sorry to hear that. You can report excessive vehicle noise in progress online or w/311 app: https://t.co/8p4eRpcJtP. 1/2</t>
  </si>
  <si>
    <t>Clases gratis de ejercicio se ofrecen semanal con @ShapeUpNYC en los cinco condados. Busque uno aquí: https://t.co/kB7svNUmLq</t>
  </si>
  <si>
    <t>@mekaleae Always call 911 if there’s immediate danger or reckless driving in progress: https://t.co/EpExbD6duH</t>
  </si>
  <si>
    <t>@WrksOnMyMachine Regardless, you can report brown/dirty water: https://t.co/CuFFiFN8i8 or DM name/address/phone &amp;amp; we'll file for you. 2/2</t>
  </si>
  <si>
    <t>@WrksOnMyMachine Street/bldg construction/water main work nearby may cause discoloration. Water is safe. You can run til cold &amp;amp; clear 1/2</t>
  </si>
  <si>
    <t>Wonder what life was like during the middle ages? Prithee thee to @NYCParks’s annual #MedievalFestival 9/18: https://t.co/MNFYZ5Ggw6</t>
  </si>
  <si>
    <t>Need to pay a parking ticket? There's more than one way to do it. Learn more here:
https://t.co/FP3jGTKgBq https://t.co/MoQZFUzSaI</t>
  </si>
  <si>
    <t>@salawm You should find another parking meter on the block or the next block, pay there &amp;amp; use that receipt: https://t.co/K6T2jCGdMH</t>
  </si>
  <si>
    <t>@salawm Hi, DM &amp;amp; we'll report broken muni-meter for you. Or you can file online: https://t.co/K6T2jCGdMH  or w/app: https://t.co/FRAGoS7hV4</t>
  </si>
  <si>
    <t>@richardbertin @NYC_DOT @AndyKingNYC @rubendiazjr Hi, please Direct Message your service request # so we can research &amp;amp; advise. Thank you.</t>
  </si>
  <si>
    <t>@NYCParks Thanks &amp;amp; Hi @Warpublican. Also can report on App w/street address: https://t.co/FRAGoS7hV4 or Direct Message &amp;amp; we'll file for you</t>
  </si>
  <si>
    <t>You can #volunteer next Wed, Sept 21 to help fellow NYers sign up for @IDNYC . Spread the word: https://t.co/YCVlfTSG7i #MyIDNYC</t>
  </si>
  <si>
    <t>If you rent in NYC you have rights &amp;amp; responsibilities. See @nychousing’s ABCs of Housing: https://t.co/cwW6pLLAQF https://t.co/fx4yF0ydXt</t>
  </si>
  <si>
    <t>@AlyssaLegnetti If other bldg. &amp;amp; put out incorrectly/wrong time call us at 311 to report: https://t.co/C2xc7C99Zx or DM &amp;amp; we’ll file 2/2</t>
  </si>
  <si>
    <t>@AlyssaLegnetti If your bldg's trash &amp;amp; still not collected by 8 AM day after your scheduled day, report online: https://t.co/Ds3yDTOVEC 1/2</t>
  </si>
  <si>
    <t>@sabler Sorry to hear. Please Direct Message more details about this issue so we can better advise without character limit. Thank you.</t>
  </si>
  <si>
    <t>@e_m_churchill Sorry to hear.Hope there's no future need; you also can file online: https://t.co/mBOxPqhbXC  &amp;amp;w/App: https://t.co/FRAGoS7hV4</t>
  </si>
  <si>
    <t>@NYC_DOT @bklynbad Call 911 if immediate danger. If no emergency, please DM signal location &amp;amp; condition &amp;amp; we'll file for you. Thank you.</t>
  </si>
  <si>
    <t>Ready to get in shape? Find #free #fitness classes every week across the 5 boroughs w/@NYCParks's @ShapeUpNYC: https://t.co/gwNGWfTGCj</t>
  </si>
  <si>
    <t>@yi_tweets If condition still exists, please DM name, phone #, &amp;amp; address &amp;amp; we'll report dirty water. Or file online: https://t.co/CuFFiFN8i8</t>
  </si>
  <si>
    <t>@herestoallofu Please call us at 311 to report loose debris/gravel in street w/ phone rep. Or Direct Message &amp;amp; we'll file for you. Thanks.</t>
  </si>
  <si>
    <t>@missmagen23 You also may want to contact your Community Board: https://t.co/cdf1vmkQp3 &amp;amp; local officials: https://t.co/RJydEOGqvZ. 2/2</t>
  </si>
  <si>
    <t>@missmagen23 Check Service Request status here: https://t.co/baflJHCxKL or Direct Message your SR #s so we can research &amp;amp; advise. 1/2</t>
  </si>
  <si>
    <t>@miller_stephen Updated version should show as v3.24 in Apple store. DM us more details if it persists. Thanks. 2/2</t>
  </si>
  <si>
    <t>@miller_stephen Sorry to see you had trouble. We tried on multiple devices &amp;amp; couldn’t replicate issue. 1/2</t>
  </si>
  <si>
    <t>Necesitas una copia de tu acta de nacimiento en NYC? Aprende como ordenarla en línea, por correo o en persona: https://t.co/Jjy4tDZ8Qs</t>
  </si>
  <si>
    <t>@NYC_DOT @elipongo Thanks for tagging us. Please DM and we'll file debris is roadway for you and reply with your service request number.</t>
  </si>
  <si>
    <t>@DawnmarieB1103 Please DM &amp;amp; we’ll report missing streetlight for you. Or you can report it online here: https://t.co/HHn1tnJphf</t>
  </si>
  <si>
    <t>Celebrate local #gardeners at GreenThumb Harvest Fair Sat. 9/17 12PM w/food, prizes &amp;amp; more #DiamanteGarden: https://t.co/gED5sSksAl</t>
  </si>
  <si>
    <t>@billymeltdown @MTA @NYPD94Pct Precinct responds when not handling emergencies. You can check SR status online: https://t.co/FRAGoS7hV4</t>
  </si>
  <si>
    <t>@NYCParks @BAMstutz Thanks for tagging us.Yes, you can use that link to report. Or App: https://t.co/FRAGoS7hV4 or DM &amp;amp; we'll file for you.</t>
  </si>
  <si>
    <t>RT @nycHealthy: Lifenet is a free 24/7 helpline for NYers in crisis. ☎ 1-800-LIFENET or https://t.co/jIavSc53y9 #suicideprevention https://…</t>
  </si>
  <si>
    <t>See a leaking/running fire hydrant? DM us w/name, phone # &amp;amp; we’ll file for you. Or report online or w/App: https://t.co/KKJYSJeoP7</t>
  </si>
  <si>
    <t>@orlandoadames If it’s Sanitation, you can send your comments to their Commissioner with this online form: https://t.co/xKQ7ScoNIz 2/2</t>
  </si>
  <si>
    <t>@orlandoadames If it's DOT, you can reach out to Manhattan borough commissioner by phone or email: https://t.co/0vu0LvtCWw 1/2</t>
  </si>
  <si>
    <t>@AOKPhoto  In the future, you can report a blocked crosswalk in-progress as illegal parking with app or online: https://t.co/EMYJOu6Ith</t>
  </si>
  <si>
    <t>@charoliver66  You also can file traffic trend w/DOT: https://t.co/BijO0Lp7ek &amp;amp; send police dept. feedback: https://t.co/wAxD4pXP9N  2/2</t>
  </si>
  <si>
    <t>@charoliver66 In the future, please call us at 311 to file non-emergency traffic issue w/ a phone rep for local precinct to respond. 1/2</t>
  </si>
  <si>
    <t>@ASgams328 We're sorry to hear that. Mosquito spraying was scheduled for parts of Staten Island. More info here: https://t.co/WFEejaTocW</t>
  </si>
  <si>
    <t>@MaryPannell We're sorry to hear that. Please call us at 311 to make a Board of Elections complaint: https://t.co/61qutIpX9x Thank you.</t>
  </si>
  <si>
    <t>@iamvannyx Mosquito spraying was scheduled for multiple areas. You can check here for your zip code/neighborhood: https://t.co/WFEejaTocW</t>
  </si>
  <si>
    <t>@macsamurai Thanks for taking time to report! The App will have status update, SRs can also be checked online here: https://t.co/baflJHCxKL</t>
  </si>
  <si>
    <t>Need a copy of your NYC birth certificate? Find out how to obtain a copy online, by mail or in person: https://t.co/nXCAowahRU</t>
  </si>
  <si>
    <t>@_Julian_NYC @CitiBikeNYC If still there,DM &amp;amp; we'll file fallen tree branch for you.Or you can file online/withApp: https://t.co/3SeXvXviWt</t>
  </si>
  <si>
    <t>@EricRoit We're not sure; we didn't have alert. In future, check Traffic Advisories &amp;amp; planned closures online here: https://t.co/e1Hn8bNqBf</t>
  </si>
  <si>
    <t>@monroeandco We're sorry to hear this. Please Direct Message date/time/# you called from so we can research your call experience. Thank you.</t>
  </si>
  <si>
    <t>@NicoMcLane @ConEdison Your CB https://t.co/cdf1vmkQp3 &amp;amp; local elected officials: https://t.co/RJydEOGqvZ also may be able to assist. 2/2</t>
  </si>
  <si>
    <t>@NicoMcLane @ConEdison If you reported encampment &amp;amp;/or trash, you can check SR status here: https://t.co/baflJHCxKL 1/2</t>
  </si>
  <si>
    <t>@MzValeriaJ Hi. The beach is accessible during offseason, but swimming, wading, &amp;amp; bathing are prohibited: https://t.co/kQw7TmQMwu</t>
  </si>
  <si>
    <t>@NYC_DOT @Ibeasted @BilldeBlasio @scottmstringer Thanks for looping us in. Please DM us &amp;amp; we'll report damaged sidewalk for you. Thank you.</t>
  </si>
  <si>
    <t>@Karlin_C @NYCParks @mayorsCAU @nycgov Please DM &amp;amp; we'll file Park lighting complaint for you. Or you can file here: https://t.co/59317JLz4G</t>
  </si>
  <si>
    <t>@ThisIsntMiguel If you like, you can send your feedback to Dept. of Transportation Commissioner w/online form: https://t.co/FMa7QvyPsm 2/2</t>
  </si>
  <si>
    <t>@ThisIsntMiguel Report specific meter issue online: https://t.co/K6T2jCGdMH w/App: https://t.co/FRAGoS7hV4 or DM &amp;amp; we'll do it for you 1/2</t>
  </si>
  <si>
    <t>@gene_krauss ...of private drive if no more than 2units/bldg. &amp;amp; doesn’t violate any other traffic law. See Section 4-08(f)(2)  2/2</t>
  </si>
  <si>
    <t>@gene_krauss Hi, thanks for asking. Per NYC Traffic Regs re: driveways https://t.co/lmkr3k2e6I, owner permitted to park in front....  1/2</t>
  </si>
  <si>
    <t>Breakfast is always free for all @NYCSchools students. See school meals &amp;amp; free lunch info: https://t.co/OhVZ75oM7g https://t.co/TsxNTfuFPd</t>
  </si>
  <si>
    <t>Thanks for looping us in @NYCHousing @pinarwastaken if haven't already reported, please Direct Message &amp;amp; we'll research &amp;amp; advise. Thanks.</t>
  </si>
  <si>
    <t>@Bjc42 Thanks for your messages. We'll reply via DM where there's no character restriction.</t>
  </si>
  <si>
    <t>@Kittymiinky2 Sorry to hear. If still exists/for future, report blocked driveway in-progress online or w/app: https://t.co/KGKhvnP80K</t>
  </si>
  <si>
    <t>@BrooklynRose88 Sorry to hear that. Contact the DOT Queens Borough Commissioner's office by phone or w/online form: https://t.co/nTVEfjE9oy</t>
  </si>
  <si>
    <t>@NinaSpezz Thanks for your post. Please DM &amp;amp; we'll file streetlight in park condition for you. Or file online here: https://t.co/HHn1to108N</t>
  </si>
  <si>
    <t>@NicoMcLane ...or to request outreach https://t.co/ECVmfGOvMI &amp;amp; dumped items removal: https://t.co/bvxf4kku7I  Thank you. 2/2</t>
  </si>
  <si>
    <t>@NicoMcLane Call 911 to report immediate danger/homeless creating hazard. If no emergency, please call us at 311 to report encampment 1/2</t>
  </si>
  <si>
    <t>@TweetOwenP Please DM location details &amp;amp; we'll file park maintenance for you. Or you can file online or w/App: https://t.co/59317JLz4G</t>
  </si>
  <si>
    <t>@The_Last_View Sorry to hear. You can report restaurant outdoor dining blocking sidewalk here: https://t.co/tXKRiC657X or DM &amp;amp; we'll file.</t>
  </si>
  <si>
    <t>@fancyyynancyy We're not sure. If construction noise, report it here: https://t.co/eg2cudK02g Let us know if other. DM if you like. Thanks.</t>
  </si>
  <si>
    <t>@rpaulstudio You can send your concern to DEP Commissioner: https://t.co/0ZudR4unRR &amp;amp; contact local officials: https://t.co/RJydEOGqvZ</t>
  </si>
  <si>
    <t>@melissakorn We’re sorry to hear that. You can report after-hours jackhammering noise online here: https://t.co/eg2cudK02g</t>
  </si>
  <si>
    <t>Small business owners: enhance your skills by taking one of NYC’s #free seminars &amp;amp; workshops: https://t.co/bbLiLTiIvl</t>
  </si>
  <si>
    <t>@c_astoria @NYC_DOT Thanks for your posts and your patience. We'll reply to your Direct Message so there's no character restrictions.</t>
  </si>
  <si>
    <t>@besthealth123 You can submit your public safety concern to police: https://t.co/wAxD4pXP9N &amp;amp; Homeless Services: https://t.co/n8zASi4Zzg</t>
  </si>
  <si>
    <t>@ZacharyDurand Please call us at 311 if you'd like to make a complaint with the Board of Elections. https://t.co/61qutIpX9x Thank you.  2/2</t>
  </si>
  <si>
    <t>@ZacharyDurand Not all districts had contests in yesterday's local/state primary. You can see some info here: https://t.co/fcGGyjoAzd 1/2</t>
  </si>
  <si>
    <t>Are there potholes on your commute?  Report w/App: https://t.co/iMMUZYlr4e  or DM/Facebook: https://t.co/M1zGpRobkD https://t.co/zItOH8nDL4</t>
  </si>
  <si>
    <t>#NYCASP está suspendida hoy miércoles 9/14 para Eid al-Adha. Los parquímetros están vigentes: https://t.co/D9WkiUoVG7</t>
  </si>
  <si>
    <t>#NYCASP is suspended today Wed. 9/14 for Eid al-Adha. Meters remain in effect. Get updates w/App: https://t.co/FRAGoS7hV4</t>
  </si>
  <si>
    <t>Pollsites open til 9PM for local&amp;amp;state #Primary. Check contests: https://t.co/SdLQb5f5VF Find your site w/App: https://t.co/FRAGoS7hV4</t>
  </si>
  <si>
    <t>#NYCASP está suspendida mañana miércoles 9/14 para Eid al-Adha. Los parquímetros estarán vigentes: https://t.co/D9WkiUoVG7</t>
  </si>
  <si>
    <t>@toomuchnick There's currently no water alert. Is there color/odor? If so, report here: https://t.co/CuFFiFN8i8 or DM &amp;amp; we'll file for you.</t>
  </si>
  <si>
    <t>@Bincerli @LinkNYC  If you like, you also can send your concern to the Mayor by email or mail: https://t.co/8K8Yqm9HvO 2/2</t>
  </si>
  <si>
    <t>@Bincerli @LinkNYC Call 911 if homeless are creating hazard. Call 311/use app to request outreach assistance: https://t.co/ECVmfGOvMI 1/2</t>
  </si>
  <si>
    <t>@SusanMay65 Thanks for pointing that out. We'll repost it with the correct date.</t>
  </si>
  <si>
    <t>Cast your vote in the NY Primary Election today until 9PM. Find poll site w/app: https://t.co/FRAGoS7hV4  #NYCVotes</t>
  </si>
  <si>
    <t>@SporkenWord Sorry to hear. Unfortunately, we can't file this w/Twitter. Please call us at 311 to report problem with City vehicle. Thanks.</t>
  </si>
  <si>
    <t>#NYCASP is suspended tmrw Wed. 9/14 for Eid al-Adha. Meters remain in effect. Follow @NYCASP for daily updates.</t>
  </si>
  <si>
    <t>@tara_tamiko  Unfortunately, we can't file this via Twitter. Please call us at 311 to report problem w/City vehicle w/phone rep. Thank you.</t>
  </si>
  <si>
    <t>@NYCParks @salpuccino Thanks. Yes, please Direct Message &amp;amp; we'll file Park Maint. for you. Or you can file w/App: https://t.co/FRAGoS7hV4</t>
  </si>
  <si>
    <t>#Backtoschool isn’t just for kids. Find adult literacy and education programs throughout NYC: https://t.co/x2LCIUyzPr</t>
  </si>
  <si>
    <t>@MelodicSpyce We're sorry to hear that. You can find temporary emergency shelter information here: https://t.co/JQcH3qcB86</t>
  </si>
  <si>
    <t>@MelodicSpyce See boot info: https://t.co/AQ8XMuJNVQ &amp;amp; Payment Plan info: https://t.co/ssZSr89lOj. Please DM if we can further assist.</t>
  </si>
  <si>
    <t>@FarvusNisht1 You should get 1) email confirm. &amp;amp; 2)email from https://t.co/xsERHTAZ9i Judge letting you know if online hearing can be held</t>
  </si>
  <si>
    <t>It’s #NationalPreparednessMonth. Prepare for the unexpected for kids, seniors, pets &amp;amp; more w/tips from @nycoem: https://t.co/0RqVlDn8XR</t>
  </si>
  <si>
    <t>@NYPD17Pct @nycgov @cbsix Thanks for tag @NYC_DOT. @tmcNYC please DM more details re: signage request &amp;amp; we'll reply w/o character limit.</t>
  </si>
  <si>
    <t>Even a trickle is wasted water. Report leaking/running hydrant online or with our App: https://t.co/KKJYSJeoP7 https://t.co/O9dcpLcL5R</t>
  </si>
  <si>
    <t>@EvillPunki You also can send your concern to NYCHA Chair with this online form: https://t.co/sQemHaQovH 2/2</t>
  </si>
  <si>
    <t>@EvillPunki Check your SR status for agency notes online here: https://t.co/baflJHCxKL If you like, DM us &amp;amp; we'll refile for you 1/2</t>
  </si>
  <si>
    <t>@missmagen23 You also can use this online form to send public safety concern to police commissioner: https://t.co/wAxD4pXP9N 2/2</t>
  </si>
  <si>
    <t>@missmagen23 If this is a homeless encampment, please call us at 311 to report with a telephone rep: https://t.co/ltWaS4gMcU  1/2</t>
  </si>
  <si>
    <t>@will_walsh Hi, you can check if there's contest in your area by entering your address &amp;amp; checking party here: https://t.co/KK0Z7pi2bh</t>
  </si>
  <si>
    <t>@nycHealthy @KatarzynaMaryja Thanks for mention. Yes, you can file most food safety issue w/online form. Please DM if we can further assist.</t>
  </si>
  <si>
    <t>@shilezi NYC311 is for all NYC non-emergency gov't info &amp;amp; services &amp;amp; this acct. is monitored M-F 9-5 (except City holidays). 2/2</t>
  </si>
  <si>
    <t>@shilezi Sorry to hear. Always call 911 for emergency traffic condition or inprogress/recent traffic accident. https://t.co/adb7oa8GKW 1/2</t>
  </si>
  <si>
    <t>@HVAC_Wildman Thanks for your post. Please use this form to send your crosswalk signals concern to DOT Commissioner: https://t.co/FMa7QvyPsm</t>
  </si>
  <si>
    <t>@pons00 Also can file DOT traffic trend: //on.nyc.gov/18eRyVJ &amp;amp; public safety feedback w/ police commissioner: https://t.co/wAxD4pXP9N 2/2</t>
  </si>
  <si>
    <t>@pons00 In future, please call us at 311 to report non-emergency traffic condition in progress w/phone rep for local precinct to respond 1/2</t>
  </si>
  <si>
    <t>@SarahKCowan We're sorry to hear this. In future, you can report noise from vehicle in progress online or w/App: https://t.co/8p4eRpcJtP</t>
  </si>
  <si>
    <t>@dirtymoose If you like, you can send feedback to Finance online: https://t.co/lj9sRLbYhu and/or The Mayor: https://t.co/8K8Yqm9HvO</t>
  </si>
  <si>
    <t>@c_astoria Thanks for update. Please Direct Message your Service Request numbers so we can research &amp;amp; advise next steps. Thank you.</t>
  </si>
  <si>
    <t>Today, Tue. 9/13 is the NY Primary Election: https://t.co/fcGGyjoAzd  Find your poll site w/the 311 app: https://t.co/FRAGoS7hV4  #NYCVotes</t>
  </si>
  <si>
    <t>@capntransit If you like, you can change settings to turn off ASP notifications. Android Settings=w/in App. For Apple, go to phone Settings.</t>
  </si>
  <si>
    <t>#NYCASP está suspendida hoy martes 9/13 para Eid al-Adha. Los parquímetros están vigentes: https://t.co/D9WkiUoVG7</t>
  </si>
  <si>
    <t>#NYCASP is suspended today Tues. 9/13 for Eid al-Adha. Meters are in effect. Get updates w/App: https://t.co/FRAGoS7hV4</t>
  </si>
  <si>
    <t>Hoy es la Elección Primaria del estado. Los centros de votación están abiertos de 6AM –9PM. Más info aquí: https://t.co/yrrLaPiCoy</t>
  </si>
  <si>
    <t>Today is the State &amp;amp; Local Primary Election Day. Polls are open 6AM-9PM. Find your poll site w/free #NYC311 app: https://t.co/FRAGoS7hV4</t>
  </si>
  <si>
    <t>@KanjiLikesBoys Garbage/recycle/org on sched. tmrw Tue 9/13. https://t.co/BpaCtajHjR or App: https://t.co/FRAGoS7hV4 https://t.co/pk0Gy9oa6o</t>
  </si>
  <si>
    <t>#NYCASP está suspendida mañana martes 9/13 para Eid al-Adha. Los parquímetros estarán vigentes: https://t.co/D9WkiUoVG7</t>
  </si>
  <si>
    <t>@azzi_84 @NYCParks Call 911 if immediate danger. If no emergency, report park rules violation: https://t.co/ZBYIxvfosy or DM &amp;amp; we'll file.</t>
  </si>
  <si>
    <t>@thejrbaimanSHOW @ConEdison Bldg owners legally req'd to provide hot water to tenants 365 days/year. DM if we can further assist. Thanks.</t>
  </si>
  <si>
    <t>@mbkratter Sorry about that. Have you reported it by calling us at 311? Or reported it to store &amp;amp; there's been no change? Please DM details.</t>
  </si>
  <si>
    <t>@missmagen23 Please DM us your service request number so we can research &amp;amp; advise. Thank you.</t>
  </si>
  <si>
    <t>@DWVogt @NYCMayorsOffice @NYCSanitation @GaleBrewerNYC Thanks for tagging us. We're replying to your direct message.</t>
  </si>
  <si>
    <t>#NYCASP is suspended tmrw Tues. 9/13 for Eid al-Adha. Meters remain in effect. Follow @NYCASP for daily updates.</t>
  </si>
  <si>
    <t>@RedRoseAttitude You can find info for DOE Pre-K vendor reqs, regulations &amp;amp; contacts: https://t.co/Dt27ITgPen Please DM us if other. Thanks.</t>
  </si>
  <si>
    <t>@missmagen23 We're not sure. Please call us at 311 to report sidewalk blocked by garbage w/phone rep: https://t.co/tXKRiC657X. Thank you.</t>
  </si>
  <si>
    <t>@y5k_mat @NYCParks Thanks for tagging us. DM &amp;amp; we'll file Park Maintenance for you. You also can report w/App: https://t.co/FRAGoS7hV4</t>
  </si>
  <si>
    <t>@MaureenFrench Sorry you didn't get to rep. We'll report issue. Please let us know about email response via DM, if you like. Thank you.</t>
  </si>
  <si>
    <t>@LivinMedinaLoca Call 911 if immediate danger. If no emergency, report bldg. maint: https://t.co/Xl2zfDVVB2 or DM &amp;amp; we’ll file for you.</t>
  </si>
  <si>
    <t>@mbkratter We hope there's no longer need. Please call us at 311 for grocery store food safety issue w/phone rep: https://t.co/ROqtdDYVnG</t>
  </si>
  <si>
    <t>Find your poll site for tomorrow’s NY Primary Election with the #NYC311 mobile app: https://t.co/FRAGoS7hV4 #NYCVotes</t>
  </si>
  <si>
    <t>@HeimishCon Sorry to hear. Please report this issue to the MTA directly online here: https://t.co/vcjTxfQdQA   or call them at 511.</t>
  </si>
  <si>
    <t>@joby_jacob Thanks for your posts. In future, you can report illegal parking here: /on.nyc.gov/1heZLqI  or w/app: https://t.co/FRAGoS7hV4</t>
  </si>
  <si>
    <t>@Sita5871 Also find free, confidential mediation assistance for any conflict, including a noisy neighbor: https://t.co/sX91v84C1X   . 2/2</t>
  </si>
  <si>
    <t>@Sita5871  Sorry to hear. In the future, you can report excessive neighbor noise in progress online or w/App: https://t.co/tsfL0PK7Na 1/2</t>
  </si>
  <si>
    <t>@TheQuietCar Always call 911 to report foul odor w/unknown source: https://t.co/hfBxdDBGyT. Report sewer odor here: https://t.co/nrpIqSQCm1</t>
  </si>
  <si>
    <t>@nomaidenfair We're not sure. You can report false advertisement to the Dept. of Consumer affairs online here: https://t.co/EQ8ipM1hi8</t>
  </si>
  <si>
    <t>@_NelsonNgai In future, call 911 to report disorderly conduct inprogress: https://t.co/KaVJb2qExF or DM us if it was something else.Thanks.</t>
  </si>
  <si>
    <t>@ReggieVaitz Thanks for your posts. We're responding to your DM &amp;amp; will file elevator complaint for you: https://t.co/fXqHZAIaR1</t>
  </si>
  <si>
    <t>@MaribethMooney  And you can report construction work being done afterhours/beyond/without permit to DOB here: https://t.co/WB3l2lK3JZ 2/2</t>
  </si>
  <si>
    <t>@MaribethMooney We’re sorry to hear this. You can report after-hours construction noise to DEP online here: https://t.co/eg2cudK02g 1/2</t>
  </si>
  <si>
    <t>@friepod Send police dept. concern: https://t.co/wAxD4pXP9N &amp;amp; find free, confidential mediation assistance: https://t.co/sX91v84C1X 2/2</t>
  </si>
  <si>
    <t>@friepod Info on how precinct responds to noise complaints: https://t.co/39kNhirVka  Check SR status notes: https://t.co/baflJHCxKL  1/2</t>
  </si>
  <si>
    <t>Now that kids are #backtoschool, find an afterschool program to expand their learning with @NYCYouth: https://t.co/Ud37po0dYm</t>
  </si>
  <si>
    <t>@NYC_DOT Thanks for looping us in. @jordanbarowitz Please DM us more info about plaque location on bridge &amp;amp; we'll report graffiti for you.</t>
  </si>
  <si>
    <t>@NYC_DOT Thanks. @angas Please DM us the intersection &amp;amp; we'll report street pothole for you. Or you can file online: https://t.co/YnJ8TJxvvd</t>
  </si>
  <si>
    <t>@wangkeheng0826 Sorry to hear. In future, report noise in progress from neighbor: https://t.co/tsfL0PK7Na or street: https://t.co/7exptKOutG</t>
  </si>
  <si>
    <t>@ParanoidPride You also can find info for requesting it be fitted with a lock here: https://t.co/v1zMqU5WKJ  2/2</t>
  </si>
  <si>
    <t>@ParanoidPride  If same location as June,DM your name&amp;amp;phone &amp;amp; we’ll file running hydrant for you.Incl. email if you'd like confirmation 1/2</t>
  </si>
  <si>
    <t>@SonahLee If no emergency &amp;amp;hydrant still running, please DM name &amp;amp;phone &amp;amp;we'll file for you, or report online/app: https://t.co/KKJYSJeoP7</t>
  </si>
  <si>
    <t>@SonahLee Always call 911 if immediate danger. Pls note acct. monitored M-F, 9AM-5PM (except City holidays). You can call 311 24/7/365. 1/2</t>
  </si>
  <si>
    <t>@gemsquared @NYC_DOT You can also find parking ticket dispute information online here: https://t.co/zd1WY1ivHM  2/2</t>
  </si>
  <si>
    <t>@gemsquared @NYC_DOT We're not able to interpret parking signs for you. See parking sign info/locator &amp;amp; map: https://t.co/aDiG98ZlSi 1/2</t>
  </si>
  <si>
    <t>@gusto79 We only had info for Sunday. (&amp;amp;this acct. monitored Mon-Fri,9A–5P) See 9/11 memorial &amp;amp; museum info here: https://t.co/aB6sLkiGiu</t>
  </si>
  <si>
    <t>@scoopman23 If you like, you can send The Mayor your comments/concerns using online email form, or by mail: https://t.co/8K8Yqm9HvO</t>
  </si>
  <si>
    <t>@SheiriM You can send The Mayor your comments/concerns using online email form, or by mail: https://t.co/8K8Yqm9HvO</t>
  </si>
  <si>
    <t>@HealthStudent You also can send public safety concern to police commissioner w/ this online form: https://t.co/wAxD4pXP9N 2/2</t>
  </si>
  <si>
    <t>@HealthStudent Call 911 for drug activity in progress. Call us at 311 for non-emergency illegal drug use tips: https://t.co/g1G1ZoxsDR 1/2</t>
  </si>
  <si>
    <t>Reporting a pothole has never been so easy. Watch on #YouTube: https://t.co/1Dy6eyT64P  &amp;amp; download #NYC311 App: https://t.co/FRAGoS7hV4</t>
  </si>
  <si>
    <t>@verysimple We're not sure. Please reach out to Manhattan DOT borough commissioner by phone or email: https://t.co/0vu0LvtCWw. Thank you.</t>
  </si>
  <si>
    <t>@LoisaidaSam Unfortunately we're not able to interpret parking signs for you. See parking sign info/locator &amp;amp; map: https://t.co/aDiG98ZlSi</t>
  </si>
  <si>
    <t>@DarthBoarder420 Sorry to hear this. If you haven't already, you can submit a yellow taxi complaint online here: https://t.co/Xo1kD5VSiZ</t>
  </si>
  <si>
    <t>@JustinBrandon Thanks for alerting us. We'll let Dept. of Finance know. If you like,also can submit to nycgov here: https://t.co/blkcPQbezQ</t>
  </si>
  <si>
    <t>@nudge340 Please DM &amp;amp; well file for you (incl. email if you'd like confirmation). Or report pothole online or app: https://t.co/YnJ8TJxvvd</t>
  </si>
  <si>
    <t>@ohhleary @CMReynoso34 Please Direct Message any Service Request numbers so we can research and advise next steps. Thank you.</t>
  </si>
  <si>
    <t>@bklynbad @NYC_DOT In the future, you can report double parking in-progress as illegal parking online or w/311 App: https://t.co/EMYJOu6Ith</t>
  </si>
  <si>
    <t>Tmrw Tue. 9/13 is State/Local #PrimaryElection Day. Do you know who’s on the #ballot? Check Primary Contest List: https://t.co/fcGGyjoAzd</t>
  </si>
  <si>
    <t>@thejrbaimanSHOW We're sorry to hear this. Please DM any Service Request numbers&amp;amp; details &amp;amp; we'll research, &amp;amp;/or re-file for you.Thanks.</t>
  </si>
  <si>
    <t>@CinfullyMe Thanks for your post.Please let us know more. If you like, Direct Message details &amp;amp; we'll advise w/o character limit. Thank you.</t>
  </si>
  <si>
    <t>@nrik_nyc The lights were on yesterday through dawn today. You can see 9/11 memorial &amp;amp; museum info here: https://t.co/aB6sLkiGiu</t>
  </si>
  <si>
    <t>@magdaleneperez @NYCParks Sorry to hear. Direct Message &amp;amp;we'll file rodent complaint for you.Or file online or App: https://t.co/Qi5yxNqERB</t>
  </si>
  <si>
    <t>@MsMet_Susan Please Direct Message any Service Request numbers you have so we can research. re-file, &amp;amp;/or advise next steps. Thanks.</t>
  </si>
  <si>
    <t>.@NYCSchools están cerradas hoy para Eid al-Adha. Clases resumen mañana martes, 9/13. Vea el calendario escolar: https://t.co/WDGCfjj8iu</t>
  </si>
  <si>
    <t>.@NYCSchools are closed today for Eid al-Adha. Classes resume tomorrow Tuesday, Sept 13.See current school calendar:https://t.co/myV0r4MOlo</t>
  </si>
  <si>
    <t>#NYCASP está suspendida hoy lunes 9/12 para Eid al-Adha. Los parquímetros están vigentes: https://t.co/D9WkiUoVG7</t>
  </si>
  <si>
    <t>#NYCASP is suspended today Mon. September 12 for Eid al-Adha. Meters are in effect. Stay updated with our App: https://t.co/FRAGoS7hV4</t>
  </si>
  <si>
    <t>ATENCION: @NYSChools estarán cerradas mañana lunes, 12 de septiembre para Eid al-Adha. Vea el calendario escolar: https://t.co/WDGCfjj8iu</t>
  </si>
  <si>
    <t>#NYCASP is suspended tmrw Mon. 9/12 for Eid al-Adha.  Meters remain in effect. Stay updated with our App: https://t.co/FRAGoS7hV4</t>
  </si>
  <si>
    <t>#NYCASP está suspendida mañana lunes 9/12 para Eid al-Adha. Los parquímetros estarán vigentes: https://t.co/D9WkiUoVG7</t>
  </si>
  <si>
    <t>Reminder: @NYCSchools are closed tomorrow Monday, Sept. 12 for Eid al-Adha. View the public school calendar here: https://t.co/myV0r4MOlo</t>
  </si>
  <si>
    <t>Hoy es el último día para disfrutar una piscina pública al aire libre. Las piscinas están abiertas de 11AM-7PM: https://t.co/fIHAqZ6n6U</t>
  </si>
  <si>
    <t>Today is the last day to take a dip in a @NYCParks outdoor pool/beach. Find pool: https://t.co/akMJ0m0wav &amp;amp; beach: https://t.co/uaJaUiUJBz</t>
  </si>
  <si>
    <t>The Tribute in Light returns tonight &amp;amp; will shine from Lower Manhattan until dawn, honoring those lost on Sept. 11: https://t.co/VttUjqpuRj</t>
  </si>
  <si>
    <t>Disfruta las piscinas públicas al aire libre hasta mañana 9/11 hasta la 7PM. Busca una cercana aquí: https://t.co/fIHAqZ6n6U</t>
  </si>
  <si>
    <t>The Tribute in Light, honoring those lost on 9/11, returns tmrw night &amp;amp; will shine from #LowerManhattan until dawn: https://t.co/VttUjqpuRj</t>
  </si>
  <si>
    <t>Uh oh. What does that sign say? Report a faded street sign online  or with our free App: https://t.co/fq85Ngnp7A https://t.co/pCetNv2KEl</t>
  </si>
  <si>
    <t>Think your community needs more public spaces to sit? Request a #CityBench from @NYC_DOT:https://t.co/j1zoKbEGUA https://t.co/EMPkfvEaB5</t>
  </si>
  <si>
    <t>Last Splash! @NYCParks free outdoor pools close tomorrow September 11 at 7pm. Find a pool in your borough: https://t.co/akMJ0m0wav</t>
  </si>
  <si>
    <t>@Deb_Rosenthal Unfortunately, we don't have specific event info. Please contact party promoter or governors club: https://t.co/VdY7Shbc5f</t>
  </si>
  <si>
    <t>Tomorrow, Saturday, September 10 is the NYC Century Bike Tour 6AM – 6PM. See street closures online here: https://t.co/xp3lERZtRv</t>
  </si>
  <si>
    <t>@DollaTrill_ Hi, records before 1966 can only be accessed in person at City Register Office in property borough: https://t.co/4qSDqrpu6j</t>
  </si>
  <si>
    <t>@FranksPete @ABC7NY We're sorry to hear that. Please DM us Service Request numbers &amp;amp; details so we can research/advise/refile. Thanks.</t>
  </si>
  <si>
    <t>@MaureenFrench Call DCAS 212-669-1357 (w/SS&amp;amp;exam# ready). Agents avail.M-F 9-5 except City holidays. Or send email: https://t.co/F9dIKAkUAd</t>
  </si>
  <si>
    <t>¿Vas a votar en la elección primaria del 13 de septiembre? Encuentra tu sitio de votación aquí: https://t.co/yrrLaPiCoy #NYCVotes</t>
  </si>
  <si>
    <t>@sparklenaloha @TransCanada @ConEdison @JimmyVanBramer For all gas odor/leak/emergency, find a phone away from area &amp;amp; call 911 immediately</t>
  </si>
  <si>
    <t>Confirm your poll site for the 9/13 NY state #primaryelection with the #NYC311 app: https://t.co/FRAGoS7hV4  so you can #vote #NYCVotes</t>
  </si>
  <si>
    <t>@jscottclayton @MTA Sorry to hear that. Please report this problem directly to MTA with their online form: https://t.co/vcjTxfQdQA</t>
  </si>
  <si>
    <t>@MsBrazil19 You can send Sanitation Commissioner your concern w/this form: https://t.co/xKQ7ScoNIz or DM &amp;amp; we'll file for you (incl. email)</t>
  </si>
  <si>
    <t>@JanerjbrNY Glad to hear it, and thank for letting us know!</t>
  </si>
  <si>
    <t>@JanerjbrNY It's working for us. Can you try different browser? If you still have trouble, DM &amp;amp; we'll file, text 311-692 or call us. Thanks.</t>
  </si>
  <si>
    <t>@bigcitypoet @MTA @NBCNewYork Sorry to hear. Please report this problem directly to MTA with their online form: https://t.co/vcjTxfQdQA</t>
  </si>
  <si>
    <t>@JanerjbrNY Thanks for your posts. You can request bus shelter relocation online here: https://t.co/kYP39nk42M or DM &amp;amp; we'll file for you.</t>
  </si>
  <si>
    <t>@gavinwassung @NYPD88Pct @nycgov You can report illegal parking in progress online: /on.nyc.gov/1heZLqI  or w/app: https://t.co/FRAGoS7hV4</t>
  </si>
  <si>
    <t>@gavinwassung @NYPD88Pct @nycgov You can find info for disputing parking ticket by mail, online, or in person here: //on.nyc.gov/1aufWhs</t>
  </si>
  <si>
    <t>Enjoy NYC’s public beaches: https://t.co/uaJaUiUJBz &amp;amp; pools: https://t.co/jojpJpXTsJ extended through Sun, Sept. 11.</t>
  </si>
  <si>
    <t>All @nycschools students can receive free breakfast. Find out if your child is eligible for free lunch too: https://t.co/OhVZ75oM7g</t>
  </si>
  <si>
    <t>#NYC311 is here to help on the phone, on social media, online, via chat, app, and text message. Connect with us: https://t.co/LzCzcGtKwg</t>
  </si>
  <si>
    <t>@NYC_DOT @aeobaker Call 911 if immediate danger. If no immediate hazard, please Direct Message us more details. Thank you.</t>
  </si>
  <si>
    <t>@page17llc You can file Sanitation feedback using their online form here: https://t.co/xKQ7ScoNIz</t>
  </si>
  <si>
    <t>@Shawtyberries Thanks for your video. Please call us at 311 to make a complaint about NYC public school: https://t.co/UXrHUsHmQu</t>
  </si>
  <si>
    <t>@ms_jarias @NYC_DOT Thanks for pic. If you filed,please DM SR# &amp;amp;we'll research/advise/refile. If not, DM &amp;amp; we'll file manhole issue for you.</t>
  </si>
  <si>
    <t>@SuperflyLucy We're not sure. If construction noise, report it here: https://t.co/eg2cudK02g. Let us know if other. DM if you like. Thanks.</t>
  </si>
  <si>
    <t>If you need heat relief #CoolingCenters are open. Find online: https://t.co/FahxGELmLh    or text 311-692. Call ahead to confirm hours.</t>
  </si>
  <si>
    <t>@leaningoutnyc You also can find info for requesting recreational spraycap or lock (if often opened) here: https://t.co/v1zMqU5WKJ 2/2</t>
  </si>
  <si>
    <t>@leaningoutnyc Please DM your name &amp;amp; phone # &amp;amp; we’ll file for you. Or you can report hydrant online or w/App: https://t.co/KKJYSJeoP7 1/2</t>
  </si>
  <si>
    <t>@MsBrazil19 Sorry to hear &amp;amp; thanks for pic. If you have your Service Request #, you can check status online here: https://t.co/baflJHCxKL</t>
  </si>
  <si>
    <t>@page17llc  Send police feedback: https://t.co/wAxD4pXP9N contact CB: https://t.co/cdf1vmkQp3   &amp;amp; elected officials: https://t.co/RJydEOGqvZ</t>
  </si>
  <si>
    <t>@NY1weather Thanks. Cooling centers are open today Fri 9/9: https://t.co/FahxGELmLh</t>
  </si>
  <si>
    <t>Don’t forget parents: @NYCSchools are closed Monday, Sept. 12 for Eid al-Adha. See 2016/17 school calendar here: https://t.co/2Nqk2PDzIy</t>
  </si>
  <si>
    <t>Padres: No te olvide el lunes 9/12 @NYCSchools estarán cerradas para Eid al-Adha. Vea el calendario escolar aquí: https://t.co/WDGCfjj8iu</t>
  </si>
  <si>
    <t>Heat Advisory today 12PM–9/9 7PM. #CoolingCenters open: https://t.co/FahxGELmLh  or text 311-692. Be sure to call ahead.</t>
  </si>
  <si>
    <t>It's #BacktoSchoolNYC, but you can be prepared. Check @NYCSchools Back to School Basics page for important info: https://t.co/VNteITV2Ub</t>
  </si>
  <si>
    <t>MT: For 1st time, this year, @NYCParks larger pools remain open through Sunday, Sept. 11: https://t.co/Dwylb56ZpR https://t.co/f6qAdCQRsT</t>
  </si>
  <si>
    <t>@NYC_DOT Thanks for looping us in. @jferris215 Please DM us &amp;amp; we'll file this pothole report for you &amp;amp; send your SR number. Thank you.</t>
  </si>
  <si>
    <t>@KothalkarAshish You can file taxi fare/credit card complaint here: https://t.co/Xo1kD5VSiZ. 2/2</t>
  </si>
  <si>
    <t>@KothalkarAshish If you've been billed more than 1x, please contact credit card company/bank to dispute extra charge. 1/2</t>
  </si>
  <si>
    <t>Need heat relief? #CoolingCenters open today/tmrw. Find online: https://t.co/FahxGELmLh  or text 311-692. Call ahead to confirm hours.</t>
  </si>
  <si>
    <t>@avn1982 @NYCParks @NYCSanitation Thanks for update. Did you contact forestry office mentioned in screenshot you sent us? If so, please DM.</t>
  </si>
  <si>
    <t>@aksadoff @NYCDOB @NYC_DOT Please DM us &amp;amp; we’ll file this street blocked by construction. Or you can file online: https://t.co/tXKRiC657X</t>
  </si>
  <si>
    <t>@tribecamom @NYC_DOT If illegal parking,report in-progress conditions online https://t.co/EMYJOu6Ith or w/app: https://t.co/FRAGoS7hV4 2/2</t>
  </si>
  <si>
    <t>@tribecamom @NYC_DOT If st. vendor operating w/o license /in restricted area report here: https://t.co/sSyxnxS6b0 Call 911 if hazard 1/2</t>
  </si>
  <si>
    <t>@JimmyStuNYC @NYC_DOT Thanks for pic.Please DM(incl. email for confirmation) &amp;amp;we'll file damaged streetsign for you: https://t.co/fq85Ngnp7A</t>
  </si>
  <si>
    <t>@ahhdeee If landlord's unresponsive, contact Housing Court: https://t.co/lpht487tF2 And find mediation assistance: https://t.co/sX91v84C1X</t>
  </si>
  <si>
    <t>@great_gold Even if there's variance, you can report excessive &amp;amp;/or offhours construction noise online here: https://t.co/eg2cudK02g</t>
  </si>
  <si>
    <t>@KothalkarAshish Thanks for your post. Please Direct Message us more details so we can research &amp;amp; assist w/o 140character limit. Thank you.</t>
  </si>
  <si>
    <t>@msl09c Sorry to hear. If landlord hasn't responded, you can report heat on in summer: https://t.co/wVq7MQ1MTr or DM &amp;amp; we'll file for you.</t>
  </si>
  <si>
    <t>@NormandeauNewsw You also can send public safety concern to police commissioner using this online form: https://t.co/wAxD4pXP9N 2/2</t>
  </si>
  <si>
    <t>@NormandeauNewsw In future, please call us at 311 to file non-emergency traffic condition with phone rep so local precinct can respond. 1/2</t>
  </si>
  <si>
    <t>@Flaxxxen You also can send your comments to the Mayor using this online email form, or by mail: https://t.co/8K8Yqm9HvO 2/2</t>
  </si>
  <si>
    <t>@Flaxxxen We're so sorry to see that. Please DM &amp;amp; we'll file dead animal in street for you, or file online: https://t.co/DJogXcUXhl  1/2</t>
  </si>
  <si>
    <t>@Matthaber @maccabeem Please Direct Message &amp;amp; we'll file dead animal in park for you. Or you can file online here: https://t.co/DJogXcUXhl</t>
  </si>
  <si>
    <t>@StagehandMan Please DM us &amp;amp; we'll file streetlight in park condition for you, or you can file online or w/311 app: https://t.co/HHn1tnJphf</t>
  </si>
  <si>
    <t>Help conserve water. You can report leaking/running fire hydrants online or w/our App: https://t.co/KKJYSJeoP7 https://t.co/BnY4A9q43B</t>
  </si>
  <si>
    <t>@GlamisHaro Hi, please DM us more details about this issue so we can research and advise without character limit. Thank you.</t>
  </si>
  <si>
    <t>@subtle116 @noneck Some SRs use exact address,some intersection/block. OpenData has more complete SRinfo.Please DM so we can further assist.</t>
  </si>
  <si>
    <t>Feliz primer día de clases para estudiantes de @NYCSchools! Hemos cambiado nuestro logo de Facebook. Véalo aquí:https://t.co/OJr7wXyWkp</t>
  </si>
  <si>
    <t>Happy first day of classes @NYCSchools students. We’ve changed our Facebook logo to celebrate. Check it out: https://t.co/OJr7wXyWkp</t>
  </si>
  <si>
    <t>Mañana, jueves, 9/8 es el primer día de escuela para estudiantes de @NYCSchools. Vea el calendario escolar: https://t.co/WDGCfjj8iu</t>
  </si>
  <si>
    <t>@PaigeKnowsFirst Unfortunately, agency complaint/feedback isn’t available on App yet. Please DM us your SR# so we can further advise.Thanks.</t>
  </si>
  <si>
    <t>@kurt4me67 We don't have specific info about this. You can send your question to Parks Dept. with this online form: https://t.co/dFebX2iq3m</t>
  </si>
  <si>
    <t>You can get real-time public transit information and service advisories from the #MTA online here: https://t.co/7zYmh94UHd</t>
  </si>
  <si>
    <t>Tmrw 9/8 is #backtoschoolNYC for @NYCSchools students. You can see #NYPD tips that remind us to #drivesafely. https://t.co/n3xFs8t6cN</t>
  </si>
  <si>
    <t>@vinzska Call 911 if immediate danger/all signals are green. If no immediate hazard, Direct Message &amp;amp; we'll file signal condition for you.</t>
  </si>
  <si>
    <t>@JustinBrandon Sorry to hear you had trouble. Please call us at 311 M-F,9AM-5PM to speak w/phone rep or online form: https://t.co/7LUWu99A1i</t>
  </si>
  <si>
    <t>@subtle116 @noneck Hi. Map gives overview but doesn’t reflect full SR info/history &amp;amp; SRs shown aren’t verifiable from particular customer.</t>
  </si>
  <si>
    <t>@timojoflo Hi,yes construction usually allowed 7AM-6PM. Even so you can always report excessive noise to DEP online: https://t.co/eg2cudK02g</t>
  </si>
  <si>
    <t>@NYC_DOT @fascinated @34Berry Thanks. Please DM &amp;amp; we'll report CityRack problem for you. Or you can file online: https://t.co/Igr4nPuEWV</t>
  </si>
  <si>
    <t>Tmrw 9/8 is #firstdayofschool for @NYCSchools.Kindergarten=Early dismissal. Pre-K=partial day. School calendar: https://t.co/2Nqk2PDzIy</t>
  </si>
  <si>
    <t>@Karlin_C @NYC_DOT  @NYCParks   Please call us at 311 to make film/TV crew complaint with a phone rep: https://t.co/F8jzItLLqi. Thank you.</t>
  </si>
  <si>
    <t>@kidcheshire Call us at 311 to report encampment w/phone rep: https://t.co/ltWaS4gMcU. You can see SR status here: https://t.co/baflJHCxKL</t>
  </si>
  <si>
    <t>@DuhKneeShuhh Thanks for letting us know. If you like, you can check status of your Service Request online here: https://t.co/baflJHCxKL</t>
  </si>
  <si>
    <t>@grijalvanyc We’re sorry to hear this. You can report after-hours jackhammering noise online here: https://t.co/eg2cudK02g</t>
  </si>
  <si>
    <t>@mtlong64 Thanks for filing. You also can get contacts for CB : https://t.co/cdf1vmkQp3 &amp;amp;local elected officials: https://t.co/RJydEOGqvZ</t>
  </si>
  <si>
    <t>@laurenweisstein We can file for you if you send Direct Message(incl. email address if you'd like confirmation).We'll reply w/SR #. Thanks.</t>
  </si>
  <si>
    <t>@mtlong64 Sorry for any confusion. You can see our reply to powerwashing tweet here: https://t.co/5VRiflfDM1. DM if we can further assist.</t>
  </si>
  <si>
    <t>“Vermin Control of New York” letters are fake: https://t.co/8Zj5lfYv6y. Call 311 or DM &amp;amp; we’ll report it for you. https://t.co/fdjsEJxkmK</t>
  </si>
  <si>
    <t>@_iL33t_ You can also find info on how to file a property damage claim against the City here: https://t.co/XbBCpG0X4j 2/2</t>
  </si>
  <si>
    <t>@_iL33t_ Please DM us &amp;amp; well file for you. Or report street pothole here: https://t.co/YnJ8TJxvvd   or w/app: https://t.co/FRAGoS7hV4 1/2</t>
  </si>
  <si>
    <t>@fotografingnyc @NYCParks Thanks for pic. Please DM &amp;amp; we'll report tree destruction for you, or file online here: https://t.co/DXThC66K0r</t>
  </si>
  <si>
    <t>@Daniel_A_Solow @MTA Please report this issue to MTA directly (they're NYState agency)here: https://t.co/vcjTxfQdQA   or call them at 511.</t>
  </si>
  <si>
    <t>@bitterflie If you like, you can let the Mayor know by sending another message using this online form https://t.co/q3DyieQmxk 2/2</t>
  </si>
  <si>
    <t>@bitterflie Thanks for your messages. Unfortunately, once service request has been submitted, it's not possible to add/edit/delete it. 2/2</t>
  </si>
  <si>
    <t>@laurenweisstein Hi, DM us &amp;amp; we'll report broken muni-meter. Or file online: https://t.co/K6T2jCGdMH or w/app: https://t.co/FRAGoS7hV4</t>
  </si>
  <si>
    <t>@AmiNahshon You can report animal waste to the Department of Sanitation online here: https://t.co/lyRlFaJHZX or DM us &amp;amp; we'll file for you.</t>
  </si>
  <si>
    <t>@NYC_DOT @Anijake If you like, DM us additional location details &amp;amp; we’ll file debris in roadway for you. Thank you. 2/2</t>
  </si>
  <si>
    <t>@NYC_DOT @Anijake Thanks for tagging us. Report blocked bike lane in progress as illegal parking online or app: https://t.co/EMYJOu6Ith 1/2</t>
  </si>
  <si>
    <t>@Daniel_A_Solow @NYCSanitation Please report dead animal in street here: https://t.co/DJogXcUXhl or DM &amp;amp; we'll file for Sanitation to handle</t>
  </si>
  <si>
    <t>@chanmett TLC vehicles are not considered commercial &amp;amp; can park on city streets. Find more info here: https://t.co/AAtXi4zzue</t>
  </si>
  <si>
    <t>@miller_stephen @NYPD7Pct @CM_MargaretChin DM location &amp;amp; we’ll file street blocked by construction. Or file online: https://t.co/tXKRiC657X</t>
  </si>
  <si>
    <t>@miller_stephen @NYC_DOT @joby_jacob Thanks for reporting!</t>
  </si>
  <si>
    <t>Ahora puedes descargar el calendario de @NYCSchools a tu agenda personal con la aplicación: https://t.co/WDGCfjj8iu</t>
  </si>
  <si>
    <t>@bikelaneblitz Or DM us weekdays, 9AM – 5PM (except City holidays), and we’ll file for you.</t>
  </si>
  <si>
    <t>@NYC_DOT @joby_jacob @miller_stephen Thanks. Please DM location details &amp;amp; we'll file defaced street sign for you: https://t.co/fq85Ngnp7A</t>
  </si>
  <si>
    <t>@NYC_DOT @mkszymanski Thanks for cc. You also can call us at 311 to report problem with City vehicle with a phone rep. Thank you.</t>
  </si>
  <si>
    <t>Need help paying for childcare? Find out if your family is eligible for @ACSNYC subsidized childcare: https://t.co/T0gfYfdBcp</t>
  </si>
  <si>
    <t>@NYCParks @franckclodung Thanks! Please Direct Message &amp;amp; we'll file park maintenance for you. Or you can use App: https://t.co/FRAGoS7hV4</t>
  </si>
  <si>
    <t>@page17llc @NYC_DOT See traffic rules here: https://t.co/lmkr3k2e6I &amp;amp; if parked illegally, report online here: https://t.co/EMYJOu6Ith 2/2</t>
  </si>
  <si>
    <t>@page17llc School buses can park anytime, incl. overnight, at parking spot in front of/&amp;amp; w/in bldg lines of public or private school 1/2</t>
  </si>
  <si>
    <t>@cydentify4D thanks for reporting it. You can check SR status online here: https://t.co/baflJHCxKL</t>
  </si>
  <si>
    <t>@bikelaneblitz Thanks for asking. Some complaint types require speaking w/phone rep for proper documeting/routing with responding agency.</t>
  </si>
  <si>
    <t>@ProspectPl @NYC_DOT @bradlander Thanks for pics. DOT refers cave-ins to Agency/utility responsible for repairing w/in 10 days of filing.</t>
  </si>
  <si>
    <t>Next Tue. 9/13 is the NY state #primaryelection. Find your poll site with the #NYC311 app: https://t.co/FRAGoS7hV4 #NYCVotes</t>
  </si>
  <si>
    <t>@mtlong64 Thanks for your post. In the future, you can report vehicle noise in progress online here:  https://t.co/8p4eRpcJtP</t>
  </si>
  <si>
    <t>@pons00 You can send your concern to police commissioner using this online form: https://t.co/wAxD4pXP9N</t>
  </si>
  <si>
    <t>@DUREability Hi, thanks for photo. DM name, phone number, details &amp;amp; we'll file running hydrant. Or file online: https://t.co/KKJYSJeoP7</t>
  </si>
  <si>
    <t>@DarthBirder In future, call 911 to report trespassing in https://t.co/CxrDebnvpf can file  past/recurring here: https://t.co/9M3C2WoP4X</t>
  </si>
  <si>
    <t>@haasbenjamin Thanks for your post. You can send comments &amp;amp; opinions to the Mayor by email or mail: https://t.co/8K8YqlS67e</t>
  </si>
  <si>
    <t>@naomiroslyn Sorry to hear this. If you haven't yet, you can report lost item in yellow taxi online or w/311 App: https://t.co/jBKVSaj5g5</t>
  </si>
  <si>
    <t>@JeffreyD89 In the future you can report double parking in-progress as illegal parking online or with 311 App: https://t.co/EMYJOu6Ith</t>
  </si>
  <si>
    <t>@EricCunningham Thanks for your post. In future, you can check Traffic Advisories &amp;amp; planned street closures here: https://t.co/e1Hn8bNqBf</t>
  </si>
  <si>
    <t>@nyseniortimes There's also part-time &amp;amp; full-time job placement assistance with Senior Employment Services (SES): https://t.co/sD4SNXu5lD</t>
  </si>
  <si>
    <t>“Vermin Control of New York” letters are fake: https://t.co/8Zj5lfYv6y, Got one? DM &amp;amp; we’ll report it for you. https://t.co/5Y7D1PCAv9</t>
  </si>
  <si>
    <t>@eakshat Thanks for your messages. Please DM us more info so we can research &amp;amp; assist you without 140 character limit. Thank you.</t>
  </si>
  <si>
    <t>@Royal_Kira We're sorry to hear this. In the future, you can report noise in progress from street online or w/App: https://t.co/7exptKOutG</t>
  </si>
  <si>
    <t>@davidkonig Sorry to hear this. Please call us at 311 to file complaint about ambulance/emt w/phone rep: https://t.co/SD2cKbeXwQ Thank you.</t>
  </si>
  <si>
    <t>@wingzero98 We didn't rec'v alert re: marinas. In future, you can contact marina directly: https://t.co/R1W1MspFtA</t>
  </si>
  <si>
    <t>@Felice987 You also can get free, confidential mediation assistance for any conflict, incl. noisy neighbor: https://t.co/sX91v84C1X  . 2/2</t>
  </si>
  <si>
    <t>@Felice987 You can send your concern to police dept. using online form (incl. SR #s): https://t.co/wAxD4pXP9N or DM &amp;amp;we'll file for you 1/2</t>
  </si>
  <si>
    <t>@sammy12178 ASP&amp;amp;meters were suspended Mon9/5 for LaborDay(our acct monitored M-F 9AM-5PM except cityholidays) More: https://t.co/38y7OZqqgA</t>
  </si>
  <si>
    <t>@NYKonstantin We’re sorry to hear that. Always call 911 to report in-progress or recent car accident: https://t.co/sNQabK0vS3</t>
  </si>
  <si>
    <t>Now you can download the @NYCSchools Calendar to your personal calendar app: https://t.co/feciWTvkMn  #backtoschoolNYC</t>
  </si>
  <si>
    <t>@_MsJay__ Please contact Dept. of Buildings Borough office to find out if your home improvement work req's permit: https://t.co/nCXHMFCXXd</t>
  </si>
  <si>
    <t>@asvossen For the future, you can register with @NotifyNYC to get alerts sent to you via text/phone/email: https://t.co/Fpl5yxnY4r 2/2</t>
  </si>
  <si>
    <t>@asvossen Hi, FYI our acct monitored M-F 9AM-5PM (except Cityholidays). Text "Beach" to 877-877 for status: https://t.co/zdKQnmwkbe 1/2</t>
  </si>
  <si>
    <t>@JAYELANG Thanks for pic. You can report an overflowing litter basket online here: https://t.co/teLXByBE4E</t>
  </si>
  <si>
    <t>@mtlong64 If construction, report excessive noise here: https://t.co/eg2cudK02g. If sidewalk washing, see rules: https://t.co/II64KfeenE</t>
  </si>
  <si>
    <t>@bennydadog @lisapeet1 @DibblyFresh NYC didNOT send out VerminControl letters https://t.co/8Zj5lfYv6y Call 311 or DM &amp;amp;we’ll report for you.</t>
  </si>
  <si>
    <t>@PaigeKnowsFirst Thanks for pic. DM &amp;amp; we'll file agency complaint for you. Or you can send to them online here: https://t.co/xKQ7ScoNIz</t>
  </si>
  <si>
    <t>@yediteddy We don't have daily weather info,but you can get unexpected event alerts by email/text/phone @NotifyNYC: https://t.co/Fpl5yxnY4r</t>
  </si>
  <si>
    <t>@DuhKneeShuhh Thanks for contacting us. You can report a rude taxi driver here: https://t.co/Xo1kD5VSiZ</t>
  </si>
  <si>
    <t>@NoelEspinal @CruzinNYC Thanks for pic. Please DM &amp;amp; we'll file this cave-in for you. Or you can file online here: https://t.co/YnJ8TJxvvd</t>
  </si>
  <si>
    <t>@Metro_US NYC did NOT send out Vermin Control of New York letters. https://t.co/8Zj5lfYv6y Call us at 311 or DM &amp;amp; we’ll report it for you.</t>
  </si>
  <si>
    <t>@KimESTAqui Thanks for pic. Please call us at 311 or DM us &amp;amp; we'll report this scam letter for you. More info here: https://t.co/83jMmVppTI</t>
  </si>
  <si>
    <t>@Daniel_A_Solow @NYC_DOT Thanks for your interest. If you like, you can formally submit your suggestion/feedback on the App’s main menu.</t>
  </si>
  <si>
    <t>Want to work for the City of New York? Browse #jobs postings and find civil service exam schedules here: https://t.co/7CUg6BFPqw</t>
  </si>
  <si>
    <t>Love #maps? @NYCgov’s #Map Gallery has #NYC311 Service Requests, #Census #data, street closures, &amp;amp; more: https://t.co/4unm4epZxH</t>
  </si>
  <si>
    <t>RT @NotifyNYC: Due to #Hermine, @nycparks beaches will be closed to swimming/bathing/surfing on Tuesday, 9/6. Info: https://t.co/rts7z1iH8S…</t>
  </si>
  <si>
    <t>REMINDER: @NYCSchools Families - #FirstDayofSchool is Thu, 9/8. Kindergarten=early dismissal. Pre-K=partial day: https://t.co/2Nqk2PDzIy</t>
  </si>
  <si>
    <t>For #NYC311's Daniel, getting &amp;amp; giving support help him do his best. See his @YouTube video: https://t.co/GWmlhxPiaN   #WeAreNYC311</t>
  </si>
  <si>
    <t>Hoy es el Dia del Trabajo. Las oficinas del gobierno están cerradas. Aprende sobre las suspensiones de hoy aquí: https://t.co/NWtSJ8mSfp</t>
  </si>
  <si>
    <t>Today Mon. September 5 is #LaborDay. Gov’t offices, DMV &amp;amp; courts are closed. Mail &amp;amp; trash pickup are suspended: https://t.co/57STmbi4tm</t>
  </si>
  <si>
    <t>Hoy lunes 5 de septiembre es el Dia del Trabajo. #NYCASP y parquímetros están suspendidas: https://t.co/D9WkiUoVG7</t>
  </si>
  <si>
    <t>Today Monday Sept. 5 is #LaborDay. #NYCASP &amp;amp; parking meters are suspended: https://t.co/FRAGoS7hV4 &amp;amp; follow @NYCASP for updates.</t>
  </si>
  <si>
    <t>RT @NotifyNYC: Update #Hermine: Tropical Storm Warning still in effect citywide. Info: https://t.co/lTYnDmJu1X. ASL: https://t.co/CWQkS5R45…</t>
  </si>
  <si>
    <t>RT @nycoem: Mayor @BilldeBlasio advises New Yorkers that NYC beaches remain closed Monday due to life-threatening rip currents: https://t.c…</t>
  </si>
  <si>
    <t>ATENCIÓN: #NYCASP/las reglas de estacionamiento y parquímetros estarán suspendidas mañana, lunes 9/5 por el Dia del Trabajo.</t>
  </si>
  <si>
    <t>RT @NotifyNYC: Ahead of #Hermine, @nycparks beaches will be closed to swimming/bathing/surfing on Monday, 9/5. Info: https://t.co/rts7z1iH8…</t>
  </si>
  <si>
    <t>Jueves, 9/8 es el primer día de escuela para estudiantes de @NYCSchools. Kindergarten=salida temprana. Calendario: https://t.co/WDGCfjj8iu</t>
  </si>
  <si>
    <t>Thu. 9/8 is #firstdayofschool for @NYCSchools.Kindergarten = Early dismissal. Pre-K = partial day. 2016/17 Calendar:https://t.co/2Nqk2PDzIy</t>
  </si>
  <si>
    <t>Don’t let potholes ruin your commute. Report online: https://t.co/YnJ8TJxvvd or with the 311 mobile app: https://t.co/FRAGoS7hV4</t>
  </si>
  <si>
    <t>RT @nycoem: Being prepared means staying informed. Get free official emergency alerts. Sign up for @NotifyNYC. #Hermine #NPM2016 https://t.…</t>
  </si>
  <si>
    <t>RT @NotifyNYC: Tropical Storm Warning and Storm Surge Watch in effect citywide. Info: https://t.co/lTYnDmJu1X. ASL: https://t.co/CWQkS5R451.</t>
  </si>
  <si>
    <t>Reminder: #NYCASP/street cleaning/alternate side parking &amp;amp; parking meters are suspended tomorrow, Monday Sept. 5 for #LaborDay.</t>
  </si>
  <si>
    <t>El lunes, 9/5 es el Dia del Trabajo. Las oficinas de gobierno estarán cerradas. ASP/correo/basura suspendida: https://t.co/NWtSJ8mSfp</t>
  </si>
  <si>
    <t>Left something in a yellow taxi? Use Taxi Lost &amp;amp; Found to track it down: https://t.co/jBKVSaj5g5 or app: https://t.co/FRAGoS7hV4</t>
  </si>
  <si>
    <t>Reminder: Monday Sept. 5 is #LaborDay. Gov’t offices will be closed. @NYCASP, mail &amp;amp; trash pickup suspended: https://t.co/57STmbi4tm</t>
  </si>
  <si>
    <t>.@NYCSchools families: sign up for latest school info including alerts, admissions &amp;amp; more for #BacktoschoolNYC: https://t.co/cOJRLQA7zk</t>
  </si>
  <si>
    <t>RT @NotifyNYC: Tropical Storm Warning #Alert in effect citywide, today 9/3 starting at 11:00 AM. https://t.co/CWQkS5R451.</t>
  </si>
  <si>
    <t>If you can’t afford food, #SNAPhelps. You can apply for SNAP (also known as food stamps) online: https://t.co/zl1g6Kvek5</t>
  </si>
  <si>
    <t>This year @MadeinNY  is celebrating #50yearsofmagic with free events across all 5 boroughs. Details here: https://t.co/d2PignMfV4</t>
  </si>
  <si>
    <t>UPDATE: NYC families: @nypl, ,@BKLYNlibrary, &amp;amp; @QueensLibrary closed for #Labordayweekend tmrw Sat. 9/3 – Mon. 9/5.</t>
  </si>
  <si>
    <t>@DATLADYGREEN Thanks for vid. You can send your concern about the speed bump to the DOT Commissioner w/online form: https://t.co/FMa7QvyPsm</t>
  </si>
  <si>
    <t>Lunes, el 5 de septiembre es el Dia del Trabajo. #NYCASP y parquímetros estarán suspendidas: https://t.co/D9WkiUoVG7</t>
  </si>
  <si>
    <t>Monday Sept. 5 is #LaborDay. #NYCASP &amp;amp; parking meters are suspended. Follow @NYCASP &amp;amp; get app for updates: https://t.co/FRAGoS7hV4</t>
  </si>
  <si>
    <t>RT @NotifyNYC: Ahead of #Hermine, @nycparks beaches will be closed to swimming on Sunday, 9/4. For more, visit https://t.co/rts7z1iH8S or c…</t>
  </si>
  <si>
    <t>RT @NYC_Buildings: Severe Weather Advisory: NYC may experience flooding &amp;amp; high winds starting Saturday - secure work sites/properties. http…</t>
  </si>
  <si>
    <t>RT @nycHealthy: If you received a letter from “Vermin Control of New York,” call @nyc311. This is a scam: https://t.co/S2Nv3j2zxf https://t…</t>
  </si>
  <si>
    <t>RT @NYCMayorsOffice: We’re tracking Hermine for you. Follow @NotifyNYC for updates, prepare a Go bag, charge your phones, check in on frien…</t>
  </si>
  <si>
    <t>RT @NotifyNYC: #alert Tropical Storm Watch &amp;amp;  Surge Watch for NYC. Review emergency plans. https://t.co/4w8GVKY55x https://t.co/rzNCKjQrUe</t>
  </si>
  <si>
    <t>Thanks to generosity &amp;amp; support of #NYC311 staff, our 1st #BacktoSchool Drive w/ @unitedwaynyc was a great success! https://t.co/drdWPFdUpC</t>
  </si>
  <si>
    <t>RT @NotifyNYC: #HurricaneHermine may bring rip currents, high surf, coastal flooding, heavy rain, &amp;amp; winds to NYC. Info: https://t.co/8s9yVY…</t>
  </si>
  <si>
    <t>@dschorrnyc Sorry to hear that. Please DM date/time/phone number you called from so we can research your call experience &amp;amp; advise. Thanks.</t>
  </si>
  <si>
    <t>RT @NotifyNYC: #alert Tropical Storm Watch &amp;amp; Storm Surge Watch for NYC. Review emergency plans. https://t.co/t918yhlx8z. https://t.co/lqMH9…</t>
  </si>
  <si>
    <t>RT @NWSNewYorkNY: A Tropical Storm Watch is now in effect. Stay tuned to https://t.co/xrkkuob9Wl for the latest track on #Hermine https://t…</t>
  </si>
  <si>
    <t>@moeconway @NYC_DOT Thanks for looping us in. Please DM us more details so we can better assist w/o 140 character limit. Thank you.</t>
  </si>
  <si>
    <t>MT: More than 400,000 New Yorkers get free emergency alerts from @NotifyNYC. Join them - register today: https://t.co/AKxJuyVmFH</t>
  </si>
  <si>
    <t>@nycHealthy Thanks for looping us in. @COVisuals Please DM us more details so we can better assist &amp;amp; advise. Thank you.</t>
  </si>
  <si>
    <t>El programa #SummerMeals termina hoy 9/2. Niños de 18 años o menos reciben desayuno/almuerzo #gratis: https://t.co/0Mg1JTGNzy</t>
  </si>
  <si>
    <t>@BridgetCusick SR notes come from responding agency. You can feedback to the Police Commissioner with online form: https://t.co/wAxD4pXP9N</t>
  </si>
  <si>
    <t>@__CandidKisses Send comments/concern to Sanitation: https://t.co/xKQ7ScoNIz. Report dog waste on a city street: https://t.co/lyRlFaJHZX</t>
  </si>
  <si>
    <t>@leland We hope there's no need, but in future report loud music from bar: https://t.co/swxFfVXixn or boat here: https://t.co/gZqXbqXwCG</t>
  </si>
  <si>
    <t>Today's last day of#SummerMeals. NYC kids 18 &amp;amp; under get free breakfast/lunch. Locations: https://t.co/7B6ZqPIcGB https://t.co/xiU47x1O89</t>
  </si>
  <si>
    <t>@JBravoBrklyn In future, you can report a blocked crosswalk in-progress as illegal parking with app or online: https://t.co/EMYJOu6Ith</t>
  </si>
  <si>
    <t>@tonianncanovaaa Hi, we're not sure. You can send your question to the MTA online here: https://t.co/vcjTxfQdQA</t>
  </si>
  <si>
    <t>@MxEnigmatic You can report this issue to the MTA directly online here: https://t.co/vcjTxfQdQA  or call them at 511.</t>
  </si>
  <si>
    <t>RT @nycgov: Follow @nycoem for updates on #Hermine and hurricane season. https://t.co/Sdzh8QnC3i</t>
  </si>
  <si>
    <t>El próximo jueves, 9/8, es el primer día de escuela  para estudiantes de @NYCSchools. Kinder=salida temprana. Pre-kinder=dia parcial.</t>
  </si>
  <si>
    <t>@Bob_Schiff Call 911 if there's immediate danger. Please call us at 311 to report unstable/defective building facade w/phone rep. Thank you.</t>
  </si>
  <si>
    <t>Mon, Sept. 5 is #LaborDay. ASP/meters/mail/trash collection suspended. DMV/courts/gov't offices closed. See more: https://t.co/57STmbi4tm</t>
  </si>
  <si>
    <t>Are you voting in the September 13 NY primary election? Find out your polling site with the 311 app: https://t.co/FRAGoS7hV4 #NYCVotes</t>
  </si>
  <si>
    <t>@GladysSandoval Not all post offices have passport hours. Use PostOffice Locator to find passport hrs &amp;amp; locations: https://t.co/sfLwttd9Ut</t>
  </si>
  <si>
    <t>@agent_ayesha @NYCParks Thanks! If you like, DM &amp;amp; we’ll file parks maintenance for you. Or you can file online: https://t.co/59317JLz4G</t>
  </si>
  <si>
    <t>@BoogieDownGal @NYC_DOT Please call us at 311 to report non-emergency traffic condition w/phone rep so local precinct can respond.Thank you.</t>
  </si>
  <si>
    <t>Next Thursday, September 8 is the #firstdayofschool for @NYCSchools kids. Partial day for Pre-K &amp;amp; early dismissal for kindergarten.</t>
  </si>
  <si>
    <t>@austinwadexx No. That's to report bldg use/modification for purpose zoning doesn't allow. Please DM &amp;amp; we can advise w/o character limit.</t>
  </si>
  <si>
    <t>@tmcNYC You can send police commissioner your concern w/this form: https://t.co/wAxD4pXP9N, call us at 311, or DM &amp;amp; we'll file for you.</t>
  </si>
  <si>
    <t>Always know what’s happening w/NYC311. Facebook:https://t.co/OJr7wXyWkp Instagram:https://t.co/76qhqrm4eI  &amp;amp; YouTube:https://t.co/HIBeGKLCav</t>
  </si>
  <si>
    <t>@bikelaneblitz Thanks for your DM. We're looking into it and will reply to you there.</t>
  </si>
  <si>
    <t>@AndyJed According to Health Dept's spraying event schedule, last night's have been rescheduled. See more: https://t.co/yiAacatiJB</t>
  </si>
  <si>
    <t>@SelvenaBrooks31 Please DM location details &amp;amp; we'll file park maintenance for you. Or file online or w/App: https://t.co/59317JLz4G</t>
  </si>
  <si>
    <t>@MissaG28 Sorry to hear this. Please call us at 311 to file complaint about City worker with a telephone rep. Or DM &amp;amp; we'll file for you.</t>
  </si>
  <si>
    <t>@LaTeeShah Even if there's variance, you can report excessive &amp;amp;/or offhours construction noise online here: https://t.co/eg2cudK02g</t>
  </si>
  <si>
    <t>@Jinny_Jin_Jin Sorry to hear. You can report double parking in-progress as illegal parking online or with 311 App: https://t.co/EMYJOtP74H</t>
  </si>
  <si>
    <t>@austinwadexx If residential space used as a business, please DM us &amp;amp; we’ll file for you or you can file online: https://t.co/Vomo1xCAGb</t>
  </si>
  <si>
    <t>@austinwadexx See how police dept. handles noise complaints: https://t.co/39kNhirVka. Check SR status for notes: https://t.co/baflJHCxKL</t>
  </si>
  <si>
    <t>@Flatbushwatch Please DM your name &amp;amp; phone # &amp;amp; we'll file open hydrant for you, or you can file online: https://t.co/KKJYSJeoP7</t>
  </si>
  <si>
    <t>@JosephRaulLopez You can see NYCHealth+Hospitals facility &amp;amp; dr info here: https://t.co/IwYIwrJDd4 &amp;amp; contacts here: https://t.co/UYaHf5ExdL</t>
  </si>
  <si>
    <t>@Ste_BlackParent See more spray protocol info: https://t.co/3BgRmvTdLt Send your query to Health Dept. online here: https://t.co/l98CaGYk9L</t>
  </si>
  <si>
    <t>NYC kids 18 &amp;amp; under get free breakfast/lunch thru tomorrow Fri. 9/2. Find #SummerMeals: https://t.co/7B6ZqPIcGB https://t.co/IjSYFrut5E</t>
  </si>
  <si>
    <t>@dschorrnyc We understand your frustration.Unfortunately encampments req speaking w/rep for local precinct response: https://t.co/ltWaS4gMcU</t>
  </si>
  <si>
    <t>@jojojackiej Nonprofits can register w donateNYC Exchange: https://t.co/t1KDFxnejD. Contact them for info/questions: https://t.co/1grkJ2saaU</t>
  </si>
  <si>
    <t>@DStarmanHockey You can contact your CB: https://t.co/cdf1vmkQp3  &amp;amp; local officials: https://t.co/RJydEOGqvZ  about this chronic issue 3/3</t>
  </si>
  <si>
    <t>@DStarmanHockey Report traffic trends: https://t.co/BijO0Lp7ek &amp;amp; send public safety concern to police commsnr: https://t.co/HxRXvi4w7K 2/3</t>
  </si>
  <si>
    <t>@DStarmanHockey Sorry to hear. Please call us at 311 to report non-emergency traffic condition in progress for local precinct to respond.1/3</t>
  </si>
  <si>
    <t>@Anap45Ana Hi. The New York Public Library has free sewing classes, find out more here: https://t.co/SnwRUpih0L</t>
  </si>
  <si>
    <t>@MsMet_Susan Thanks for your photo. Please Direct Message us with any service request number so we can research &amp;amp; advise. Thank you.</t>
  </si>
  <si>
    <t>@lizziebrubaker @NYCTSubway Call 911 to report homeless in subway/creating hazard/in need of medical attention: https://t.co/ECVmfGOvMI</t>
  </si>
  <si>
    <t>¿Quieres aprender como tú “Junta de Comunidad” está mejorando tu barrio? Encuentra la tuya aquí:https://t.co/AVd64ry8FK</t>
  </si>
  <si>
    <t>@onatimeout @QueensLibrary Sorry to hear this. You can file a complaint about a NYC branch library/employee online: https://t.co/aKECEVeDcC</t>
  </si>
  <si>
    <t>You can get involved in your neighborhood &amp;amp; make a difference. Learn about your local Community Board today: https://t.co/cdf1vmkQp3</t>
  </si>
  <si>
    <t>@brendan_gray Or you can check SR status notes: https://t.co/baflJHCxKL. Send Police Commissioner feedback: https://t.co/wAxD4pXP9N. 2/2</t>
  </si>
  <si>
    <t>@brendan_gray If you like, DM your SR numbers so we can advise w/o character limit. 1/2</t>
  </si>
  <si>
    <t>@luiscueto Sorry to hear this. You can report noise from a street/sidewalk in progress online or w/App: https://t.co/7exptKOutG</t>
  </si>
  <si>
    <t>Don’t forget free breakfast/lunch for NYC kids 18 &amp;amp; under w/#SummerMeals. Program runs through Friday Sept. 2: https://t.co/7B6ZqPIcGB</t>
  </si>
  <si>
    <t>@darknes23 If you haven't already, you can call local police precinct directly to request light tower removal: https://t.co/acqxS6oVE8</t>
  </si>
  <si>
    <t>@brendan_gray If you haven't already, you can call local police precinct directly to request light tower removal: https://t.co/acqxS6oVE8</t>
  </si>
  <si>
    <t>@chuckdafonk You can submit feedback to the Port Authority here: https://t.co/ahlZcrDvyT and to TLC here: https://t.co/SZcmWMaTKN</t>
  </si>
  <si>
    <t>@mpolonyc Thanks for pic. Please DM us &amp;amp; we'll file this as a cave-in for you. Or you can file online here: https://t.co/YnJ8TJxvvd</t>
  </si>
  <si>
    <t>@sweeeeenz Sorry to hear that. Please contact the United States Postal Service directly to file a complaint: https://t.co/O8AHvC5Dl8</t>
  </si>
  <si>
    <t>@stanfordmom Please DM us your Service Request numbers so we can research &amp;amp; further advise. Thank you.</t>
  </si>
  <si>
    <t>Cool down by asking your local @FDNY firehouse for a recreational hydrant spray cap: https://t.co/z8RIYNT8M2 https://t.co/bfA8zjsV9x</t>
  </si>
  <si>
    <t>@NYC_DOT Thanks for looping us in. @Alberta_Klipple Yes, please DM us specific address or intersection &amp;amp; we'll file for you. Thank you.</t>
  </si>
  <si>
    <t>¿Piensas viajar este año? Consigue información sobre cómo aplicar o renovar un pasaporte. Más aquí: https://t.co/DARGq97PxV</t>
  </si>
  <si>
    <t>Is ASP in effect today? What about garbage/recycling? Are @NYCSchools open? Find out with the #NYC311 app: https://t.co/FRAGoS7hV4</t>
  </si>
  <si>
    <t>@bomboloni Feel free to DM us now. Our account is set to receive Direct Messages from followers &amp;amp; non-followers.</t>
  </si>
  <si>
    <t>@bomboloni @NYC_DOT Hi thanks for looping us in. Please DM us more info about the streetlight location so we can further assist &amp;amp; advise.</t>
  </si>
  <si>
    <t>@Johnnystig @NYC_DOT Call 911 if immediate https://t.co/y6q1fqBhy1 CB,CityCouncil&amp;amp;DOT BoroCommissioner re:bikelane: https://t.co/OikyNc8dvl</t>
  </si>
  <si>
    <t>Our #NYC311 family can be described in one word: Dedicated. See our employee profiles on our #YouTube channel: https://t.co/fl7kda8HKD</t>
  </si>
  <si>
    <t>@AlanRinNY Please DM &amp;amp; we'll file water leak in public area residential building for you. Or file online: https://t.co/jBWCZogr4N</t>
  </si>
  <si>
    <t>@jsanc623 @NYCParks Hi, thanks for looping us in. You also can file this with the 311 app: https://t.co/FRAGoS7hV4</t>
  </si>
  <si>
    <t>@NYC_DOT @gravenerito Hi, thanks for tagging us. Please contact the local precinct for metal barrier removal: https://t.co/acqxS6oVE8</t>
  </si>
  <si>
    <t>@JeffreyD89 You can send your concern to Police Commissioner using this online form: https://t.co/wAxD4pXP9N</t>
  </si>
  <si>
    <t>@NYC_DOT @nycphotog Always call 911 for hazardous traffic condition, including debris on a highway: https://t.co/adb7oa8GKW</t>
  </si>
  <si>
    <t>#SummerMeals free breakfast/lunch thru Friday 9/2 – sites include @NYCSchools, pools, libraries &amp;amp; more: https://t.co/7B6ZqPIcGB</t>
  </si>
  <si>
    <t>@Shmuli Sorry to hear this. You can send your concern to Police Commissioner  using this online form: https://t.co/wAxD4pXP9N</t>
  </si>
  <si>
    <t>@BrooklynRose88 You can request a litter basket in a new location online here: https://t.co/teLXByBE4E</t>
  </si>
  <si>
    <t>Niños de 18 años o menos reciben desayuno/almuerzo #gratis hasta el viernes 9/2. Más info de #SummerMeals: https://t.co/0Mg1JTGNzy</t>
  </si>
  <si>
    <t>@alrdysuccessful Please DM address &amp;amp;ASP days/times &amp;amp; we'll file for you.Or you can call us to report st. not swept: https://t.co/iFCXq8oXhI</t>
  </si>
  <si>
    <t>@kidcheshire @MayorDeblasio Please call us at 311 to report a homeless encampment with phone rep: https://t.co/ltWaS4gMcU. Thank you.</t>
  </si>
  <si>
    <t>@BAMstutz @RiversideParkNY @NYCParks Thanks for reporting. You can check status online here with SR lookup: https://t.co/baflJHCxKL</t>
  </si>
  <si>
    <t>@AudreyU2 @NYC_DOT You also can inquire w/ DOT Brooklyn Borough Commissioner's office by phone or online: https://t.co/0vu0LvtCWw</t>
  </si>
  <si>
    <t>@AudreyU2 @NYC_DOT If you've filed,check SR status: https://t.co/bLoI5yBcjY. If haven't yet,please Direct Message &amp;amp; we'll file for you. 1/2</t>
  </si>
  <si>
    <t>If you’ve ever wanted to tell a friend about #NYC311 App, now you can from the App itself: https://t.co/FRAGoS7hV4 https://t.co/tdApvvLKxg</t>
  </si>
  <si>
    <t>@NYC_DOT @danreitzdotcom Thanks for tagging us.Please DM loc. details &amp;amp;we'll file for you.Or file bridge condition: https://t.co/NntKbXG8vj</t>
  </si>
  <si>
    <t>@tribecamom @aksadoff Send DOB concern: https://t.co/78a6azIfiz.  Contact CB: https://t.co/cdf1vmkQp3    &amp;amp;officials: https://t.co/RJydEOGqvZ</t>
  </si>
  <si>
    <t>@Shmuli @NYPDnews Call 911 if immediate danger. If not emergency, contact  precinct to request lighttower removal:  https://t.co/acqxS6oVE8</t>
  </si>
  <si>
    <t>@dutchkillskloth @NYCSanitation @JimmyVanBramer  DM us &amp;amp;we’ll file loosetrash&amp;amp;dirtysidewalk&amp;amp;litterbasketrequest&amp;amp;missed st. cleaning for you</t>
  </si>
  <si>
    <t>@NYCNeighbordog @NYCSanitation Yes, generators allowed, see p13. You can report mobile foodvendor equip/smoke here: https://t.co/416L6VwQib</t>
  </si>
  <si>
    <t>@Daniel_A_Solow @NYPD100Pct @eric_ulrich Report blocked sidewalk &amp;amp; bike lane as illegal parking in-progress online: https://t.co/EMYJOu6Ith</t>
  </si>
  <si>
    <t>@cohills Sorry to hear. You can report illegal parking in progress online: https://t.co/EMYJOu6Ith or w/311 App: https://t.co/FRAGoS7hV4</t>
  </si>
  <si>
    <t>Even a trickle is wasted water. Report leaking/running hydrant online: https://t.co/KKJYSJeoP7  or w/app: https://t.co/FRAGoS7hV4</t>
  </si>
  <si>
    <t>@austinwadexx Sorry for the inconvenience. Please DM us the link so we can look into it. In future, call us at 311 24/7 to report noise.</t>
  </si>
  <si>
    <t>@Peruvalan Thanks for your posts. We've replied to your Direct Message.</t>
  </si>
  <si>
    <t>@efyoutwo @MTA If filed, check SR status for notes: https://t.co/baflJHCxKL. You also can report to MTA directly: https://t.co/vcjTxfQdQA</t>
  </si>
  <si>
    <t>NYC kids 18 &amp;amp; under get free breakfast/lunch #SummerMeals through Friday, September 2. Find locations/times: https://t.co/7B6ZqPIcGB</t>
  </si>
  <si>
    <t>@wangkeheng0826 Precinct responds when not handling emergencies: https://t.co/39kNhirVka. Send police dept. concern: https://t.co/wAxD4pXP9N</t>
  </si>
  <si>
    <t>@_TheRobynShow Sorry to hear. If you haven't already, report dead animal on public property w/Sanitation online: https://t.co/DJogXcUXhl</t>
  </si>
  <si>
    <t>@EvillPunki DM &amp;amp; we'll file rodent complaint for you. Or you can file online: https://t.co/Qi5yxNqERB or w/App: https://t.co/FRAGoS7hV4</t>
  </si>
  <si>
    <t>@deancollins Please Direct Message any Service Request numbers you have so we can research &amp;amp; advise next steps w/o character limit. Thanks.</t>
  </si>
  <si>
    <t>@nyc118 @NYCService Thanks for alerting us &amp;amp; sorry for confusion. Here's link for places to donate/find used goods: https://t.co/QMXKgAAlGS</t>
  </si>
  <si>
    <t>@aksadoff @NYC_DOB You can also report excessive noise from building construction to DEP online here: https://t.co/eg2cudK02g. 2/2</t>
  </si>
  <si>
    <t>@aksadoff @NYC_DOB Yes. An after-hours variance permit was issued for 8/28. You can see bldg permits' status: https://t.co/BRy4NMkIyX 1/2</t>
  </si>
  <si>
    <t>@NYCNeighbordog @NYCSanitation Per Chapter 6 Section 6-04(d) of New York City Rules, power generators can used: https://t.co/N11CrkSn8s</t>
  </si>
  <si>
    <t>@therealschwaz Please call us at 311 for City worker complaint or you can contact DSNY Commissioner w/online form: https://t.co/xKQ7ScoNIz</t>
  </si>
  <si>
    <t>@yung_brandon_ Please DM us &amp;amp; well file for you. Or report street pothole here: https://t.co/YnJ8TJxvvd  or w/app: https://t.co/FRAGoS7hV4</t>
  </si>
  <si>
    <t>@alwaysalejandra Please DM us your Service Request numbers so we can research &amp;amp; further advise without character limit. Thank you.</t>
  </si>
  <si>
    <t>@deancollins Check SR status: https://t.co/baflJHCxKL Re-file noise: https://t.co/eg2cudK02g &amp;amp; file bldg violation: https://t.co/WB3l2lK3JZ</t>
  </si>
  <si>
    <t>@beccashimmy @ny_dot Please Direct Message us more info so we can assist you without 140 character limit, incl. any SRs you have. Thank you.</t>
  </si>
  <si>
    <t>@ChrisTuttle We're sorry to hear this. You can file a complaint with MTA directly online here: https://t.co/vcjTxfQdQA  or call them at 511.</t>
  </si>
  <si>
    <t>@sara_moe Please DM us &amp;amp; we'll file for you. Or you can report a dirty elevator condition online here: https://t.co/fXqHZAIaR1</t>
  </si>
  <si>
    <t>@kingkroba @GetShotinBKLYN In the future, please call us at 311 to report non-emergency traffic condition in progress with a phone rep.</t>
  </si>
  <si>
    <t>@littleredhead33 @NYCHousing  Tenant Harassment &amp;amp; legal assistance: https://t.co/givGMPPdEv   &amp;amp; Housing Court info: https://t.co/lpht487tF2</t>
  </si>
  <si>
    <t>@toonstosave If you like, you can send your concern to NYCHA Chair (incl. work order #s) with this online form: https://t.co/sQemHaQovH</t>
  </si>
  <si>
    <t>@GetShotinBKLYN If you like, you can send your concern to DOT Brooklyn Borough Commissioner using this online form: https://t.co/hINzLuNn00</t>
  </si>
  <si>
    <t>Don't forget to enjoy one of NYC’s public beaches this summer, now extended through Sept. 11! Find one here: https://t.co/uaJaUiUJBz</t>
  </si>
  <si>
    <t>Empieza a ayudar el ambiente con @Birdie_NYC. Gana una jarra, botella o una bolsa de compra reutilizable gratis: https://t.co/wuMW4h9381</t>
  </si>
  <si>
    <t>Start #goinggreen with @Birdie_NYC. Make the pledge to #BYONYC &amp;amp; get a free #reusable mug, bottle or bag: https://t.co/jg79CiOxgV</t>
  </si>
  <si>
    <t>Change someone’s life today by donating books, clothing or food with @NYCService. Learn how to #donate: https://t.co/CGm5QnPIGO</t>
  </si>
  <si>
    <t>If you're on #Instagram https://t.co/fwpVfzy6Xe or Facebook https://t.co/OJr7wXyWkp Follow us for the latest on #NYC311: #WeareNYC311</t>
  </si>
  <si>
    <t>¿Estás buscando algo que hacer al aire libre en NYC? Chequea la guía de fin de semana de @NYCParks aquí: https://t.co/iNCbjPedyf</t>
  </si>
  <si>
    <t>Interested in holding a street fair, festival or block party? Learn how &amp;amp; apply for street activity permit: https://t.co/V21DqhO3pC</t>
  </si>
  <si>
    <t>Do you see a pothole? Report it online: https://t.co/YnJ8TJxvvd or with the #NYC311 app: https://t.co/FRAGoS7hV4 https://t.co/EOg1KC0qsw</t>
  </si>
  <si>
    <t>FACT: most #deer shed antlers yearly. Learn more about deer @NYCParksGreenbelt Nature Ctr #StatenIsland 8/30: https://t.co/M0i1plhetj</t>
  </si>
  <si>
    <t>UPDATE: Many @NYCParks outdoor pools will be open til Sept 11! See rules &amp;amp; regs &amp;amp; find one near you: https://t.co/akMJ0m0wav.</t>
  </si>
  <si>
    <t>@LaurenNapier @NYCMayorsOffice @nyctaxi Sorry to hear that. Report yellow taxi: https://t.co/Xo1kD5VSiZ or Green: https://t.co/bvDUKWbWOa</t>
  </si>
  <si>
    <t>Encuentre información sobre viviendas a bajo costo, incluyendo como ser elegible y obtener una aplicación: https://t.co/gV8K0Ifgtk</t>
  </si>
  <si>
    <t>.@nycHealthy’s CalCutter app helps you count calories so you can lower caloric intake. Get more info/download it: https://t.co/jrmP6uj9Zf</t>
  </si>
  <si>
    <t>@NYCHousing @susankhoffman Hi, thanks for looping us in. If you like, you can DM us any SR #s you have so we can research and advise.</t>
  </si>
  <si>
    <t>Need heat relief? #CoolingCenters are open today. Find online: https://t.co/FahxGELmLh or text 311-692. Call ahead to confirm hours.</t>
  </si>
  <si>
    <t>Follow #NYC311's Instagram &amp;amp; see our SummerThemeDays including Sports Team &amp;amp; 70s/80s Day: https://t.co/fwpVfzy6Xe https://t.co/WXPEELw51L</t>
  </si>
  <si>
    <t>@Sacerdotus @PIX11News @News12BX @NYPD48Pct If no immediate hazard, please Direct Message &amp;amp; we'll file traffic signal condition for you. 2/2</t>
  </si>
  <si>
    <t>@Sacerdotus @PIX11News @News12BX @NYPD48Pct Call 911 to report immediate danger: https://t.co/adb7oa8GKW 1/2</t>
  </si>
  <si>
    <t>@sara_moe Sorry to hear that. It's not yet on App, but you can report elevator problem online: https://t.co/fXqHZAIaR1 or DM &amp;amp; we'll file.</t>
  </si>
  <si>
    <t>@msr12789 Hi, please call us at 311 to report a fire alarm box problem with a phone representative: https://t.co/rb5rY64Fuc Thank you.</t>
  </si>
  <si>
    <t>@jeremyfaust We’re sorry to hear that. You can report green boro taxi driver not driving safely online here: https://t.co/bvDUKWbWOa</t>
  </si>
  <si>
    <t>@6644559 @nycphotog Please DM name &amp;amp; phone # &amp;amp; we’ll file for you, or you can report broken hydrant online here: https://t.co/GpMHd3TfvA</t>
  </si>
  <si>
    <t>@katemeizner Thanks! Street sign requests go to DOT Commissioner: https://t.co/YZ6ylWuuiq If you like, send feedback from App's main menu.</t>
  </si>
  <si>
    <t>@Rubiousny Thanks for your messages. We'll reply to your Direct Message where there's no character limit.</t>
  </si>
  <si>
    <t>@NYC_DOT @HMBoyer Thanks for filing.See SR status: https://t.co/baflJHCxKL &amp;amp; also contact DOT Borough Commissioner: https://t.co/0vu0LvtCWw</t>
  </si>
  <si>
    <t>@toonstosave @NYCHA We're sorry to hear. Always Call 911 if there's immediate danger. If not 911 emergency,call NYCHA Cust Ctr 718-707-7771</t>
  </si>
  <si>
    <t>You can report leaking or running hydrants online: https://t.co/KKJYSJeoP7 or with #NYC311 mobile app: https://t.co/FRAGoS7hV4</t>
  </si>
  <si>
    <t>@NYCHousing @littleredhead33 Call 911 if immediate danger. If not emergency, call 311 to file w/phone rep (twitter monitored M-F, 9AM-5PM)</t>
  </si>
  <si>
    <t>@maltese_lady DM us address/name/phone &amp;amp; we'll file. Or you can report visible dense smoke in air online here: https://t.co/C5cd1GGjX6.</t>
  </si>
  <si>
    <t>@NYC_DOT @jeisohn_jay Thanks for the mention. Please DM more details about the condition so we can assist without character limit. Thanks.</t>
  </si>
  <si>
    <t>@leofox Please use this online form to contact DOT Manhattan Borough Commissioner: https://t.co/Toeq1DHmGr. You'll get a confirm/tracking #</t>
  </si>
  <si>
    <t>Manténganse fresco y saludable en este calor con la guía #BeattheHeat de @NYCOEM: https://t.co/dJ57aJSS2L  Disponible en español.</t>
  </si>
  <si>
    <t>@itsjenn987 Please include shop address, any details you think are important, &amp;amp; if you would like an email confirmation of report, an email.</t>
  </si>
  <si>
    <t>@itsjenn987 You also can report cars blocking sidewalk in progress, as illegal parking w/app or online: https://t.co/EMYJOu6Ith. 2/2</t>
  </si>
  <si>
    <t>@itsjenn987 Please DM us and we’ll report residential space used as a business for you or you can file online: https://t.co/Vomo1xCAGb. 1/2</t>
  </si>
  <si>
    <t>@varud Sorry to hear. We tested a couple &amp;amp; they went through. Please try again. Make sure you have latest version 3.23 &amp;amp; update iOS.</t>
  </si>
  <si>
    <t>@EliGundry Sorry to hear. Call 911 to report reckless driving in progress. Report unsafe driver/phone use online: https://t.co/Xo1kD5VSiZ</t>
  </si>
  <si>
    <t>See a leaking/running hydrant? DM name, phone #, location &amp;amp; we’ll file for you weekdays 9AM-5PM. Or file online: https://t.co/KKJYSJeoP7</t>
  </si>
  <si>
    <t>@HildaBikes @NYCfilm @CM_MargaretChin You also can call us at 311 to report moviecrew problem to Mayor’s Office of Film,TV&amp;amp;Broadcasting. 2/2</t>
  </si>
  <si>
    <t>@HildaBikes @CM_MargaretChin If large shoot, NYPD officer onsite can assist. Or report illegal parking here: https://t.co/EMYJOu6Ith 1/2</t>
  </si>
  <si>
    <t>@justjentsai File feedback w/DOB (for construction complaint): https://t.co/78a6azIfiz   or DEP (noise) here: https://t.co/0ZudR4unRR.  2/2</t>
  </si>
  <si>
    <t>@justjentsai Status updates come from responding agency. Check SR status for agency notes: https://t.co/baflJHCxKL 1/2</t>
  </si>
  <si>
    <t>@K9great84 Check SR status on app for agency notes. You can send your concern to Police Commissioner w/online form: https://t.co/wAxD4pXP9N</t>
  </si>
  <si>
    <t>@leofox  Sorry to see this. Please DM us more info about the post so we can better assist and advise. Thank you.</t>
  </si>
  <si>
    <t>@NYC_DOT Thanks. @jmphotonyc @NYPD108Pct Please call us at 311 to report a City vehicle issue with a telephone representative. Thank you.</t>
  </si>
  <si>
    <t>Stay cool &amp;amp; healthy in the heat this summer with tips from @nycoem’s #BeattheHeat Guide: https://t.co/QDIq5ydtvc</t>
  </si>
  <si>
    <t>@LMNOPINK_13 Check SR status for agency notes: https://t.co/baflJHCxKL &amp;amp; send feedback to Police Commissioner here: https://t.co/wAxD4pXP9N</t>
  </si>
  <si>
    <t>@mtlong64 You also might want to contact your CB: https://t.co/cdf1vmkQp3   &amp;amp; local officials: https://t.co/RJydEOGqvZ  re: chronic issue.</t>
  </si>
  <si>
    <t>@subtle116 Call 911 to report a vendor causing hazard.If no immediate hazard report vendor in restricted area here: https://t.co/sSyxnxS6b0</t>
  </si>
  <si>
    <t>@nachelle771 Call 911 if there’s immediate danger. Report potential fire hazard to FDNY by calling 718-999-2541: https://t.co/UW5CsC4mtA</t>
  </si>
  <si>
    <t>@justjentsai We're sorry to hear that. You can report off-hours building construction online here: https://t.co/WB3l2lK3JZ</t>
  </si>
  <si>
    <t>@lesliehewitt_ Thanks for your link. You can send your concern to the TLC Commissioner using their online form: https://t.co/SZcmWMaTKN</t>
  </si>
  <si>
    <t>@LMNOPINK_13 Also you can report vehicle noise in progress: https://t.co/8p4eRpcJtP  &amp;amp; illegal parking: https://t.co/EMYJOu6Ith or App. 2/2</t>
  </si>
  <si>
    <t>@LMNOPINK_13 Sorry to hear this. In the future, you can report noise in progress from street online or w/App: https://t.co/7exptKOutG 1/2</t>
  </si>
  <si>
    <t>@mattleising We're sorry to hear that. You can report taxi driver refusing pickup online: https://t.co/Xo1kD5VSiZ. Choose "passenger" link.</t>
  </si>
  <si>
    <t>#NYC311 mobile app #YouTube videos show how easy it is to report issues right from your phone: https://t.co/fl7kda8HKD  Watch &amp;amp; subscribe!</t>
  </si>
  <si>
    <t>@NYCParks @stephemcneal Yes, please DM us and we'll report dead animals on the bike path for you.</t>
  </si>
  <si>
    <t>@avn1982 Thanks, we've received your DMs and will reply to them shortly.</t>
  </si>
  <si>
    <t>Solicita ayuda con @NYCDHS usando el 311 App para aquellos sin hogar y busca un centro de ayuda cerca: https://t.co/98pyOYgSJM</t>
  </si>
  <si>
    <t>@JulieLasson You can also find parking sign info for specific streets online here: https://t.co/aDiG98ZlSi. 2/2</t>
  </si>
  <si>
    <t>@JulieLasson Hi, we're not aware of any summer street parking restrictions. See parking regs &amp;amp; advisories here: https://t.co/ITPEUdMoVF. 1/2</t>
  </si>
  <si>
    <t>@matthewwolsky @NYC_DOT You can send your concern to the Police Commissioner directly using this online form: https://t.co/wAxD4pXP9N</t>
  </si>
  <si>
    <t>@Suered11 Please DM us and we'll file for you or if you prefer, you can report mosquito swarms online here: https://t.co/SrNMb2FE11</t>
  </si>
  <si>
    <t>@msr12789 If open for planned activities (as indicated),  even if students are not attending, restrictions remain: https://t.co/TtNqAR3DXB</t>
  </si>
  <si>
    <t>@NYC_DOT Thank you. @nycphotog Please DM us highway exit info and we'll report street light and sign for you.</t>
  </si>
  <si>
    <t>@msr12789 You can contact a school directly to verify that they are in recess: https://t.co/OGOixjJgYS. 2/2</t>
  </si>
  <si>
    <t>@msr12789 If school’s open for summer sessions, teacher meetings, or similar activities, parking restrictions remain in effect. 1/2</t>
  </si>
  <si>
    <t>@NYC_DOT Thanks. @DJLightningNYC Please DM &amp;amp;we'll file blocked street for you &amp;amp;or if you prefer you can file online: https://t.co/tXKRiC657X</t>
  </si>
  <si>
    <t>See a pothole? Report online: https://t.co/YnJ8TJxvvd  , w/App: https://t.co/4JDKq5BCFY  , DM us &amp;amp; Facebook: https://t.co/P0TX8alKze</t>
  </si>
  <si>
    <t>Are you apartment hunting in NYC? @NYCHousing offers tips &amp;amp; a checklist to use during your search: https://t.co/kpCMFbZ8Ac</t>
  </si>
  <si>
    <t>@Daniel_A_Solow @NYC_DOT @DRichards13 Please DM us if we can be of assistance, without 140 character limit.</t>
  </si>
  <si>
    <t>@avn1982 Please DM us your previous Service Request numbers so we can research &amp;amp; further advise. Thank you.</t>
  </si>
  <si>
    <t>@BigLope85 You can send your concern to Police Commissioner directly using this online form: https://t.co/wAxD4pGdLd</t>
  </si>
  <si>
    <t>@CASAbronx We're sorry to hear this. Please DM us more info so we can research &amp;amp; assist you without 140 character limit. Thank you.</t>
  </si>
  <si>
    <t>@mtlong64 We're sorry to hear that. You can report off-hours construction noise online here: https://t.co/eg2cudK02g</t>
  </si>
  <si>
    <t>@doublejnyc Please DM us &amp;amp; we'll file a rodent complaint for you. Or if you prefer, you can file w/app or online: https://t.co/Qi5yxNqERB</t>
  </si>
  <si>
    <t>@MJMoereno Please DM us &amp;amp; we'll report fallen tree for you, or if you prefer, you can report online/with 311 App: https://t.co/3SeXvXviWt</t>
  </si>
  <si>
    <t>@RealisMyName You can send the concern to the police dept here: https://t.co/wAxD4pXP9N &amp;amp; file a traffic trend here: https://t.co/BijO0Lp7ek</t>
  </si>
  <si>
    <t>NYC kids 18 years &amp;amp; under get free breakfast/lunch until Sept 2. No ID or registration required: https://t.co/7B6ZqPIcGB</t>
  </si>
  <si>
    <t>@NYC_DOT @ARMYANT1 Thanks for looping us in. Please DM us the location of the pedestrian signal and we'll file for you. Thank you.</t>
  </si>
  <si>
    <t>En #NYC siempre hay algo que hacer. Busque un evento cercano con el calendario de eventos de la ciudad: https://t.co/v4yO23sXr3</t>
  </si>
  <si>
    <t>Los inquilinos y propietarios tienen derechos y responsabilidades. Aprende más aquí con @NYCHousing: https://t.co/cwW6pM3bId</t>
  </si>
  <si>
    <t>NYC always has something to do. Find free &amp;amp; low-cost fun w/fairs, parades, &amp;amp; more on the Citywide Events Calendar: https://t.co/v4yO23bmzv</t>
  </si>
  <si>
    <t>@_Peter_O @nycHealthy Thanks for looping us in. If you like, DM location details (incl. email to rec'v confirmation) &amp;amp; we'll file for you.</t>
  </si>
  <si>
    <t>If you have assistive/medical devices you no longer need, consider donating them to people with disabilities: https://t.co/1EDuTxZJdm</t>
  </si>
  <si>
    <t>@katehinds @NYC_DOT Call 911 if there's immediate danger. If no immediate hazard, please Direct Message us &amp;amp; we'll file for you. Thank you.</t>
  </si>
  <si>
    <t>@NYC_DOT @iitskatiie @NYCSanitation Or you can report faded street sign online: https://t.co/fq85Ngnp7A, or w/App: https://t.co/FRAGoS7hV4</t>
  </si>
  <si>
    <t>@NYC_DOT @iitskatiie @NYCSanitation Thanks! Please Direct Message location (incl. email if you'd like confirmation) &amp;amp; we'll file for you.</t>
  </si>
  <si>
    <t>@lindsayishere You can report it as excessive storage material left in yard online https://t.co/dD7OwYvlF2 or DM us &amp;amp; we'll file for you.</t>
  </si>
  <si>
    <t>@smlyc DEP requires contact info for hydrant reports. Please DM your name &amp;amp; phone # if you'd like us to file for you. Thank you.</t>
  </si>
  <si>
    <t>@AnneBarschall NYC doesn't license. See complaint history &amp;amp;file specific psychic complaint w/ BetterBusinessBureau: https://t.co/Pig6wGqt4r</t>
  </si>
  <si>
    <t>@Hashtag10001 @NYCMayorsOffice Thanks for update. We're replying to your recent DM to advise next best steps (w/o character restriction).</t>
  </si>
  <si>
    <t>@AbusedTenant Please DM us location info &amp;amp; we'll file a pest control complaint for you. Or you can file online: https://t.co/Mdl4GE9C2q</t>
  </si>
  <si>
    <t>@dan_geiger If it’s building construction, you can report afterhours/without permit/against approved plans here: https://t.co/AUNhLu8D9z 3/3</t>
  </si>
  <si>
    <t>@dan_geiger Even if there's variance, you can report after-hours construction noise online here: https://t.co/eg2cudK02g 2/3</t>
  </si>
  <si>
    <t>@dan_geiger Construction is usually allowed 7A-6P You can check active street construction permits online here: https://t.co/Jr2qs6GeLF 1/3</t>
  </si>
  <si>
    <t>Discover NYC #NatureCenters' diverse landscapes, walking tours, &amp;amp; family-friendly fun with #UrbanRangers: https://t.co/rFAjY3HxGx</t>
  </si>
  <si>
    <t>@smlyc If still running, DM name/phone # &amp;amp; we’ll file for you. Or report online: https://t.co/KKJYSJeoP7 or w/App: https://t.co/FRAGoS7hV4</t>
  </si>
  <si>
    <t>@snarkyRedhd Sorry to hear that. Please call us at 311 to report food safety complaint at grocery store w/phone rep: https://t.co/ROqtdDYVnG</t>
  </si>
  <si>
    <t>No te olvide – niños de 18 años o menos pueden recibir desayuno y almuerzo #gratis. Más info de #SummerMeals: https://t.co/0Mg1JTGNzy</t>
  </si>
  <si>
    <t>@NYC_DOT @k_vanvoorhees @NYPD19Pct Thanks for looping us in.Please DM more details about detour signs &amp;amp; we'll further advise/assist.Thanks.</t>
  </si>
  <si>
    <t>Protect yourself &amp;amp; your money. Be aware of ATM #skimming &amp;amp; stay safe with these tips from @NYPDNews: https://t.co/erC0FBtpGH</t>
  </si>
  <si>
    <t>@ItsMeLaurie2130 Please DM &amp;amp; we'll file a standing water condition. Or you can report puddle on a roof online here: https://t.co/P8ds5OFrqR</t>
  </si>
  <si>
    <t>@bucci2028 Hi, you can get information about locations where you can donate them online here: https://t.co/8oJbch2glf</t>
  </si>
  <si>
    <t>@Riggs4Joanne @NYCParks We're sorry to hear this. Please call us at 311 to report absent lifeguards at a public beach with a phone rep.</t>
  </si>
  <si>
    <t>Traveling this year? Get info on applying, renewing, or checking the status of a passport application here: https://t.co/1Zqv857XQi</t>
  </si>
  <si>
    <t>@krisirisi If still low-pressure,report it: https://t.co/CuFFiFN8i8 You can send DEPCommissioner your concern here: https://t.co/0ZudR4unRR</t>
  </si>
  <si>
    <t>@HeyDrWilson @MTA Sorry to hear. You can file bus lateness complaint with the MTA directly with this online form: https://t.co/vcjTxfQdQA</t>
  </si>
  <si>
    <t>@gcruz216 Sorry to hear.Check SR status: https://t.co/baflJHCxKL You can send concern to policedept. w/online form: https://t.co/wAxD4pXP9N</t>
  </si>
  <si>
    <t>@Bob_Schiff Please provide more details so we can better understand this issue &amp;amp; advise. You can Direct Message us if you prefer. Thank you.</t>
  </si>
  <si>
    <t>@UDbmas You can get free confidential mediation assistance w/ NY Peace Institute for any conflict, incl noise: https://t.co/NE6tRGHlHe   3/3</t>
  </si>
  <si>
    <t>@UDbmas In future, if you prefer, you can report noise in progress from neighbor/street online or w/App: https://t.co/mBOxPqhbXC 2/3</t>
  </si>
  <si>
    <t>@UDbmas Phone reps &amp;amp; website are avail. 24/7/365. Call volume can result in some delays. Please note this acct. monitored Mon-Fri, 9A–5P 1/3</t>
  </si>
  <si>
    <t>@espersco @NYC_DOT @Coach Or you can report street pothole online here: https://t.co/YnJ8TJxvvd or w/ 311 app: https://t.co/FRAGoS7hV4 2/2</t>
  </si>
  <si>
    <t>@espersco @NYC_DOT Call 911 if immediate danger. If not emergency, DM &amp;amp; well file for you (include email address to receive confirmation 1/2</t>
  </si>
  <si>
    <t>@Samandphilsmom You can check spray schedule &amp;amp; info here: https://t.co/yiAacatiJB . Send concern to Health Dept: https://t.co/l98CaGYk9L</t>
  </si>
  <si>
    <t>#Free #SummerMeals for NYC kids ages 18 &amp;amp; under until September 2. Find locations/times online: https://t.co/7B6ZqPIcGB</t>
  </si>
  <si>
    <t>@NicksGarden @NYCParks Please DM &amp;amp; we'll file park maint. for you (incl. email if you like). Or file online, w/App: https://t.co/59317JLz4G</t>
  </si>
  <si>
    <t>@krisirisi If it was landlord shutoff, you can report to no water in entire building HPD: https://t.co/CuFFiFN8i8 2/2</t>
  </si>
  <si>
    <t>@krisirisi If it was a City shutoff, they usually end by 6 PM but can go later in some cases: https://t.co/HAFuw6ocUP 1/2</t>
  </si>
  <si>
    <t>@AlleyCat72711 Thanks for your posts. We're replying to your DM. Please note this acct. monitored Mon-Fri, 9AM–5PM (except City holidays).</t>
  </si>
  <si>
    <t>@Jeffurry312 Sorry to hear this. Please DM us &amp;amp; we’ll file as a dirty sidewalk, or you can report it online here: https://t.co/D2pz9Mbxq1</t>
  </si>
  <si>
    <t>@earlyelliott @NYCParks Please DM(incl. email to rec'v confirmation) &amp;amp;we'll report to Parks for you.Or file online: https://t.co/DJogXcUXhl</t>
  </si>
  <si>
    <t>@temashana ...or by calling 311. Phone reps avail. 24/7/365 Please note this acct. monitored Mon-Fri, 9AM – 5 PM (except City holidays). 2/2</t>
  </si>
  <si>
    <t>@temashana In future you can report illegal parking in-progress online: https://t.co/EMYJOu6Ith  or w/311 app: https://t.co/FRAGoS7hV4 1/2</t>
  </si>
  <si>
    <t>Get daily #NYCASP/@NYCSchools/@NYCSanitation garbage status &amp;amp; file many service request types with #NYC311 app: https://t.co/FRAGoSoSMC</t>
  </si>
  <si>
    <t>@Daniel_A_Solow @NYCParks @IDaneekMiller Or DM us (incl. email if you'd like to receive confirmation) and we'll file for you. Thanks.</t>
  </si>
  <si>
    <t>@Daniel_A_Solow @NYCParks Thanks for pic. You can request new st. tree online: https://t.co/JYsJh8NEhx or w/App: https://t.co/FRAGoS7hV4</t>
  </si>
  <si>
    <t>@guidojcruz Thanks for filing. If you like, you can check the status of your Service Request online here: https://t.co/fCVqD5gUNB</t>
  </si>
  <si>
    <t>@NickKarpPhotos Sorry to hear this. You can report a problem with a taxi cab driver online here: https://t.co/Xo1kD5VSiZ</t>
  </si>
  <si>
    <t>@doublejnyc You can also DM us &amp;amp; we'll file this as a park maintenance issue for you. Or file online or w/App: https://t.co/59317JLz4G  2/2</t>
  </si>
  <si>
    <t>@doublejnyc If still running, DM us your name &amp;amp; phone # &amp;amp; we’ll file for you. Or you can report it online here: https://t.co/KKJYSJeoP7 1/2</t>
  </si>
  <si>
    <t>@yulegonz If still running, DM us your name &amp;amp; phone # &amp;amp; we’ll file for you. Or you can report it online here: https://t.co/KKJYSJeoP7</t>
  </si>
  <si>
    <t>@krisirisi Please note this account monitored Mon-Fri, 9AM – 5 PM. We're happy to help here then. Phone reps are available 24/7/365 2/2</t>
  </si>
  <si>
    <t>@krisirisi Sorry to hear. If condition still exists DM &amp;amp; we’ll file no water or you can report online here: https://t.co/CuFFiFN8i8 1/2</t>
  </si>
  <si>
    <t>@SouthxSouthside @ConEdison Any time there's gas odor, leak or gas-related emergency, find a phone away from area &amp;amp; call 911 immediately</t>
  </si>
  <si>
    <t>Las piscinas públicas al aire libre están abiertas. Vea reglas: https://t.co/fIHAqZ6n6U , y busca una aquí: https://t.co/fQGCJrFBsa</t>
  </si>
  <si>
    <t>Camp in the Big Apple w/ @NYCParks &amp;amp; #UrbanRangers! Register for a lottery for #camping events through Sept. 14: https://t.co/K7CF4UuhzI</t>
  </si>
  <si>
    <t>.@NYCHealthy conducts mosquito spraying throughout the summer, weather permitting. Check the schedule here: https://t.co/WFEejaTocW</t>
  </si>
  <si>
    <t>Disfrute películas como #Frozen #Jaws y #BatmanvSuperman bajo las estrellas en @NYCParks. Ve la lista: https://t.co/3bezOgN7Ad</t>
  </si>
  <si>
    <t>This summer, enjoy NYC’s cultural institutions with @IDNYC. NYers get free memberships. Get more info here: https://t.co/RdtEg7J75C</t>
  </si>
  <si>
    <t>Enjoy blockbusters like #Frozen #Jaws &amp;amp; #BatmanvSuperman at @NYCParks #moviesunderthestars. See listings: https://t.co/BoLFIULPhs</t>
  </si>
  <si>
    <t>@blondemommy72 @NYC_DOT Thank you. We replied to your DM.</t>
  </si>
  <si>
    <t>@CaveJohnson_NYC @NYCDCA Thanks for your pic. DM us &amp;amp; we'll file store door open with A/C running or file online: https://t.co/YaeywpyRkq</t>
  </si>
  <si>
    <t>Disfrute mañana 8/20 de 7AM-1PM del último evento de @SummerStreets #gratuita. Más información aquí: https://t.co/mXUwmCCvah</t>
  </si>
  <si>
    <t>@ThePublicPom @NYCWater @Dromm25 We’re sorry to hear this. We are responding to your message via DM so there's no character restrictions.</t>
  </si>
  <si>
    <t>@blondemommy72 @NYC_DOT Thanks for pics. DM &amp;amp; we’ll file construction blocking st. for you, or you can file online: https://t.co/tXKRiC657X</t>
  </si>
  <si>
    <t>@RodentHour @NYCSanitation @NYPD88Pct @ftgfocus We're sorry to see that. Please DM us your SR number so we can research &amp;amp; advise. Thank you.</t>
  </si>
  <si>
    <t>#Cubert says: Don't miss last @SummerStreets  tmrw 8/20 7AM-1PM for #car-free fun: https://t.co/ib3y0ckCJL https://t.co/Ylz3BgEFBR</t>
  </si>
  <si>
    <t>@Jo_Djon @DrGeorgeLAskew @nycHealthy Thanks for pic. DM name/phone# address &amp;amp; we'll file for you or report online: https://t.co/CuFFiFN8i8</t>
  </si>
  <si>
    <t>@Mike_Bonnici See City parking regulations: https://t.co/ITPEUdMoVF and street parking signs locator &amp;amp; map: https://t.co/aDiG98ZlSi 2/2</t>
  </si>
  <si>
    <t>@Mike_Bonnici Unless posted sign says otherwise,may not park vehicle in same spot for more than 7 days in a row: https://t.co/CdU65aWvgM 1/2</t>
  </si>
  <si>
    <t>@tonydeyo Thanks for pic. Please DM location details &amp;amp; we'll file park maintenance for you. Or file online or w/App: https://t.co/59317JLz4G</t>
  </si>
  <si>
    <t>Giddyap NYC! Enjoy @NYCParks' horseback riding trails. Get details on the costs &amp;amp; hours of lessons &amp;amp; rides here: https://t.co/xlI0ZKTh1I</t>
  </si>
  <si>
    <t>Hoy, el 8/19 es el último día para poder regístrese a votar en la elección primaria del 9/13: https://t.co/nPTLkZmC9d #NYCVotes</t>
  </si>
  <si>
    <t>@steve_ohh @nyctaxi Report blocked bike lane in progress as illegal parking -"Double Parked" w/311 app or online: https://t.co/EMYJOu6Ith</t>
  </si>
  <si>
    <t>@tpcountertenor If the hydrant is often opened illegally, you can request it be fitted with a lock here: https://t.co/v1zMqU5WKJ 2/2</t>
  </si>
  <si>
    <t>@tpcountertenor Thanks. If it's still running, DM your name, phone &amp;amp; any SR #s &amp;amp; we’ll re-file running hydrant for you. 1/2</t>
  </si>
  <si>
    <t>@BlackShiite We're sorry to hear this. You can report a problem with a car service to the TLC online here: https://t.co/Xs3w4NP9tm</t>
  </si>
  <si>
    <t>@jmphotonyc If SR not auto-refreshing, status should update when you clickthrough. Please DM #s &amp;amp; we'll research &amp;amp; further advise. Thanks.</t>
  </si>
  <si>
    <t>Today is the last day to register to #vote in  9/13 NY #primaryelection: https://t.co/fcGGyjoAzd Sign up: https://t.co/nPTLkZmC9d</t>
  </si>
  <si>
    <t>@s_nish Glad all's OK. If you like, DM &amp;amp; we'll report fallen tree for you, or you can report online/with 311 App: https://t.co/3SeXvXviWt</t>
  </si>
  <si>
    <t>@farheenmmalik If not virtual, report them online: https://t.co/Qi5yxNqERB or w/App: https://t.co/FRAGoS7hV4 or DM &amp;amp; we'll file for you.</t>
  </si>
  <si>
    <t>@K9great84 If it's still there, report illegal parking in-progress online: https://t.co/EMYJOu6Ith  or w/311 app: https://t.co/FRAGoS7hV4</t>
  </si>
  <si>
    <t>@tigztalks We understand your frustration. Please DM us more info so we can research &amp;amp; assist you without 140 character limit. Thank you.</t>
  </si>
  <si>
    <t>@sparklenaloha We only have scheduled spray info listed there. Please use this online form to inquire with Health https://t.co/l98CaGYk9L</t>
  </si>
  <si>
    <t>@LMNOPINK_13 Hi, thanks for asking. You can call the Parent Helpline at 800-244-5373 to get referrals for local parenting classes.</t>
  </si>
  <si>
    <t>@AnodyneCode Thanks for your messages. We're looking into this &amp;amp; we'll reply to your Direct Message.</t>
  </si>
  <si>
    <t>Mañana 8/19 es el último día para poder regístrese a votar en la elección primaria del 9/13 en #NY: https://t.co/qS3Zfk9cfN #NYCVotes</t>
  </si>
  <si>
    <t>Tomorrow 8/19 is the last day to register to vote in the Sept.13 NY primary election. Learn more &amp;amp; register: https://t.co/nPTLkZmC9d</t>
  </si>
  <si>
    <t>MT @NYCDCA @NYPD13Pct: Gov't (#IRS #FBI #NYPD) &amp;amp; utility co. will NOT call for itunes gift cards. It's a #scam https://t.co/owrwdVA1jK</t>
  </si>
  <si>
    <t>@ismat Sorry to see this. You can check Service Request status online here: https://t.co/baflJHCxKL. DM if we can further assist. Thanks.</t>
  </si>
  <si>
    <t>@black_mambah If you know hive location, DM details (incl. email if you’d like confirmation) &amp;amp; we’ll file Park Maintenance for you. Thanks.</t>
  </si>
  <si>
    <t>Do you love #fireworks? Check out the majestic #ConeyIsland displays happening 
every Fri until 9/16. See schedule: https://t.co/oyhtAdRTy7</t>
  </si>
  <si>
    <t>@cwheelyams @FedEx Sorry to hear. Always call 911 to report reckless driving in progress: https://t.co/EpExbD6duH</t>
  </si>
  <si>
    <t>@heysarahsweeney Sorry to hear. In future, file vehicle noise: https://t.co/8p4eRpcJtP. Send concern to Health Dept: https://t.co/l98CaGYk9L</t>
  </si>
  <si>
    <t>@sparklenaloha  You can check spray schedule &amp;amp; info here: https://t.co/yiAacatiJB. Send concern to Health Dept: https://t.co/l98CaGYk9L</t>
  </si>
  <si>
    <t>@mimisooner We understand and sorry to hear this. Please DM us so we can re-file this agency feedback form &amp;amp; provide you with more info</t>
  </si>
  <si>
    <t>@NYC_DOT @MadCyclistNYC Thanks for looping us in  Please DM &amp;amp;we'll file pothole SR for you. Incl. email if you'd like to rec'v confirmation.</t>
  </si>
  <si>
    <t>@davidallyn Please DM us more location details &amp;amp; we'll re-file this graffiti issue or you can re-file online here: https://t.co/KtDptASAiN</t>
  </si>
  <si>
    <t>@Georgem51433322 Thanks for your photo. You can report unsanitary food handling conditions in a restaurant here: https://t.co/fDPD3HGNGG</t>
  </si>
  <si>
    <t>@NYC_DOT @candimack Thanks for looping us in. Pls DM &amp;amp;we'll file/refile for you. Incl.any SR #s  &amp;amp;email if you'd like to rec'v confirmation.</t>
  </si>
  <si>
    <t>@FaithHelennn Please Direct Message us more information so we can assist you without 140 character limit. Thank you.</t>
  </si>
  <si>
    <t>@amgon13 If in subway/Transit District area, It's a call to 911: https://t.co/ECVmfGOvMI. If you like, submit suggestion on App’s main menu</t>
  </si>
  <si>
    <t>#Free #SummerMeals for NYC kids ages 18 &amp;amp; under until September 2. Find locations/times: https://t.co/7B6ZqPIcGB https://t.co/W2NBWOnpzS</t>
  </si>
  <si>
    <t>@Rudds07 @NYC_DOT @NYCWater Please DM &amp;amp; we'll file street blocked by construction for you. Or you can file online: https://t.co/tXKRiC657X</t>
  </si>
  <si>
    <t>La elección primaria casi está aquí. Conviértete en un trabajador electoral y gana $200 por el día. Más aquí: https://t.co/HjDgTX6di4</t>
  </si>
  <si>
    <t>@alternahealthgl Please DM us &amp;amp; we'll file this for you. If you would like an email confirmation, please include email address. Thank you.</t>
  </si>
  <si>
    <t>@HeyItsMurad @nycoem @NYCBuildings Hi, thanks for your photo. You can report dust from demolition online here: https://t.co/zOvvfCwJdf</t>
  </si>
  <si>
    <t>@fillesdeharriet An outreach team visits the person to encourage them accept shelter services: https://t.co/ECVmfGOvMI</t>
  </si>
  <si>
    <t>@TenantNet We're sorry to hear this. Please DM us more info so we can assist you without 140 character limit. Thank you.</t>
  </si>
  <si>
    <t>@jdjs  We're sorry to hear that. DM us and we'll file for you. Or you can report garbage stored incorrectly online: https://t.co/C2xc7C99Zx</t>
  </si>
  <si>
    <t>@dgic26 @NYPD110Pct @Dromm25 Please DM us for further assistance without 140 character limit. Thank you.</t>
  </si>
  <si>
    <t>@ThePublicPom @NYCWater Sorry to hear. If no status update, send your concern to Commissioner online here: https://t.co/0ZudR4unRR</t>
  </si>
  <si>
    <t>.@NYCHousing has tips &amp;amp; info about becoming a homeowner in NYC. See listed homes, down payment assistance, &amp;amp; more: https://t.co/MQhqlIwcmd</t>
  </si>
  <si>
    <t>Take an NYC #staycation! Kayaking, horseback riding, &amp;amp; hiking are some of many @NYCParks activities available: https://t.co/YaBrv4CMmg</t>
  </si>
  <si>
    <t>@pleeyomi Thanks for pic. You can report illegal parking in-progress online: https://t.co/EMYJOu6Ith or w/311 app: https://t.co/FRAGoS7hV4</t>
  </si>
  <si>
    <t>@The_Real_Vieve Thanks for filing. You can check your the status of your Service Request online here: https://t.co/fCVqD5gUNB</t>
  </si>
  <si>
    <t>@dgic26 @NYPD110Pct @Dromm25 Call 911 for outdoor drug use in-progress: https://t.co/g1G1ZofRMj  &amp;amp;criminal mischief: https://t.co/j0wez7ukN4</t>
  </si>
  <si>
    <t>@efyoutwo You can report a vehicle blocking sidewalk as illegal parking in progress with 311 app or online: https://t.co/EMYJOu6Ith</t>
  </si>
  <si>
    <t>@OcoBri Please DM us &amp;amp; we'll file for you. Or you can report an abandoned bicycle chained to public property online: https://t.co/COdXpihv5M</t>
  </si>
  <si>
    <t>@HenryLeoT You can contact your DOT Borough Commissioner by phone or email for more assistance: https://t.co/0vu0LvtCWw</t>
  </si>
  <si>
    <t>Don't forget to "like" us on #Facebook &amp;amp; keep up with NYC non-emergency services &amp;amp; info: https://t.co/OJr7wXyWkp #NYC311</t>
  </si>
  <si>
    <t>@htomborr @NYC_DOT Please DM us &amp;amp; well file for you. Or report street pothole here: https://t.co/YnJ8TJxvvd or app: https://t.co/4JDKq5BCFY</t>
  </si>
  <si>
    <t>@mimisooner Please call us at 311 to file a complaint about a City worker or submit agency feedback w/ NYPD here: https://t.co/HxRXvi4w7K</t>
  </si>
  <si>
    <t>@BrandonWC @D00RZ0NE @NYC_DOT  Please DM &amp;amp; we'll file for you. Or you can report missing st. sign online or w/App: https://t.co/fq85Ngnp7A</t>
  </si>
  <si>
    <t>@subtle116 @heysarahsweeney Thanks! Check your SR status: https://t.co/baflJHCxKL. See spraycap &amp;amp; lock info here: https://t.co/v1zMqU5WKJ</t>
  </si>
  <si>
    <t>The primary election is around the corner. Become a poll worker and earn $200+ for a day’s work. Get more info here: https://t.co/4w3L1zqPGD</t>
  </si>
  <si>
    <t>@GothamBikeTours Thanks for update. Our recommended next steps will take more than 140 characters. We’ll reply to your most recent DM.</t>
  </si>
  <si>
    <t>If you see a homeless person in need, you can use the free #NYC311 app to request homeless outreach assistance: https://t.co/FRAGoS7hV4</t>
  </si>
  <si>
    <t>@NYC_DOT @bikelaneblitz Yes, please Direct Message location &amp;amp; we'll file for you. Incl. email if you'd like to rec'v confirmation. Thanks.</t>
  </si>
  <si>
    <t>@ragsb Hi, pls Direct Message us (incl. email &amp;amp; you can rec'v confirmation) &amp;amp; we’ll file &amp;amp; send you SR#: https://t.co/ELDzVJQlmW. Thanks.</t>
  </si>
  <si>
    <t>@The_Real_Vieve @FDNY Hi DM your name&amp;amp;phone # &amp;amp; we'll file open hydrant for you, or you can file online: https://t.co/KKJYSJeoP7. thanks.</t>
  </si>
  <si>
    <t>Follow, like &amp;amp; subscribe to #NYC311 on https://t.co/OJr7wXyWkp, https://t.co/fwpVfzy6Xe &amp;amp; https://t.co/HIBeGKLCav https://t.co/5IQaqGVgfn</t>
  </si>
  <si>
    <t>@youngerpants Thanks for pic.We don't have info re: that specific closure. SSCard Ctr&amp;amp; office closings  info here: https://t.co/VbAfYYeGVi</t>
  </si>
  <si>
    <t>NYC children 18 &amp;amp; under don’t have to attend @NYCSchools to receive #free #SummerMeals: https://t.co/7B6ZqPIcGB https://t.co/c2EZiEdkuh</t>
  </si>
  <si>
    <t>@denasl We're sorry to hear this. Please report this to MTA directly online here: https://t.co/vcjTxfQdQA  or you can call them at 511.</t>
  </si>
  <si>
    <t>@bhoggard We're sorry to hear. If no immediate danger (that'd be 911) &amp;amp; still exists DM &amp;amp; we'll file chemical odor: https://t.co/3qHBuhbqDe</t>
  </si>
  <si>
    <t>@The_Real_Vieve If still running, DM name &amp;amp; phone # &amp;amp; we’ll file for you. Or you can file online here: https://t.co/KKJYSJeoP7 Thanks.</t>
  </si>
  <si>
    <t>@yi_tweets Please call us at 311 to provide non-emergency tips about illegal drug use w/phone rep: https://t.co/g1G1ZofRMj Thank you.</t>
  </si>
  <si>
    <t>@mobrobscene  Hi, thanks for pic. DM &amp;amp; we'll file chain store door open w/ A/C on. Or you can file online here: https://t.co/YaeywpyRkq</t>
  </si>
  <si>
    <t>@newstruthliz Thanks for clarifying. We don't have any info re: 'mandatory energy curtailment.' Please DM if we can further assist. Thanks.</t>
  </si>
  <si>
    <t>@jeisohn_jay @NYC_DOT @NotifyNYC Thanks for your posts &amp;amp; photos. Please Direct Message us &amp;amp; we'll file standing water condition for you.</t>
  </si>
  <si>
    <t>ASP/Trash Collection/Service Requests in the palm of your hand. Tell a Friend to download the free NYC311 App: https://t.co/FRAGoS7hV4</t>
  </si>
  <si>
    <t>Take care in this heat. Find cooling ctr online: https://t.co/FahxGELmLh    or text 311-692. Call ahead for hours. https://t.co/YCcjq4RJHF</t>
  </si>
  <si>
    <t>Hoy martes, 16 de agosto es el último día de clases de verano para @NYCSchools estudiantes de secundaria: https://t.co/Gmr6BlptC7</t>
  </si>
  <si>
    <t>Today Tuesday, August 16 is the last day of summer school for @NYCSchools high school students: https://t.co/Gmr6BlptC7</t>
  </si>
  <si>
    <t>@GothamBikeTours You can check Service Request status using SR Lookup online here: https://t.co/baflJHCxKL</t>
  </si>
  <si>
    <t>@Chreg @NYCFinance @NYCASP @CBSNews @NY1 Thanks for your pic. You can find info for disputing parking ticket here: https://t.co/zd1WY1ivHM</t>
  </si>
  <si>
    <t>@leaningoutnyc @FDNY Hi, you can report a running fire hydrant online: https://t.co/KKJYSJeoP7 or DM us name/phone# &amp;amp; we'll file for you.</t>
  </si>
  <si>
    <t>ATENCION: mañana, martes 8/16 es el último día de clases de verano para @NYCSchools estudiantes de secundaria: https://t.co/Gmr6BlptC7</t>
  </si>
  <si>
    <t>@EH_Preservation @MMViverito @NYC_DOT @NYCHA Please Direct Message any SR#s. We'll research &amp;amp; refile pothole &amp;amp;/or sidewalk for you. Thanks.</t>
  </si>
  <si>
    <t>@NYC_DOT @jax4477 @DarlaMiles7 @NYPD33Pct @NYPD34Pct Thanks for mention.DM &amp;amp;we'll file resurface req. Or file here: https://t.co/YnJ8TJxvvd</t>
  </si>
  <si>
    <t>Reminder: @NYCSchools summer school for high school students ends tomorrow, Tuesday, August 16: https://t.co/Gmr6BlptC7</t>
  </si>
  <si>
    <t>@heyange You can also report animal cruelty online here: https://t.co/6ctRTQfIR2</t>
  </si>
  <si>
    <t>@NYCSanitation @AndyMcnellis Hi, thanks for looping us in. If you like, send us Direct Message &amp;amp; we'll file this dumpster complaint for you.</t>
  </si>
  <si>
    <t>@NYCParks @beckermania1 Hi, yes, please Direct Message us &amp;amp; we'll file park maintenance for you, or file w/311 app: https://t.co/FRAGoS7hV4</t>
  </si>
  <si>
    <t>@MikeWReilly @NYCWater Hi, we don't currently have info. DM name/address/phone &amp;amp; we'll file for you. Or file online: https://t.co/CuFFiFN8i8</t>
  </si>
  <si>
    <t>@ThePublicPom @NYC_DOT @NYCMayorsOffice @NYCWater   Thanks for your posts. We'll reply to your Direct Message.</t>
  </si>
  <si>
    <t>@dianarchin We're not sure. Please contact local police precinct for info about temporary no parking signs: https://t.co/acqxS6oVE8</t>
  </si>
  <si>
    <t>@RainbowThyme Sorry to hear. Please DM us &amp;amp; we'll file for you. Or you can report damaged phonebooth online here: https://t.co/d4R5k4G4Zg</t>
  </si>
  <si>
    <t>@ChristweetferB In the future, please call 911 to report the use of hoverboards. See more info: https://t.co/CL1rmYFRkH</t>
  </si>
  <si>
    <t>@ItsMeKellieB If still running, DM us your name &amp;amp; phone # &amp;amp; we’ll file for you. Or you can report it online here: https://t.co/KKJYSJeoP7</t>
  </si>
  <si>
    <t>@newstruthliz You can find more information about the Community Retrofit NYC program online here: https://t.co/VtZeq5N6OZ</t>
  </si>
  <si>
    <t>@ChristweetferB If a hydrant is often opened illegally, you can request it be fitted with a lock here: https://t.co/v1zMqU5WKJ  2/2</t>
  </si>
  <si>
    <t>@ChristweetferB Thanks for posts. If still running, DM your name/ phone # &amp;amp; we’ll file. Or you can report it online: https://t.co/KKJYSJeoP7</t>
  </si>
  <si>
    <t>@ChristweetferB Please Direct Message us if you'd like us to file. If you'd like email confirmation, please incl. email address. Thank you.</t>
  </si>
  <si>
    <t>Get to know the #NYC311 family better on our #YouTube channel: https://t.co/HIBeGKLCav. Make sure to watch, like, share &amp;amp; subscribe!</t>
  </si>
  <si>
    <t>@AriAitch  You can file a complaint/report a problem at a NYC branch library online here: https://t.co/aKECEVeDcC</t>
  </si>
  <si>
    <t>@Fancy_Frances Sorry to hear. If you haven't yet, you can report lost item in yellow taxi online or w/311 App: https://t.co/jBKVSaj5g5</t>
  </si>
  <si>
    <t>@avishr Thanks. If it's still running, DM us your name &amp;amp; phone # &amp;amp; we’ll file for you. Or you can file online here: https://t.co/KKJYSJeoP7</t>
  </si>
  <si>
    <t>@newstruthliz Please Direct Message us details so we can further assist you without 140-character limit. Thank you.</t>
  </si>
  <si>
    <t>@RDNHL Commercial vehicles may not park overnight in residential areas. When in progress, report online or w/App: https://t.co/EMYJOu6Ith</t>
  </si>
  <si>
    <t>@AskWass In future, report blocked bike lane in progress as illegal parking -"Double Parked" w/311 app or online: https://t.co/EMYJOu6Ith</t>
  </si>
  <si>
    <t>@dandy__land We're sorry to hear this. You can file a complaint with the Better Business Bureau online here: https://t.co/mH4cTfFDJ3</t>
  </si>
  <si>
    <t>@Stryker1781 If you like, you can send your suggestion directly to the MTA using their online form: https://t.co/vcjTxfQdQA</t>
  </si>
  <si>
    <t>@NikHaHa If it's still running, DM us your name &amp;amp; phone # &amp;amp; we’ll file for you. Or you can file online here: https://t.co/KKJYSJeoP7</t>
  </si>
  <si>
    <t>@NYC_DOT @Chris_Doucette @MMViverito Thanks for looping us in. We filed this street sign condition for you. Please DM us if you'd like SR #.</t>
  </si>
  <si>
    <t>NYC kids 18&amp;amp;under get free breakfast &amp;amp; lunch w/#SummerMeals. No ID or registration required. Find a site near you: https://t.co/7B6ZqPIcGB</t>
  </si>
  <si>
    <t>@pinocastellano Sorry to hear. Please DM &amp;amp; we'll file park maintenance for you. Or you can file online or w/App: https://t.co/59317JLz4G</t>
  </si>
  <si>
    <t>@swingstreet133 @NYCParks @TreesNewYork Thanks for pics. DM &amp;amp; we'll file. Or request damaged/unhealthy tree removal: https://t.co/4kgFWaKdKt</t>
  </si>
  <si>
    <t>@Foodie_traveler We're sorry to see that. In future, you can report Illegal parking in-progress online or w/App: https://t.co/EMYJOu6Ith</t>
  </si>
  <si>
    <t>Cooling centers open today. Find one online: https://t.co/FahxGELmLh  or text 311-692. Call ahead to confirm hours. https://t.co/umS5BAyPGg</t>
  </si>
  <si>
    <t>#NYCASP está suspendida hoy lunes 8/15 para la fiesta de asunción. Parquímetros están vigentes:https://t.co/D9WkiUoVG7</t>
  </si>
  <si>
    <t>#NYCASP is suspended today Mon. 8/15 for Feast of the Assumption. Meters are in effect. Get the 311 mobile app: https://t.co/FRAGoS7hV4</t>
  </si>
  <si>
    <t>#NYCASP está suspendida mañana lunes 8/15 para la fiesta de suposición. Parquímetros estarán vigentes: https://t.co/D9WkiUoVG7</t>
  </si>
  <si>
    <t>#NYCASP suspended tmrw Mon. 8/15 for Feast of the Assumption. Meters in effect. Get 311 app for daily updates: https://t.co/FRAGoS7hV4</t>
  </si>
  <si>
    <t>There are more than 1,300 #OpenData sets from NYC agencies available for download: https://t.co/KukKqv9HNg</t>
  </si>
  <si>
    <t>Download @NYC_DOT’s 2016 Bike Map for #cyclist rights/responsibilities &amp;amp; info about pathway restrictions: https://t.co/Fe1Ew1OBdC</t>
  </si>
  <si>
    <t>If you need heat relief #CoolingCenters are open. Find online: https://t.co/FahxGELmLh   or text 311-692. Call ahead to confirm hours.</t>
  </si>
  <si>
    <t>Asegúrate que estas registrado para votar en la elección primaria en 9/13. Y si no, registrar antes 8/19: https://t.co/qS3Zfk9cfN</t>
  </si>
  <si>
    <t>The Morningside Park Green Gym Fitness Map &amp;amp; Guide is a superb resource for using  park features as an outdoor gym: https://t.co/qMdrTrQ4IL</t>
  </si>
  <si>
    <t>#NYCASP is suspended on Mon. August 15 for the Feast of the Assumption. Follow @NYCASP &amp;amp; download 311 app: https://t.co/FRAGoS7hV4</t>
  </si>
  <si>
    <t>You know your favorite restaurant, but do you know their letter grade? Check it out w/@NYCHealthy: https://t.co/GPIsUMgGU6</t>
  </si>
  <si>
    <t>Request homeless outreach assistance w/App: https://t.co/ECVmfGOvMI or call 311. Call 911 if someone needs immediate medical attention.</t>
  </si>
  <si>
    <t>#CoolingCenters are open. Find one near you: https://t.co/FahxGELmLh    or text 311-692. Be sure to call ahead. #BeatTheHeat</t>
  </si>
  <si>
    <t>Excessive Heat Warning until 10PM 8/14. Cooling Centers: https://t.co/FahxGELmLh or text 311-692. #BeatTheHeat tips: https://t.co/JVT4X7ed2V</t>
  </si>
  <si>
    <t>RT @NYCParks: Outdoor pool hours are extended to 8pm tonight! #BeatTheHeat: find a free outdoor pool: https://t.co/TyPEj6X6m6 https://t.co/…</t>
  </si>
  <si>
    <t>@Genuine_Mum18 @FDNY Please DM us and we'll re-file for you.</t>
  </si>
  <si>
    <t>¿Se ha perdido @SummerStreets?!No te preocupes! Disfrute actividades gratuitas de salud y cultura mañana 8/13:https://t.co/mXUwmCCvah</t>
  </si>
  <si>
    <t>@NYC_DOT @jpmasullo @BilldeBlasio Please DM us and we'll file for you and send your Service Request number. Thank you.</t>
  </si>
  <si>
    <t>@rfritzw You can send your concern to police dept. online here: https://t.co/wAxD4pXP9N. Find ticket dispute info: https://t.co/zd1WY1ivHM</t>
  </si>
  <si>
    <t>@msr12789 Hi, you can view and order recycling stickers, signs, brochures, flyers and packets online here: https://t.co/GdOJt9sLcH</t>
  </si>
  <si>
    <t>Make sure you’re registered to vote in the 9/13 primary election: https://t.co/fcGGyjoAzd Sign up before 8/19: https://t.co/nPTLkZmC9d</t>
  </si>
  <si>
    <t>@Year3978 Call 911 if immediate danger to life/property. Please call us at 311 to report unsafe bldg. construction: https://t.co/WB3l2lK3JZ</t>
  </si>
  <si>
    <t>@The_Last_View You can send question to the MTA directly, online here: https://t.co/vcjTxfQdQA</t>
  </si>
  <si>
    <t>@InfoEd We're sorry to hear that. Call 911 to report harassment or aggressive solicitation: https://t.co/dJsRMQyTB1</t>
  </si>
  <si>
    <t>Don’t miss it! Registration in the lottery for @NYCParks #free Learn to Swim ends Monday 8/15. Get more info here: https://t.co/pjocwjVljd</t>
  </si>
  <si>
    <t>@efyoutwo Report illegal parking in-progress w/app or online: https://t.co/EMYJOu6Ith. Report trash to MTA here: https://t.co/vcjTxfQdQA</t>
  </si>
  <si>
    <t>@NYCHousing @UHHUHTHATSME11 Hi, thanks for looping us in. Please DM us more details so we can research and advise. Thank you.</t>
  </si>
  <si>
    <t>@NYC_DOT @SpecificObject DM &amp;amp; we'll file line marking request for you. Report illegal parking in progress online: https://t.co/EMYJOu6Ith</t>
  </si>
  <si>
    <t>Download the #free #NYC311 app today &amp;amp; you can file 20+ service requests right from your phone: https://t.co/FRAGoS7hV4</t>
  </si>
  <si>
    <t>@msr12789 Please DM us your Service Request numbers so we can research &amp;amp; further advise. Thank you.</t>
  </si>
  <si>
    <t>@a1exus Thanks for posts. You can report an abandoned vehicle w/plates online:  https://t.co/GPMFZlN1zl or w/app: https://t.co/FRAGoS7hV4</t>
  </si>
  <si>
    <t>@amgon13 @NYC_DOT Please DM us so we can further assist without 140 character limit. Thank you.</t>
  </si>
  <si>
    <t>@PhilipAShane Please Direct Message us more details about the bright lights, so we can further assist. Thank you.</t>
  </si>
  <si>
    <t>@MayaCiarrocchi Please DM us we'll file for you. Or you can report a street sign defect with app or online: https://t.co/fq85Ngnp7A</t>
  </si>
  <si>
    <t>Enjoy food, music, history, culture tmrw 8/13 11AM-4PM in #LowerManhattan at @NYC_DOT’s  #SharedStreets: https://t.co/ib3y0ckCJL</t>
  </si>
  <si>
    <t>@KristyCates We're sorry to hear this. You can file a complaint with MTA directly online here: https://t.co/vcjTxfyCs0 or call them at 511.</t>
  </si>
  <si>
    <t>@Leentje_7 You can also report animal cruelty online here: https://t.co/6ctRTPY7ss</t>
  </si>
  <si>
    <t>@thecricketnyc @NYCSanitation @ydanis Thanks for the photo. Please DM us and we'll file this standing water condition for you.</t>
  </si>
  <si>
    <t>RT @nycoem: Cooling centers will be open with extended hours Friday-Sunday. For locations, visit https://t.co/1YlBqQIwK3 or call @nyc311. #…</t>
  </si>
  <si>
    <t>RT @NotifyNYC: #BeatTheHeat Heat Advisory until 8AM, 8/13 &amp;amp;  Excessive Heat Watch 8AM 8/13-10PM 8/14. Cooling centers open. https://t.co/EF…</t>
  </si>
  <si>
    <t>@Capa6echo Thanks for letting us know and for reporting!</t>
  </si>
  <si>
    <t>@wrenwainwright We're sorry to hear that. DM name, phone #, &amp;amp;address and we'll file for you. Or you can file online: https://t.co/CuFFiFN8i8</t>
  </si>
  <si>
    <t>@Capa6echo Sorry to hear you had trouble. Please DM us your name and phone number and we'll file for you.</t>
  </si>
  <si>
    <t>@NYC_DOT @ProofingHulk Thanks for looping us in. Please DM us and we'll file for you and send Service Request number.</t>
  </si>
  <si>
    <t>Request homeless outreach assistance w/App: https://t.co/ECVmfGOvMI      or call 311. Call 911 if someone needs immediate medical attention.</t>
  </si>
  <si>
    <t>@NYC_DOT @not42233 You can submit your concern to the police dept. using their online form here: https://t.co/wAxD4pXP9N. 2/2</t>
  </si>
  <si>
    <t>@NYC_DOT @not42233 Report commercial trucks parked overnight in progress as illegal parking w/app or online: https://t.co/EMYJOu6Ith. 1/2</t>
  </si>
  <si>
    <t>@NYC_DOT @johnnymace Thanks for looping us in. Please DM us and include your original SR number and we'll re-file this cave-in for you.</t>
  </si>
  <si>
    <t>@MYKL3000 Request homeless outreach assist. w/311 app: https://t.co/ECVmfGOvMI    or call us at 311. Call 911 if medical attention req'd.</t>
  </si>
  <si>
    <t>.@IDNYC = open door to City services programs &amp;amp; benefits for all NYers: https://t.co/RdtEg7J75C  #IAMNYC #YOSOYNYC https://t.co/fnI4jVouG6</t>
  </si>
  <si>
    <t>#CoolingCenters open today until 8PM. Find one near you: https://t.co/FahxGELmLh   or text 311-692. Be sure to call ahead. #BeatTheHeat</t>
  </si>
  <si>
    <t>Missed @SummerStreets? Well it's back! Enjoy #free health, fitness &amp;amp; cultural activities again Sat. August 13: https://t.co/ib3y0ckCJL</t>
  </si>
  <si>
    <t>@CRAZEDMETS You can also report animal cruelty online here: https://t.co/6ctRTQfIR2</t>
  </si>
  <si>
    <t>Kids 18&amp;amp;under get free breakfast/lunch thru. 9/2 #SummerMeals. No registration or ID req'd: https://t.co/7B6ZqPIcGB https://t.co/x325Es9q1I</t>
  </si>
  <si>
    <t>Some clinics offer confidential birth control services, regardless of immigration status. Find a location: https://t.co/g5ReepE4k8</t>
  </si>
  <si>
    <t>@DECCELERATOR Hi thanks for your messages. We replied to your DM.</t>
  </si>
  <si>
    <t>@ydanis @nyctaxi @macartney In the future, call 911 to report reckless driving in progress: https://t.co/EpExbD6duH. 2/2</t>
  </si>
  <si>
    <t>@ydanis @nyctaxi @macartney  We’re sorry to hear that. You can report an unsafe/reckless taxi driver online: https://t.co/Xo1kD5VSiZ. 1/2</t>
  </si>
  <si>
    <t>@onatimeout Thanks for your messages. We are replying to your DM.</t>
  </si>
  <si>
    <t>@Mollahasani Please DM us and we'll file this as a cave-in for you. Or if you prefer, you can file online here: https://t.co/YnJ8TJxvvd</t>
  </si>
  <si>
    <t>@KimS6574 Status comes from responding https://t.co/P0msEGFZLi can submit your concern to police dept. online here: https://t.co/wAxD4pXP9N</t>
  </si>
  <si>
    <t>@matthewwolsky It may take up to 24 hrs for SR to appear in https://t.co/GBpy1HXvGm can check your SR status here: https://t.co/baflJHCxKL</t>
  </si>
  <si>
    <t>The #NYC311 App is so easy to use. Now you can tell a friend about it right from the App: https://t.co/FRAGoS7hV4 https://t.co/UgGJXjqqmI</t>
  </si>
  <si>
    <t>@monsieurbecker Thanks for the photo. Please DM us we'll file as park maintenance for you. Or you can file online: https://t.co/59317JLz4G</t>
  </si>
  <si>
    <t>If you need heat relief, Cooling Centers are open today. Find online: https://t.co/FahxGELmLh  or text 311-692. Call ahead to confirm hours.</t>
  </si>
  <si>
    <t>Hoy jueves 8/11 es el último día de clases de verano para estudiantes de primaria e intermedia en @NYCSchools: https://t.co/rMYR2vgLLN</t>
  </si>
  <si>
    <t>Today Thu. 8/11 is the last day of summer school for @NYCSchools elementary and middle schools students: https://t.co/Gmr6BlptC7</t>
  </si>
  <si>
    <t>ATENCION: mañana 8/11 es el último día de clases de verano para estudiantes de primaria/intermedia en @NYCSchools: https://t.co/rMYR2vgLLN</t>
  </si>
  <si>
    <t>@NYK_NYM_Fan We're not sure. You can contact the District 75 office for more information: https://t.co/fPKU0HIcFq</t>
  </si>
  <si>
    <t>@LilMissBrooklyn DM &amp;amp; we'll file for you. Or you can report elevator here: https://t.co/fXqHZAIaR1. If NYCHA, call Contact Ctr: 718-707-7777</t>
  </si>
  <si>
    <t>Heat Advisory today 2PM - 8/11 8PM. #CoolingCenters open. Find locations: https://t.co/FahxGELmLh   or text 311-692. Be sure to call ahead.</t>
  </si>
  <si>
    <t>Reminder: summer school for @NYCSchools elementary/middle school kids ends tomorrow Thursday August 11:https://t.co/Gmr6BlptC7</t>
  </si>
  <si>
    <t>@inwoodres @ydanis @NYCSanitation @NYC_DOT Thanks for your messages. We're replying to your DM now.</t>
  </si>
  <si>
    <t>@inwoodres @ydanis @NYCSanitation @NYC_DOT Hi, please DM us more details about the graffiti location so we can better advise. Thank you.</t>
  </si>
  <si>
    <t>#didyouknow #NYC311 is on #YouTube? Subscribe for mobile app demos, employee profiles, call center events &amp;amp; more: https://t.co/HIBeGKLCav</t>
  </si>
  <si>
    <t>@Daniel_A_Solow @NYC_DOT You can check SR status for responding agency notes: https://t.co/baflJHCxKL</t>
  </si>
  <si>
    <t>@macartney In future, report blocked bike lane in progress as illegal parking -"Double Parked" w/311 app or online: https://t.co/EMYJOu6Ith</t>
  </si>
  <si>
    <t>@JFlyer1 Call 911 if emergency traffic condition: https://t.co/adb7oa8GKW. You can send concern to police dept here: https://t.co/wAxD4pXP9N</t>
  </si>
  <si>
    <t>@ThePublicPom Hi, please DM us more details about this issue so we can research and advise on the next best course of action. Thank you.</t>
  </si>
  <si>
    <t>@ChristweetferB Call 911 if immediate danger.If no immediate hazard DM &amp;amp; we'll file for you.Or file w/app or online: https://t.co/3SeXvXviWt</t>
  </si>
  <si>
    <t>@danholzer Thanks for your messages. We're replying to your Direct Message.</t>
  </si>
  <si>
    <t>RT @NotifyNYC: #BeatTheHeat Heat Advisory: 2PM 8/10- 8PM 8/11. Cooling centers will be open. More info: https://t.co/EFB4wwOWWf or call 311.</t>
  </si>
  <si>
    <t>@esy_yu @NYC_DOT In future, call 911 if there's immediate danger. You can report  issue to Port Authority directly: https://t.co/ahlZcrDvyT</t>
  </si>
  <si>
    <t>@Chinatown_NYC Hi, you can report a sidewalk blocked by personal property online here: https://t.co/tXKRiC657X</t>
  </si>
  <si>
    <t>Si el calor empeora tu salud, podrías ser elegible para un A/C del programa estatal Cooling Assistance: https://t.co/ujsoyCOCco</t>
  </si>
  <si>
    <t>@BrooklynSaint Please DM us and we'll file for you. Or you can report a missing street sign via 311 app or online: https://t.co/pjcwt0wHSt</t>
  </si>
  <si>
    <t>@eric7anthony @NYC_DOT Call 911 if there's immediate danger. If no immediate hazard, call us at 311 to report garbage put out incorrectly.</t>
  </si>
  <si>
    <t>#Free fitness classes are offered every week by @ShapeUpNYC across the five boroughs. Find locations here:https://t.co/gwNGWfTGCj</t>
  </si>
  <si>
    <t>@Taroon_R Thanks for pic. Please DM us &amp;amp; we'll file this as a cave-in for you. Or you can file online here: https://t.co/YnJ8TJxvvd</t>
  </si>
  <si>
    <t>@MarcJon48394681 @NYPD112Pct You can report as illegal parking in progress online: https://t.co/EMYJOu6Ith or w/App: https://t.co/FRAGoS7hV4</t>
  </si>
  <si>
    <t>@DVChildCustody You can submit your concern about the bike share program to City online here: https://t.co/x8dEEjAdcO</t>
  </si>
  <si>
    <t>If heat worsens your medical conditions, you may be eligible for a home A/C via NY State’s Cooling Assistance: https://t.co/teqgQkkMmq</t>
  </si>
  <si>
    <t>@7oneeight We're sorry to hear that. Please call us at 311 to report an abandoned pet with  a telephone representative.</t>
  </si>
  <si>
    <t>@tchrismore You can bring food scrapes in yogurt containers, or any reusable containers.</t>
  </si>
  <si>
    <t>@thelilreport Please DM us and we'll file this as a cave-in for you. Or if you prefer, you can file online here: https://t.co/YnJ8TJxvvd</t>
  </si>
  <si>
    <t>@KristinReports We're sorry to hear that. You can call the DOB Borough Commissioner for more info/assistance: https://t.co/2TRWLOMvQe</t>
  </si>
  <si>
    <t>#DYK food scraps can help NYC go #green? Find Drop Off locations &amp;amp; it can become useful #compost &amp;amp; end #foodwaste: https://t.co/GVUXaUpbJ4</t>
  </si>
  <si>
    <t>@temashana Sorry to hear this. In the future, you can report noise from a vehicle in progress w/311 app or online: https://t.co/8p4eRpcJtP</t>
  </si>
  <si>
    <t>Desayuno/almuerzo #gratis para menores de NYC con #SummerMeals! Busca información y un centro cercano de ti: https://t.co/0Mg1JTGNzy</t>
  </si>
  <si>
    <t>@kwarnockny Sorry to hear. Report sidewalk here: https://t.co/QbQU1kO2pC. Contact DOT boro commissioner-phone/email:https://t.co/0vu0LvtCWw</t>
  </si>
  <si>
    <t>Keep cool &amp;amp; #beattheheat  for #free at  @NYCParks  public pools: https://t.co/jojpJpXTsJ   or public beach: https://t.co/uaJaUiUJBz</t>
  </si>
  <si>
    <t>@HMBoyer Hi, thanks for the photo. DM us &amp;amp; we'll this faded street line markings report for you, or report online: https://t.co/e5eCgjMoRp</t>
  </si>
  <si>
    <t>@NY4P @andrewtoearth Thanks. You can also DM us &amp;amp; we’ll file as park maintenance issue or you can file online/app: https://t.co/59317JLz4G</t>
  </si>
  <si>
    <t>@whatadanimal Please DM us &amp;amp; we'll file a street marking request for you. Or if you like, you can file online here: https://t.co/e5eCgjMoRp</t>
  </si>
  <si>
    <t>@Daniel_A_Solow Thanks for the pic. You can report a street vendor blocking sidewalks/in a restricted area online: https://t.co/sSyxnxS6b0</t>
  </si>
  <si>
    <t>@Nickki_H Online/in person payments can take 2 -4 business days &amp;amp; by mail can take up to 2 weeks. Contact Finance: https://t.co/mkCY9nJcna</t>
  </si>
  <si>
    <t>If you see a leaking/running fire hydrant DM us w/name &amp;amp; phone # &amp;amp; we’ll file for you. Or report online or w/App: https://t.co/KKJYSJeoP7</t>
  </si>
  <si>
    <t>@K_Liakos Non-emergency vehicles may not idle more than 3 min. You can report an idling vehicle online here: https://t.co/7PvsLEGngU</t>
  </si>
  <si>
    <t>@Hello_Davey You can report an unsanitary or unlicensed mobile food vendor online here: https://t.co/ROqtdDYVnG</t>
  </si>
  <si>
    <t>@katieshermanink We're not sure. Call 911 to report illegal fireworks in progress.Call us at 311 to report past use: https://t.co/IcuRVEfRIt</t>
  </si>
  <si>
    <t>@reverenddave You can request the installation of a new traffic signal or stop sign by contacting DOT commissioner: https://t.co/JTH7g7pTNU</t>
  </si>
  <si>
    <t>@beach_beleza Please DM us Service Request numbers so we can research &amp;amp; further advise. Thank you.</t>
  </si>
  <si>
    <t>@Pepperanderson2 Thanks for the photo. You can report a street blocked by personal property in progress online here: https://t.co/tXKRiBOtJn</t>
  </si>
  <si>
    <t>@MrVladCruz Check SR status for agency notes: https://t.co/baflJHCxKL. You can also contact your local precinct: https://t.co/acqxS6oVE8</t>
  </si>
  <si>
    <t>@digitam You can contact your borough's Board of Elections office by email or phone, for further information: https://t.co/HSGIYuGLBd</t>
  </si>
  <si>
    <t>@mcwm Sorry to hear this. Learn how NYPD responds to noise complaints: https://t.co/39kNhirVka. File  NYPD feedback: https://t.co/wAxD4pXP9N</t>
  </si>
  <si>
    <t>@bobbycronin In future,please call us at 311 to file non-emergency traffic condition w/phone rep.File traffic trend: https://t.co/BijO0Lp7ek</t>
  </si>
  <si>
    <t>@JenRamos24 Check SR status for agency notes: https://t.co/baflJHCxKL. You can submit feedback to Sanitation Dept: https://t.co/xKQ7ScoNIz</t>
  </si>
  <si>
    <t>@hollithoughts We're sorry to hear this. Please DM us more details about this issue so we can research and further assist. Thank you.</t>
  </si>
  <si>
    <t>@KrisLaArtista If the landlord is unresponsive, you can find Housing Court info for tenant/landlord disputes online: https://t.co/lpht487tF2</t>
  </si>
  <si>
    <t>@steve_ohh @NYC_DOT Sorry to hear this. Your CB: https://t.co/cdf1vmkQp3   &amp;amp; local officials: https://t.co/RJydEOGqvZ  may be able to assist</t>
  </si>
  <si>
    <t>NYC kids 18 &amp;amp; under get #free breakfast/lunch through Sept. 2. Find #SummerMeals info: https://t.co/7B6ZqPIcGB https://t.co/Yod4OJ36JX</t>
  </si>
  <si>
    <t>@anniejung90 If it's still running, DM us your name &amp;amp; phone # &amp;amp; we’ll file for you. Or you can file online or w/App: https://t.co/KKJYSJeoP7</t>
  </si>
  <si>
    <t>@Joeden1 You can report a dead animal on public property online here: https://t.co/DJogXcUXhl</t>
  </si>
  <si>
    <t>@KrisLaArtista We're sorry to hear this. Please DM &amp;amp; we'll file for you or you can report mold in your apt online: https://t.co/utVTKq6TjF</t>
  </si>
  <si>
    <t>@BednarkNYC We're sorry to hear this. Updates come from responding agency. Please DM us more details/any SR #s, so we can research &amp;amp; assist.</t>
  </si>
  <si>
    <t>@D00RZ0NE @NYC_DOT You can DM us your name &amp;amp; phone # &amp;amp; we'll file for you or report catch basin issue to DEP here: https://t.co/IOy2STzbFq</t>
  </si>
  <si>
    <t>@djfernandos You can check your SR status online here: https://t.co/baflJHCxKL.  Please note this account is monitored M-F 9AM-5PM.</t>
  </si>
  <si>
    <t>@LidiaNews Please note-account is monitored M-F, 9AM-5PM. Follow @NotifyNYC for alerts. Find closure/traffic info: https://t.co/0pvsiL69f7</t>
  </si>
  <si>
    <t>@djfernandos Always call 911 if there’s immediate danger or reckless driving in progress.</t>
  </si>
  <si>
    <t>¿Sabías que con @IDNYC puedes tener suscripciones a 40 instituciones culturales? Haga una cita aquí: https://t.co/9OYMEZS0Ek #IDNYC</t>
  </si>
  <si>
    <t>There are 3 more @FDNY block parties this month in #Manhattan #Queens &amp;amp; #Bronx. Find locations/times online: https://t.co/oEuEtypJdD</t>
  </si>
  <si>
    <t>.@IDNYC is for all NYers age 14 &amp;amp; up regardless of immigration status, homeless status, or gender identity: https://t.co/RdtEg7J75C</t>
  </si>
  <si>
    <t>Sept. 13 is the next NY state/local primary election: https://t.co/fcGGyjoAzd Register to vote before 8/19: https://t.co/nPTLkZmC9d</t>
  </si>
  <si>
    <t>¿Has visitado nuestra página de #Facebook? Dale “Like” para actualizaciones exclusivas: https://t.co/OJr7wXyWkp</t>
  </si>
  <si>
    <t>Don’t forget to follow us on #Facebook: https://t.co/OJr7wXyWkp, #Instagram: https://t.co/76qhqrm4eI &amp;amp; #YouTube: https://t.co/HIBeGKLCav</t>
  </si>
  <si>
    <t>Beware of price gouging at a business. Report overcharging on a product or service online here: https://t.co/OLkLuGycd5</t>
  </si>
  <si>
    <t>.@NYCYouth’s 2016 NYC Guide to Summer Fun is an excellent resource for free &amp;amp; low-cost summer activities/events: https://t.co/6JtAqUhYIV</t>
  </si>
  <si>
    <t>@K9great84 Unfortunately, there’s no office location for filing city employee complaints.</t>
  </si>
  <si>
    <t>No te pierdes @SummerStreets por @NYC_DOT mañana 8/6 de 7AM -1PM para diversión gratuita en la calle sin carros: https://t.co/mXUwmCCvah</t>
  </si>
  <si>
    <t>@HypeProspect We're sorry to hear this. Please Direct Message date/time/# of your call &amp;amp; details so we can research &amp;amp; assist. Thank you.</t>
  </si>
  <si>
    <t>@K9great84 @NYPD66Pct Report blocked hydrant as non-emergency illegal parking in progress online or w/311 App: https://t.co/EMYJOu6Ith</t>
  </si>
  <si>
    <t>@K9great84 @NYPD66Pct Please call us at 311 to make traffic agent complaint, or file w/ police dept. online form: https://t.co/wAxD4pXP9N</t>
  </si>
  <si>
    <t>Don’t miss out all on the #free car-free fun w/@NYC_DOT @SummerStreets! Come by tmrw August 6 from 7AM -1PM: https://t.co/ib3y0ckCJL</t>
  </si>
  <si>
    <t>@jessicalynnpeck Noise complaints are handled by different agencies depending on the noise type: https://t.co/mBOxPqhbXC. 2/2</t>
  </si>
  <si>
    <t>@jessicalynnpeck We’re sorry for any confusion. You can report construction/jackhammer noise anytime online: https://t.co/eg2cudK02g. 1/2</t>
  </si>
  <si>
    <t>@paulschreiber @Budweiser You can report illegal parking in progress online: https://t.co/EMYJOu6Ith or with App: https://t.co/FRAGoS7hV4</t>
  </si>
  <si>
    <t>Have the #NYC311 app? It’s easy to report potholes/no heat/broken sidewalks/muni meter issues. Watch on YouTube: https://t.co/fl7kda8HKD</t>
  </si>
  <si>
    <t>@mikecane Sorry to hear. If you like, you can DM us info/name/phone #, we will file sewer condition for you.</t>
  </si>
  <si>
    <t>@mikecane Thanks for the interest. If you like, you can formally submit your suggestion/feedback on the 311 App’s main menu.</t>
  </si>
  <si>
    <t>@6GOD_Kev If it's landlord maintenance issue, please report it online here: https://t.co/Xl2zfDVVB2 2/2</t>
  </si>
  <si>
    <t>@6GOD_Kev We're sorry to hear. If there's still no power, report outage to ConEdison 1-800-752-6633 or online: https://t.co/vgjNhpblFt 1/2</t>
  </si>
  <si>
    <t>@The_Last_View Please report this to MTA directly online: https://t.co/vcjTxfQdQA  or call them at 511 (agents avail. 6AM-10PM, 7days/week)</t>
  </si>
  <si>
    <t>@hellolaurenpiro If private carter, you also can report to Business Intergrity Commission: https://t.co/3SDiVqYswg 2/2</t>
  </si>
  <si>
    <t>@hellolaurenpiro See ways to report excessive garbage truck noise: https://t.co/ZSQVgx07TR. Report idling here: https://t.co/7PvsLEGngU 1/2</t>
  </si>
  <si>
    <t>@Hashtag10001 @BilldeBlasio Please DM any Service Request #s that you have about this so we can research &amp;amp; further advise. Thank you.</t>
  </si>
  <si>
    <t>@NYC_DOT @EPLoughlinSLP Thanks. Please DM us and we'll file cave-in for you. Or you can report online here: https://t.co/YnJ8TJxvvd</t>
  </si>
  <si>
    <t>@RebeccaMHia Sorry to hear this. You can file a complaint with MTA directly here: https://t.co/vcjTxfQdQA, or call them at 511.</t>
  </si>
  <si>
    <t>@dukecass Sorry to hear that. In future, report vehicle noise in progress online: https://t.co/8p4eRpcJtP or w/App: https://t.co/FRAGoS7hV4</t>
  </si>
  <si>
    <t>@radlerkoenigin Yes, you can use 'double parked' to file &amp;amp; add blocked bike lane in details. Also can file w/App: https://t.co/FRAGoS7hV4</t>
  </si>
  <si>
    <t>@BrandonWC @NYC_DOT You can call us at 311 to file complaint. Or send Commissioner message w/online form here: https://t.co/FMa7QvyPsm</t>
  </si>
  <si>
    <t>New York City is home to some of the world’s best music &amp;amp; with @NYCParks concerts its #free all summer long: https://t.co/SVDabvyBmG</t>
  </si>
  <si>
    <t>@Genuine_Mum18 @FDNY @FDNYAlerts Please DM us your name &amp;amp; phone# &amp;amp; we’ll re-file for you. Or you can re-file online: https://t.co/KKJYSJeoP7</t>
  </si>
  <si>
    <t>@KrisCorella Sorry to see this. Please call us at 311 to report garbage put out incorrectly &amp;amp; overflowing dumpster w/phone rep. Thank you.</t>
  </si>
  <si>
    <t>Quieres #adoptar una #mascota? @nycacc tiene cientos de animales disponibles cada día. Fotos y ubicaciones: https://t.co/oWs5PBkDMc</t>
  </si>
  <si>
    <t>@chrisDAPS @StatenIslUSA @HeyNowJO Thanks! In future DM weekdays,we'll file&amp;amp; reply with SR#. Or you can file online: https://t.co/jBWCZogr4N</t>
  </si>
  <si>
    <t>Help conserve water. Report leaking/running fire hydrants online: https://t.co/KKJYSJeoP7 or with our App: https://t.co/FRAGoS7hV4</t>
  </si>
  <si>
    <t>@ree_christine Call 911 if immediate danger. Please call us at 311 to report unsafe building construction with a phone representative.</t>
  </si>
  <si>
    <t>@Brooklyn_nyc1 @NYPD66Pct @NYPD_Traffic Report cars blocking a sidewalk as illegal parking online or w/311 App: https://t.co/EMYJOu6Ith</t>
  </si>
  <si>
    <t>Want to #adopt a pet? @nycacc has 100s of #animals, see photos &amp;amp; find locations: https://t.co/NLjCDMcsrJ  #AdoptDontShop #adoption</t>
  </si>
  <si>
    <t>@BrooklynRose88 Yes. File a new catchbasin complaint online here: https://t.co/IOy2STzbFq or DM if you'd like us to file for you. Thanks.</t>
  </si>
  <si>
    <t>NY's next state/local primary #elections are 9/13: https://t.co/fcGGyjoAzd Deadline to register to #vote is 8/19: https://t.co/nPTLkZmC9d</t>
  </si>
  <si>
    <t>It's still hurricane season in NYC. #KnowYourZone. Know what to do. Preparedness tips from @nycoem:  https://t.co/ogeMsTvABL</t>
  </si>
  <si>
    <t>@TonyEsquire Leave items curbside. If it’s still uncollected after 8AM next day, file missed collection online here: https://t.co/Ds3yDTOVEC</t>
  </si>
  <si>
    <t>@BrooklynRose88 Please incl. name,  phone# (DEP req's) &amp;amp; email if you'd like email confirmation. Thank you. 2/2</t>
  </si>
  <si>
    <t>@BrooklynRose88 Always call 911 if there’s immediate danger. Check SR status: https://t.co/Y93bf559PH. Please DM SR # &amp;amp; we'll refile...1/2</t>
  </si>
  <si>
    <t>@gorillamikem You can report this to MTA: https://t.co/vcjTxfQdQA or call 511 to speak w/MTA directly (agents avail. 6AM-10PM, 7days/week)</t>
  </si>
  <si>
    <t>@haul_monitor Yes. Please feel free to DM us &amp;amp; we'll research &amp;amp; advise. Our acct. is set to receive DMs from followers &amp;amp; non-followers.</t>
  </si>
  <si>
    <t>Starting a business in NYC? Pick your business type &amp;amp; use the checklist to prepare so you can meet gov reqs: https://t.co/5kzkrw60TL</t>
  </si>
  <si>
    <t>@Mzkbee Feel free to DM us now. Our account is set to receive Direct Messages from followers &amp;amp; non-followers.</t>
  </si>
  <si>
    <t>@NYCHousing @Mzkbee Hi, please DM us more details so we can further assist you without character limit. Thank you.</t>
  </si>
  <si>
    <t>@NYCHousing @spydercharlotte Hi, thanks for mention. You can report building construction without permit online: https://t.co/WB3l2lK3JZ</t>
  </si>
  <si>
    <t>Hay 1.6 millón usuarios de la aplicación de #NYC311.  Únete al movimiento y descargue la aplicación: https://t.co/D9WkiUoVG7</t>
  </si>
  <si>
    <t>#NYC311 has 1.6 million #mobileapp users. Join the mobile movement. Get our free app for Apple/Android: https://t.co/FRAGoS7hV4</t>
  </si>
  <si>
    <t>@capitalcopy Hi, thanks for your question. You can report a blocked street sign  online/app: https://t.co/fq85Ngnp7A or DM us &amp;amp; we'll file.</t>
  </si>
  <si>
    <t>@NYC_DOT @fnytv @evgrieve Yes, you can also DM us M-F, 9AM-5PM, and we can report metal plate issue for you.</t>
  </si>
  <si>
    <t>@wjfarr @NYC_DOT Report blocked bike lane in progress as illegal parking online: https://t.co/EMYJOtP74H or App: https://t.co/FRAGoSoSMC</t>
  </si>
  <si>
    <t>How dost thou enjoy #Shakespeare this summer? Find out with @NYCParks #free #theater events: https://t.co/Bh65mt5sk0</t>
  </si>
  <si>
    <t>@subtle116 @NYC_DOT Sorry to hear that. Please DM us date/time &amp;amp; number you called from so we can research your call experience. Thank you.</t>
  </si>
  <si>
    <t>@christinemohan Always call 911 to report fire or smoke fumes. This account is monitored M-F, 9AM–5PM for non-emergency gov't services/info.</t>
  </si>
  <si>
    <t>@JazzGtrSteve Report street surface condition online here: https://t.co/YnJ8TJxvvd or w/App. If you prefer, DM details &amp;amp; we'll file for you.</t>
  </si>
  <si>
    <t>@cydentify4D Call 911 if immediate danger. If not emergency, DM with more info about condition so we can assist w/o character limit. Thanks.</t>
  </si>
  <si>
    <t>If streetlight/lampost is out, file online: https://t.co/HHn1tnJphf, w/App: https://t.co/FRAGoS7hV4 or DM weekdays &amp;amp; we'll file for you.</t>
  </si>
  <si>
    <t>@unclebonald If filed, check status: https://t.co/baflJHCxKL. Or report online: https://t.co/QQJt1gyABG or w/App: https://t.co/FRAGoS7hV4</t>
  </si>
  <si>
    <t>@ichiou1 @NYC_DOT Please DM us &amp;amp; we'll report this cave-in for you. Or you can file online w/pic here: https://t.co/YnJ8TJxvvd</t>
  </si>
  <si>
    <t>You can learn about #diabetes prevention, control, &amp;amp; management with the@nycHealthy tip bulletin: https://t.co/qNLLyBdutg</t>
  </si>
  <si>
    <t>@katologic Dumped items removal request &amp;amp; improper trash disposal req speaking w/ phone rep, so please call us at 311 to report all. 2/2</t>
  </si>
  <si>
    <t>@katologic Thanks for pics. Call 911 for illegal dumping in progress. Or report past/chronic illegal dumping: https://t.co/bvxf4kku7I 1/2</t>
  </si>
  <si>
    <t>@yediteddy Thanks for update. You can check your SR status online here (it may take 24hrs to appear in system): https://t.co/baflJHCxKL</t>
  </si>
  <si>
    <t>@miller_stephen @NYC_DOT Sorry to hear of your experience. Please Direct Message your call details so we can research &amp;amp; assist. Thank you.</t>
  </si>
  <si>
    <t>@abealarcon @MTA @ydanis @MarkLevineNYC We can check w/SR # only. Check status here: https://t.co/baflJHCxKL. DM if we can further assist.</t>
  </si>
  <si>
    <t>@TheQuietCar Non-emergency vehicles may not idle more than 3 min. You can report an idling vehicle online here: https://t.co/7PvsLEGngU</t>
  </si>
  <si>
    <t>@mlaurahuss Thanks for pic. Please call us at 311 to report failure to provide pesticide notification w/phone rep: https://t.co/JRJeRo8ZG2</t>
  </si>
  <si>
    <t>@mpolonyc DM &amp;amp; we'll report this cave-in for you. Or you can file online here: https://t.co/YnJ8TJxvvd  or w/App: https://t.co/FRAGoS7hV4</t>
  </si>
  <si>
    <t>@abealarcon @MTA @ydanis @MarkLevineNYC Please report this graffiti on MTA property directly to MTA using link here: https://t.co/KtDptASAiN</t>
  </si>
  <si>
    <t>Tonight #NYPD precincts particitipate in #NationalNightOut Against Crime. Find out more at their events: https://t.co/PbrmyzTrBH #nno</t>
  </si>
  <si>
    <t>Tomorrow, Tue Aug 2 is #NationalNightOut Against Crime. Join #NYPD for anti-crime events in your community: https://t.co/PbrmyzTrBH #nno</t>
  </si>
  <si>
    <t>Si alquila en NYC, tienes derechos y responsabilidades. Lea más aquí sobre el ABC’s de Viviendas de @nychousing: https://t.co/u5tIZ97ryn</t>
  </si>
  <si>
    <t>@dmartnyc Thanks for shout-out, but it’s really @NYCTaxi that deserves it. If you like, file compliment online here: https://t.co/SZcmWMaTKN</t>
  </si>
  <si>
    <t>Considering a #publicservice career? Learn about #jobs w/NYC, including #civilservice exam info &amp;amp; schedules: https://t.co/0qREJTIxam</t>
  </si>
  <si>
    <t>Join your #NYPD precinct, tmrw Tue 8/2 for community-building &amp;amp; anti-crime events #NationalNightOut: https://t.co/PbrmyzTrBH #nno #NNO2016</t>
  </si>
  <si>
    <t>.@NYC_DOT’s @SummerStreets is back August 6, 13 &amp;amp; 20 7AM -1PM! Check out location &amp;amp; more info here: https://t.co/ib3y0ckCJL</t>
  </si>
  <si>
    <t>@TaslutistoMa Please Direct Message us more details about this service request so we can research and further advise. Thank you.</t>
  </si>
  <si>
    <t>@KristinReports You also can contact your Community Board https://t.co/cdf1vmkQp3    &amp;amp; local elected officials: https://t.co/RJydEOGqvZ  2/2</t>
  </si>
  <si>
    <t>@KristinReports  You can check SR status here: https://t.co/baflJHCxKL  &amp;amp; send concern to DEP: https://t.co/0ZudR4unRR 1/2</t>
  </si>
  <si>
    <t>@DanUptowndan You also can send your concern to the Police Department using their online form: https://t.co/wAxD4pXP9N 2/2</t>
  </si>
  <si>
    <t>@DanUptowndan See how police dept. handles noise complaints: https://t.co/39kNhirVka. Check SR status notes: https://t.co/ZIyJKuXCjn 1/2</t>
  </si>
  <si>
    <t>@j2molino Thanks for pic. Please DM &amp;amp; we'll file tree limbs blocking sidewalk for you, or report it online here: https://t.co/3SeXvXviWt</t>
  </si>
  <si>
    <t>@SimoneBoyce You can report a problem with a yellow taxi here: https://t.co/Xo1kD5VSiZ If it was a Green boro here: https://t.co/bvDUKWbWOa</t>
  </si>
  <si>
    <t>@learmonth Thanks for pic. Please DM &amp;amp; we'll file a park maintenance report for you, or you can file online here: https://t.co/59317JLz4G</t>
  </si>
  <si>
    <t>@micaelad Please DM us address/name/phone &amp;amp; we'll file this for you. Or you can report brown water online here: https://t.co/CuFFiFN8i8</t>
  </si>
  <si>
    <t>@christinaischic Sorry to hear this. If landlord still not responding, report maintenance issues in an apt here: https://t.co/Xl2zfDVVB2</t>
  </si>
  <si>
    <t>@Ace_Frijole @NYC_DOT You can send your comments &amp;amp; opinions to the Mayor by post or by using this online form: https://t.co/8K8Yqm9HvO</t>
  </si>
  <si>
    <t>@aramadima If a hydrant is often opened illegally, you can request it be fitted with a lock here: https://t.co/v1zMqU5WKJ</t>
  </si>
  <si>
    <t>@Sobx2166 If it's still running, please DM your name&amp;amp;phone # &amp;amp; we’ll file for you. Or you can file online or w/App: https://t.co/KKJYSJeoP7</t>
  </si>
  <si>
    <t>@yediteddy Sorry to hear that. Pickup isn't available. DM us if you'd like us to refile, or send new request here: https://t.co/YCuS26m5LK</t>
  </si>
  <si>
    <t>@AllieFeldman212 You also can report animal cruelty online here: https://t.co/6ctRTQfIR2</t>
  </si>
  <si>
    <t>@DarthCoven Sorry to see that. Please DM if you'd like us to file blocked sidewalk for you,or report it online here: https://t.co/tXKRiC657X</t>
  </si>
  <si>
    <t>@EvacuationZoneA Always call 911 to report open fire in progress. Open fires/fire pits are prohibited per FDNY Code: https://t.co/Nrfvlju9yu</t>
  </si>
  <si>
    <t>@RichBoyClassic You can send the DOT Commissioner your concern using this online form: https://t.co/FMa7QvyPsm</t>
  </si>
  <si>
    <t>If you rent in NYC, the ABCs of Housing brochure has info about tenant &amp;amp; owner rights and responsibilities: https://t.co/ZRPNYcnfBK</t>
  </si>
  <si>
    <t>@mizthibs Thanks for update. If you like, you can check your the status of your Service Request online here: https://t.co/baflJHCxKL</t>
  </si>
  <si>
    <t>@MinyetyFamily If hydrant is often opened illegally, you can request it be fitted with a lock here: https://t.co/v1zMqU5WKJ</t>
  </si>
  <si>
    <t>@kathy_simonik You can also report animal cruelty online here: https://t.co/6ctRTQfIR2</t>
  </si>
  <si>
    <t>Happy Summer NYC! Enjoy the warm weather and the summer blooms at your local botanical garden: https://t.co/oesxQPAruN</t>
  </si>
  <si>
    <t>Traveling this year? Get info on applying, renewing, or checking the status of a #passport application here: https://t.co/1Zqv857XQi</t>
  </si>
  <si>
    <t>Do you love #fireworks? If so, check out the list of legal fireworks displays happening through Sept. here: https://t.co/oyhtAdRTy7</t>
  </si>
  <si>
    <t>Sigue las páginas de #NYC311. Facebook: https://t.co/OJr7wXyWkp Instagram: https://t.co/fwpVfzy6Xe  y YouTube: https://t.co/HIBeGKLCav</t>
  </si>
  <si>
    <t>NYC gov is hiring experienced tech talent – meet hiring teams &amp;amp; learn more at Aug. 1 tech job fair:https://t.co/CsQrKEDGE4 . #nyctechjobs</t>
  </si>
  <si>
    <t>There's always something to do in NYC. Citywide Events Calendar has free &amp;amp; low-cost fun incl.fairs, parades, &amp;amp; more: https://t.co/v4yO23bmzv</t>
  </si>
  <si>
    <t>Is heat on in your apartment &amp;amp; landlord’s no help? From June 1- Sept. 30, report heat on during summer here: https://t.co/wVq7MQ1MTr</t>
  </si>
  <si>
    <t>Even a trickle is wasted water. Report a leaking/running fire hydrant online:https://t.co/KKJYSJeoP7 or w/our App: https://t.co/FRAGoS7hV4</t>
  </si>
  <si>
    <t>NYC offers residents #free kits to test water for lead. Register for one online here:https://t.co/YCuS26m5LK</t>
  </si>
  <si>
    <t>@sexyminutes @NYPDnews @NotifyNYC You can report graffiti in an MTA property directly to MTA online here: https://t.co/KtDptASAiN</t>
  </si>
  <si>
    <t>@birdychirps You can also report animal cruelty online here: https://t.co/6ctRTQfIR2</t>
  </si>
  <si>
    <t>Last week #NYC311 proudly showed off their love for #RedSox &amp;amp; #NYMets #flashbackfriday: https://t.co/uZUjImR0D0 https://t.co/SZUVRsMa3l</t>
  </si>
  <si>
    <t>@woodmontcyn You can also report animal cruelty online here: https://t.co/6ctRTQfIR2</t>
  </si>
  <si>
    <t>If rain causes a leak in your apt. &amp;amp; your landlord’s not fixing it, you can report it as maintenance issue: https://t.co/Xl2zfDVVB2</t>
  </si>
  <si>
    <t>@thembisue Hi, thanks for your post. That abbreviation means it was referred to a Special Operations Lieutenant or SOL.</t>
  </si>
  <si>
    <t>NYC kids 18 &amp;amp; under can get #free breakfast &amp;amp; lunch. Find #SummerMeals info &amp;amp; locations: https://t.co/Y6xVSqJYuE</t>
  </si>
  <si>
    <t>@Co_norma_nyc They're closed if thunder/lightning &amp;amp; open if just raining. You can find contact info for pools here: https://t.co/jojpJpXTsJ</t>
  </si>
  <si>
    <t>Calling talented NYC techies! Come to NYC gov tech job fair on Aug.1. Learn more here: https://t.co/CsQrKEVhvC  #nyctechjobs</t>
  </si>
  <si>
    <t>@LauraExley2 You can also report animal cruelty online here: https://t.co/6ctRTQfIR2</t>
  </si>
  <si>
    <t>@prof_taxi @clayaiken @Uber @nyctaxi @MMViverito Thanks for tag. Here's online form to report car service problem: https://t.co/Xs3w4NP9tm</t>
  </si>
  <si>
    <t>@beejoli Always call 911 to report threat to a public official: https://t.co/fE6sqgxAFj</t>
  </si>
  <si>
    <t>The Cooling Assistance Program helps eligible NYers w/medical issues &amp;amp; income constraints get free A/C units: https://t.co/teqgQkkMmq</t>
  </si>
  <si>
    <t>@CognacJones Please DM call date/time/#you called from &amp;amp;we'll research your experience &amp;amp;/or further assist w/o character restriction.Thanks.</t>
  </si>
  <si>
    <t>@AppleWindowUser You can also report hydrants online: https://t.co/KKJYSJvZGF or DM us name &amp;amp; phone #, M-F, 9AM-5PM and we'll file for you.</t>
  </si>
  <si>
    <t>@Genuine_Mum18 @FDNY @FDNYAlerts You can also report hydrants online: https://t.co/KKJYSJvZGF or DM us M-F, 9AM-5PM and we'll file for you.</t>
  </si>
  <si>
    <t>@AnnieBurke15 Thanks for the pic. DM us &amp;amp; we’ll file this as a failed street repair for you. Or you can file online: https://t.co/YnJ8TJfU6D</t>
  </si>
  <si>
    <t>@mizthibs If you haven't already, you can report this as a food safety compliant with 311 app or online here: https://t.co/ROqtdEgwfe</t>
  </si>
  <si>
    <t>#tbt Our NYC311 family happy to show off their favorite sports team shirts #WeareNYC311: https://t.co/3ZOCPI3fIa https://t.co/k03wrncoeb</t>
  </si>
  <si>
    <t>@DVChildCustody Your Community Board https://t.co/cdf1vmkQp3   &amp;amp; local elected officials: https://t.co/RJydEOGqvZ may be able to assist.</t>
  </si>
  <si>
    <t>@mLissa910 Please DM us and we'll file a park maintenance report for you or you can file online here: https://t.co/59317JLz4G</t>
  </si>
  <si>
    <t>@CarlosThorbourn Hi, you can find HPD-approved counseling from real estate professionals &amp;amp; community sponsors here: https://t.co/jAhGVi7Nbw</t>
  </si>
  <si>
    <t>#NYC311 Proud &amp;amp; inspired at today’s @NYU_Cusp #Cuspusi2016 Urban Science Intensive @CivicHall #opendata #civictech #CUSP #nyctech</t>
  </si>
  <si>
    <t>@jwilcox79 @NYPD70Pct Please send us a Direct Message with your service request number so we can research &amp;amp; further assist you. Thank you.</t>
  </si>
  <si>
    <t>@Coffeebreak91 @nycHealthy Also: contacts for yr Community Board:   https://t.co/cdf1vmkQp3  &amp;amp; local officials: https://t.co/RJydEOGqvZ  2/2</t>
  </si>
  <si>
    <t>@Coffeebreak91 @nycHealthy You can check SR status online for any agency notes:     https://t.co/baflJHCxKL. DM if we can further assist   ½</t>
  </si>
  <si>
    <t>¿Te gustan los #fuegosartificiales? Vea la lista de fuegos artificiales planificados hasta septiembre en #NYC: https://t.co/l0hrf9S5KQ</t>
  </si>
  <si>
    <t>Thanks for mention @NYC_DOT &amp;amp; for pic, @Jkaplan215. Yes, DM if you'd like us to file resurface req. for you or use that link to file online.</t>
  </si>
  <si>
    <t>Playing with fire is a no-no for everyone. @FDNY’s Fire Zone Learning Center teaches kids #firesafety for #free: https://t.co/0EaaHTbFZA</t>
  </si>
  <si>
    <t>@meghancnyc You can report a store door open while air conditioner running online: https://t.co/YaeywpyRkq or DM us &amp;amp; we'll file for you.</t>
  </si>
  <si>
    <t>@mdeluzgon @FDNY You can report hydrants that are leaking/running online here: https://t.co/KKJYSJeoP7 or DM us &amp;amp; we'll file for you.</t>
  </si>
  <si>
    <t>Cool down by asking your local @FDNY  firehouse for a recreational hydrant spray cap: https://t.co/z8RIYNT8M2 https://t.co/FvkP03xIsD</t>
  </si>
  <si>
    <t>@Dragonfly8996 You can also report animal cruelty online here: https://t.co/6ctRTQfIR2</t>
  </si>
  <si>
    <t>Are you Following us yet?  https://t.co/OJr7wXyWkp  https://t.co/fwpVfzy6Xe https://t.co/HIBeGKLCav Thanks! https://t.co/T1mmr30MsO</t>
  </si>
  <si>
    <t>@Coffeebreak91 Sorry to hear this. You can find information and how to report a smoking complaint online here: https://t.co/fRUo84fJr1</t>
  </si>
  <si>
    <t>@StephenLevin33 @NYCSanitation Thanks for the mention! New litter basket requests can also be made online: https://t.co/teLXByBE4E</t>
  </si>
  <si>
    <t>@jennyfernyc Rules &amp;amp; policies vary by location, call the center directly for more info on pets. Service animals are permitted at all sites.</t>
  </si>
  <si>
    <t>#CoolingCenters open today. Find one: https://t.co/FahxGELmLh  or text 311-692. Be sure to call ahead. #BeatTheHeat https://t.co/wJPeQIvc7J</t>
  </si>
  <si>
    <t>@missallicin Hi, please DM us any Service Request numbers that you have about this issue so we can research &amp;amp; further advise. Thank you.</t>
  </si>
  <si>
    <t>@mandiwoodruff We're sorry to hear that. You can contact the MTA about this directly online here: https://t.co/vcjTxfQdQA</t>
  </si>
  <si>
    <t>@doublejnyc If it's still running, please DM us your name &amp;amp; phone # and we’ll file for you. Or you can file online: https://t.co/KKJYSJeoP7</t>
  </si>
  <si>
    <t>@tusharnyc If it's still running, please DM us your name &amp;amp; phone # and we’ll file for you. Or you can file online: https://t.co/KKJYSJeoP7</t>
  </si>
  <si>
    <t>@JanJohnston1101 You can also report animal cruelty online here: https://t.co/6ctRTQfIR2</t>
  </si>
  <si>
    <t>@RobinStarrDance You can also report animal cruelty online here: https://t.co/6ctRTQfIR2</t>
  </si>
  <si>
    <t>@SherrieNanChi You can also report animal cruelty online here: https://t.co/6ctRTQfIR2</t>
  </si>
  <si>
    <t>@tchmeHouk2dougy You can also report animal cruelty online here: https://t.co/6ctRTQfIR2</t>
  </si>
  <si>
    <t>@nyclass You can also report animal cruelty online here: https://t.co/6ctRTQfIR2</t>
  </si>
  <si>
    <t>@Nicole_Cannelle You can also report animal cruelty online here: https://t.co/6ctRTQfIR2</t>
  </si>
  <si>
    <t>@grace86326881 You can also report animal cruelty online here: https://t.co/6ctRTQfIR2</t>
  </si>
  <si>
    <t>@janduck97 You can also report animal cruelty online here: https://t.co/6ctRTQfIR2</t>
  </si>
  <si>
    <t>Don’t let potholes ruin your commute. Report online: https://t.co/YnJ8TJxvvd app: https://t.co/FRAGoS7hV4 DM/FB: https://t.co/OJr7wXyWkp</t>
  </si>
  <si>
    <t>Report running hydrants online: https://t.co/KKJYSJeoP7 or weekdays DM us &amp;amp; we’ll file. Request #FDNY spraycap: https://t.co/v1zMqU5WKJ</t>
  </si>
  <si>
    <t>Join @NYC_DOT's instagram #staycation competition &amp;amp; take a selfie at iconic areas on the 2016 Bike Map cover: https://t.co/Fe1Ew1OBdC</t>
  </si>
  <si>
    <t>@NameCantBe Call 911 if there's immediate danger to life or property. We've replied to your DM as well.</t>
  </si>
  <si>
    <t>@WeatherbySoraya You can also report animal cruelty online here: https://t.co/6ctRTQfIR2</t>
  </si>
  <si>
    <t>@hugm129 You can also report animal cruelty online here: https://t.co/6ctRTQfIR2</t>
  </si>
  <si>
    <t>@Kelathi You can also report animal cruelty online here: https://t.co/6ctRTQfIR2</t>
  </si>
  <si>
    <t>@cheeko017 You can report unauthorized bus layover as illegal parking in progress with 311 app or online here: https://t.co/EMYJOu6Ith</t>
  </si>
  <si>
    <t>@klyonskalmenson You can also report animal cruelty online here: https://t.co/6ctRTQfIR2</t>
  </si>
  <si>
    <t>@NeilECollins @BilldeBlasio @NYCMayorsOffice @NYCSanitation Please DM us &amp;amp; we'll file this park maintenance condition for you. Thank you.</t>
  </si>
  <si>
    <t>Kids 18 &amp;amp; under can get #free breakfast &amp;amp; lunch with #SummerMeals until Sept. 2. No registration or ID required: https://t.co/7B6ZqPIcGB</t>
  </si>
  <si>
    <t>@1animaladvocate You can also report animal cruelty online here: https://t.co/6ctRTQfIR2</t>
  </si>
  <si>
    <t>@jerseygirlnb You can also report animal cruelty online here: https://t.co/6ctRTQfIR2</t>
  </si>
  <si>
    <t>@MerylPinque You can also report animal cruelty online here: https://t.co/6ctRTQfIR2</t>
  </si>
  <si>
    <t>@FinaMorenoBcE You can also report animal cruelty online here: https://t.co/6ctRTQfIR2</t>
  </si>
  <si>
    <t>@JordanaSands You can also report animal cruelty online here: https://t.co/6ctRTQfIR2</t>
  </si>
  <si>
    <t>@Teggie12 You can also report animal cruelty online here: https://t.co/6ctRTQfIR2</t>
  </si>
  <si>
    <t>@cacca11 You can also report animal cruelty online here: https://t.co/6ctRTQfIR2</t>
  </si>
  <si>
    <t>@Karenzee You can also report animal cruelty online here: https://t.co/6ctRTQfIR2</t>
  </si>
  <si>
    <t>@CdeflorianC You can also report animal cruelty online here: https://t.co/6ctRTQfIR2</t>
  </si>
  <si>
    <t>@Edenyna You can also report animal cruelty online here: https://t.co/6ctRTQfIR2</t>
  </si>
  <si>
    <t>@Xfed007 You can also report animal cruelty online here: https://t.co/6ctRTQfIR2</t>
  </si>
  <si>
    <t>@BugsBunny__ You can also report animal cruelty online here: https://t.co/6ctRTQfIR2</t>
  </si>
  <si>
    <t>@judyspromos You can also report animal cruelty online here: https://t.co/6ctRTQfIR2</t>
  </si>
  <si>
    <t>@AmericanSniperG You can also report animal cruelty online here: https://t.co/6ctRTQfIR2</t>
  </si>
  <si>
    <t>@pitbullmomazoe You can also report animal cruelty online here: https://t.co/6ctRTQfIR2</t>
  </si>
  <si>
    <t>@LiloAdams1 You can also report animal cruelty online here: https://t.co/6ctRTQfIR2</t>
  </si>
  <si>
    <t>@Mitchif1 You can also report animal cruelty online here: https://t.co/6ctRTQfIR2</t>
  </si>
  <si>
    <t>@kjtnyc You can also report animal cruelty online here: https://t.co/6ctRTQfIR2</t>
  </si>
  <si>
    <t>@mmckoriet You can also report animal cruelty online here: https://t.co/6ctRTQfIR2</t>
  </si>
  <si>
    <t>@apogee711 You can also report animal cruelty online here: https://t.co/6ctRTQfIR2</t>
  </si>
  <si>
    <t>@sherian_holt You can also report animal cruelty online here: https://t.co/6ctRTQfIR2</t>
  </si>
  <si>
    <t>@lhorn175 You can also report animal cruelty online here: https://t.co/6ctRTQfIR2</t>
  </si>
  <si>
    <t>@stevenh43519422 You can also report animal cruelty online here: https://t.co/6ctRTQfIR2</t>
  </si>
  <si>
    <t>@clarkhydra You can also report animal cruelty online here: https://t.co/6ctRTQfIR2</t>
  </si>
  <si>
    <t>@tracyrocks You can also report animal cruelty online here: https://t.co/6ctRTQfIR2</t>
  </si>
  <si>
    <t>@ny_mercedes You can also report animal cruelty online here: https://t.co/6ctRTQfIR2</t>
  </si>
  <si>
    <t>Cooling Centers open today. Find online: https://t.co/FahxGELmLh  or text 311-692. Call ahead to confirm hours. https://t.co/j8S2gHNFSb</t>
  </si>
  <si>
    <t>@Mas4mo We're not sure. You can contact the Dept. of Buildings Borough Commissioner by phone for further info: https://t.co/2TRWLOMvQe</t>
  </si>
  <si>
    <t>@Craig73473329 You can also report animal cruelty online here: https://t.co/6ctRTQfIR2</t>
  </si>
  <si>
    <t>@Donna63519314 You can also report animal cruelty online here: https://t.co/6ctRTPY7ss</t>
  </si>
  <si>
    <t>@Shaggygps You can also report animal cruelty online here: https://t.co/6ctRTQfIR2</t>
  </si>
  <si>
    <t>@Nick_Steves Thanks for your messages. We replied to your DM</t>
  </si>
  <si>
    <t>@Mvrimvr You can also report animal cruelty online here: https://t.co/6ctRTQfIR2</t>
  </si>
  <si>
    <t>@nyclass @NYspanish You can also report animal cruelty online here: https://t.co/6ctRTQfIR2</t>
  </si>
  <si>
    <t>@Patimaangel You can also report animal cruelty online here: https://t.co/6ctRTQfIR2</t>
  </si>
  <si>
    <t>Disfrute el sol, mar y la arena. Encuentre una playa pública y envía BEACH al 877-877 para las últimas noticias: https://t.co/uaJaUiUJBz</t>
  </si>
  <si>
    <t>@markhollinrake You can also report animal cruelty online here: https://t.co/6ctRTQfIR2</t>
  </si>
  <si>
    <t>@Carmen_Roberts You can also report animal cruelty online here: https://t.co/6ctRTQfIR2</t>
  </si>
  <si>
    <t>@whenpigsflyyy You can also report animal cruelty online here: https://t.co/6ctRTQfIR2</t>
  </si>
  <si>
    <t>@BreezeCyclone You can also report animal cruelty online here: https://t.co/6ctRTQfIR2</t>
  </si>
  <si>
    <t>@junefit You can also report animal cruelty online here: https://t.co/6ctRTQfIR2</t>
  </si>
  <si>
    <t>@LisaJablow You can also report animal cruelty online here: https://t.co/6ctRTQfIR2</t>
  </si>
  <si>
    <t>@myfresian You can also report animal cruelty online here: https://t.co/6ctRTQfIR2</t>
  </si>
  <si>
    <t>@Graziellajune You can also report animal cruelty online here: https://t.co/6ctRTQfIR2</t>
  </si>
  <si>
    <t>@AveMMF You can also report animal cruelty online here: https://t.co/6ctRTQfIR2</t>
  </si>
  <si>
    <t>@CheeksRosie You can also report animal cruelty online here: https://t.co/6ctRTQfIR2</t>
  </si>
  <si>
    <t>@AmySquires5 You can also report animal cruelty online here: https://t.co/6ctRTQfIR2</t>
  </si>
  <si>
    <t>@barbie19 You can also report animal cruelty online here: https://t.co/6ctRTQfIR2</t>
  </si>
  <si>
    <t>@MorningStarBird You can also report animal cruelty online here: https://t.co/6ctRTQfIR2</t>
  </si>
  <si>
    <t>@PawsForAll You can also report animal cruelty online here: https://t.co/6ctRTQfIR2</t>
  </si>
  <si>
    <t>@AmCuriousNJ You can also report animal cruelty online here: https://t.co/6ctRTQfIR2</t>
  </si>
  <si>
    <t>@Dangermouse1973 You can also report animal cruelty online here: https://t.co/6ctRTQfIR2</t>
  </si>
  <si>
    <t>@annettethor88 You can also report animal cruelty online here: https://t.co/6ctRTQfIR2</t>
  </si>
  <si>
    <t>@SusanDuncanolp You can also report animal cruelty online here: https://t.co/6ctRTQfIR2</t>
  </si>
  <si>
    <t>@losmiserables8 You can also report animal cruelty online here: https://t.co/6ctRTQfIR2</t>
  </si>
  <si>
    <t>@margaret0380 You can also report animal cruelty online here: https://t.co/6ctRTQfIR2</t>
  </si>
  <si>
    <t>@VivianSciacca You can also report animal cruelty online here: https://t.co/6ctRTQfIR2</t>
  </si>
  <si>
    <t>@islandofmisftz You can also report animal cruelty online here: https://t.co/6ctRTQfIR2</t>
  </si>
  <si>
    <t>@BrainofBryn You can also report animal cruelty online here: https://t.co/6ctRTQfIR2</t>
  </si>
  <si>
    <t>@alison__wright You can also report animal cruelty online here: https://t.co/6ctRTQfIR2</t>
  </si>
  <si>
    <t>@munay1701 You can also report animal cruelty online here: https://t.co/6ctRTQfIR2</t>
  </si>
  <si>
    <t>@colemanleeza You can also report animal cruelty online here: https://t.co/6ctRTQfIR2</t>
  </si>
  <si>
    <t>@KayeAmmons You can also report animal cruelty online here: https://t.co/6ctRTQfIR2</t>
  </si>
  <si>
    <t>@emilyharting You can also report animal cruelty online here: https://t.co/6ctRTQfIR2</t>
  </si>
  <si>
    <t>@Elephant_Droid You can also report animal cruelty online here: https://t.co/6ctRTQfIR2</t>
  </si>
  <si>
    <t>@Cpw67 You can also report animal cruelty online here: https://t.co/6ctRTQfIR2</t>
  </si>
  <si>
    <t>@Freja_Petersen You can also report animal cruelty online here: https://t.co/6ctRTQfIR2</t>
  </si>
  <si>
    <t>@terranoor You can also report animal cruelty online here: https://t.co/6ctRTQfIR2</t>
  </si>
  <si>
    <t>@Vilu53Vilu You can also report animal cruelty online here: https://t.co/6ctRTQfIR2</t>
  </si>
  <si>
    <t>@Immortal13 You can also report animal cruelty online here: https://t.co/6ctRTPY7ss</t>
  </si>
  <si>
    <t>@yaelryzowy You can also report animal cruelty online here: https://t.co/6ctRTQfIR2</t>
  </si>
  <si>
    <t>@AlawalSheikh @NotifyNYC @NYCMayorsOffice @NY1 If not emergency, contact Queens DOT Borough Comm 212-839-2510, https://t.co/nTVEfjE9oy 2/2</t>
  </si>
  <si>
    <t>@AlawalSheikh @NotifyNYC @NYCMayorsOffice @NY1 Call 911 to report a dangerous location: https://t.co/24rXjwaxkk  1/2</t>
  </si>
  <si>
    <t>@sunnygandara 
You can also report animal cruelty online here: https://t.co/6ctRTQfIR2</t>
  </si>
  <si>
    <t>Reporting munimeter issues is easy w/ #NYC311 mobile app &amp;amp; you can add pics. See how on #YouTube: https://t.co/1trihvbivQ Subscribe today.</t>
  </si>
  <si>
    <t>RT @NYCParks: Stay cool! Take the kids to playground with spray shower. Find one near you: https://t.co/nkClkHpm04 https://t.co/l6TVG8tCaA</t>
  </si>
  <si>
    <t>@ThisIsEbbe @FDNY Hi, please send us a Direct Message w/name &amp;amp; phone # so we can file this fire hydrant report for you. Thank you.</t>
  </si>
  <si>
    <t>@Nick_Steves @nycgov Hi, you can report potholes on a bridge online here: https://t.co/NntKbXG8vj or DM us w/details &amp;amp; we'll file for you.</t>
  </si>
  <si>
    <t>@jglparkprez @NYCMayorsOffice @BilldeBlasio Send Mayor comments: https://t.co/8K8Yqm9HvO &amp;amp; public safety feedback: https://t.co/wAxD4pXP9N</t>
  </si>
  <si>
    <t>@NYCParks @localecologist Thanks! DM &amp;amp; we'll file for you. Or you also can report it with free NYC311 mobile app: https://t.co/FRAGoS7hV4</t>
  </si>
  <si>
    <t>@REtweetNYC Report afterhours construction noise: https://t.co/eg2cudK02g   &amp;amp; check active street permits: https://t.co/Jr2qs6GeLF</t>
  </si>
  <si>
    <t>@wheresKR Sorry to hear this. If condition still exists DM us &amp;amp; we’ll file no water or you can report online: https://t.co/CuFFiFN8i8</t>
  </si>
  <si>
    <t>@MallyRiv And you can contact Man. DOT Borough Commissioner: https://t.co/0vu0LvtCWw  &amp;amp; your community board: https://t.co/cdf1vmkQp3  2/2</t>
  </si>
  <si>
    <t>@MallyRiv Sorry to hear this. You can see active street construction permits here: https://t.co/Jr2qs6GeLF   1/2</t>
  </si>
  <si>
    <t>Be safe &amp;amp; smart in this heat. Request @FDNY spraycap for hydrant. #beatheheat #savewater: https://t.co/v1zMqU5WKJ https://t.co/d854aA7QZ4</t>
  </si>
  <si>
    <t>@milain10 Please report this to NYCHA Customer Contact Center 718-707-7771. You also can File NYCHA feedback here: https://t.co/sQemHaQovH</t>
  </si>
  <si>
    <t>@FDNY @ThisIsEbbe Thank you. Folks can also can file online: https://t.co/KKJYSJeoP7 or DM weekdays during biz hours &amp;amp; we'll file for them.</t>
  </si>
  <si>
    <t>@KrisWantsToKnow Thanks for your post. These takeout containers should be discarded as regular garbage. See details https://t.co/de14vyfSZK</t>
  </si>
  <si>
    <t>@Always_Business We're sorry to hear this. You can report workers safety concerns to the NY State Dept. of Labor: https://t.co/4PeXZVhmQv</t>
  </si>
  <si>
    <t>@emilyabbate You also can contact Man. DOT Borough Commissioner: https://t.co/0vu0LvtCWw  &amp;amp; community board: https://t.co/cdf1vmkQp3  2/2</t>
  </si>
  <si>
    <t>@emilyabbate Sorry to hear. Even if there's variance, you can report afterhours construction noise online here: https://t.co/eg2cudK02g 1/2</t>
  </si>
  <si>
    <t>@SarahZar DM &amp;amp; we'll report this cave-in for you. Or you can file online here: https://t.co/YnJ8TJxvvd or w/App: https://t.co/FRAGoS7hV4</t>
  </si>
  <si>
    <t>@amy_grech You can find Tenants' Rights &amp;amp; Housing Court info: https://t.co/lpht487tF2  &amp;amp; Legal assistance info: https://t.co/eoj4hVIR0w</t>
  </si>
  <si>
    <t>@Beauvisage_ Please call us at 311 to report lost/stray animal or check online if dog has NYC licensetag. More info: https://t.co/lr5qNZ0O2U</t>
  </si>
  <si>
    <t>@jaicass0124 Sorry to hear &amp;amp;we hope it's restored.Please report power outages to ConEdison 1-800-752-6633 or online: https://t.co/vgjNhpblFt</t>
  </si>
  <si>
    <t>@The_Last_View Always call 911 if immediate danger.Please note,this acct. monitored M-F/9AM-5PM.Report st. flooding: https://t.co/RglYAxD51D</t>
  </si>
  <si>
    <t>If you need heat relief, Cooling Centers are open today. Find online: https://t.co/FahxGELmLh or text 311-692. Call ahead to confirm hours.</t>
  </si>
  <si>
    <t>@ShawnChittle We can't file via Twitter. Please contact DOT’s Man. Borough Comm. at 212-839-6210 or w/online form: https://t.co/Toeq1DHmGr</t>
  </si>
  <si>
    <t>Cooling Centers are open through tomorrow, Tue, July 26. Find one online: https://t.co/FahxGELmLh or text 311-692. Call ahead for hours.</t>
  </si>
  <si>
    <t>Request homeless outreach assistance w/App: https://t.co/ECVmfGOvMI     or call 311. Call 911 if someone needs immediate medical attention.</t>
  </si>
  <si>
    <t>@MICHELLED3333 We're sorry to see that. Call 911 to report acts of criminal mischief or vandalism: https://t.co/j0wez7ukN4</t>
  </si>
  <si>
    <t>¿Sabías que con @IDNYC puedes tener suscripciones a 40 instituciones culturales? Haga una cita aquí:https://t.co/9OYMEZS0Ek</t>
  </si>
  <si>
    <t>@jeremy646 It looks like officer spoke w/autoshop to correct condition.You can contact precinct for further details: https://t.co/acqxS6oVE8</t>
  </si>
  <si>
    <t>@EmilieSagot We're not able to file this pedestrian/traffic signal condition on Twitter/online. Please call us at 311 to report w/phone rep.</t>
  </si>
  <si>
    <t>@BKLAMMZ @nycHealthy areas determined by activity. Report standing water: https://t.co/hxxCIumeWd &amp;amp; mosquito swarms: https://t.co/SrNMb2FE11</t>
  </si>
  <si>
    <t>@Magnotron @NYC_DOT @nycgov @nycgob Report illegal parking in progress online: https://t.co/EMYJOu6Ith or w/App: https://t.co/FRAGoS7hV4</t>
  </si>
  <si>
    <t>See a pothole? Report online: https://t.co/YnJ8TJxvvd , App: https://t.co/4JDKq5BCFY, DM/FB: https://t.co/P0TX8alKze https://t.co/u119pUkIE1</t>
  </si>
  <si>
    <t>@D_J721 Please Direct Message us more details so we can further assist without character limit. Thank you.</t>
  </si>
  <si>
    <t>@harbaugh76 @NYPD20Pct @HelenRosenthal Send public safety feedback: https://t.co/wAxD4pXP9N. Report traffic trend: https://t.co/BijO0Lp7ek</t>
  </si>
  <si>
    <t>@XioNYC @JeffLandale Thanks for mention. File lost item to TLC online &amp;amp; they'll use trip details to track it down: https://t.co/jBKVSaj5g5</t>
  </si>
  <si>
    <t>@NewYorkStats @EpochTimesNYC @NYCMayorsOffice You can contact your CB: https://t.co/cdf1vmkQp3  &amp;amp; local officials: https://t.co/RJydEOGqvZ</t>
  </si>
  <si>
    <t>@meijuncai Thanks @FDNY If still a problem, DM your name/phone #,  &amp;amp; we'll file for you. Or report damage online: https://t.co/GpMHd3TfvA</t>
  </si>
  <si>
    <t>Get discounts on prescription meds, quit-smoking &amp;amp; diabetic supplies w/free BigAppleRx card: https://t.co/RrH7Whdllo https://t.co/HKoL4nu50I</t>
  </si>
  <si>
    <t>@MICHELLED3333 Please DM us more location details &amp;amp; we'll file this graffiti issue or you can file online here: https://t.co/KtDptASAiN</t>
  </si>
  <si>
    <t>@ronlee1973 MTA is a state agency. Please report problem to MTA directly online here: https://t.co/vcjTxfQdQA or call them at 511.</t>
  </si>
  <si>
    <t>@SyedAAli @NYC_DOT You can report problem to MTA directly: https://t.co/vcjTxfQdQA  &amp;amp; file traffic trend w/DOT here: https://t.co/BijO0Lp7ek</t>
  </si>
  <si>
    <t>@Ktladner Sorry to hear. How police dept. handles noise complaints: https://t.co/39kNhirVka. Check SR status notes: https://t.co/ZIyJKuXCjn</t>
  </si>
  <si>
    <t>@DanielNYCPA @NYCSanitation Thanks for your photo. You can make a complaint about a private carter online here: https://t.co/3SDiVqYswg</t>
  </si>
  <si>
    <t>@WakefieldBxDave @NYCSanitation You also can contact CB: https://t.co/cdf1vmkQp3  &amp;amp; local elected officials: https://t.co/RJydEOGqvZ  2/2</t>
  </si>
  <si>
    <t>@WakefieldBxDave @NYCSanitation Blocked st. complaints go to precinct for non-emergency response.Please DM any SR#s so we can research.  1/2</t>
  </si>
  <si>
    <t>@NY4P @NYCWater Thanks for mention! Park maintenance also can be reported online: https://t.co/59317JLz4G or by App: https://t.co/FRAGoS7hV4</t>
  </si>
  <si>
    <t>@adrirena In the future, you can report neighbor/street noise in progress w/exact address or intersection: https://t.co/tsfL0PK7Na 2/2</t>
  </si>
  <si>
    <t>@adrirena Sorry to hear. Please note, this acct. monitored M-F, 9AM-5PM. You can always file online, by App, or by calling us at 311.  1/2</t>
  </si>
  <si>
    <t>@steve_ohh @NYC_DOT We're not able to file this pedestrian/traffic signal condition on Twitter. Please call us at 311 to report w/phone rep.</t>
  </si>
  <si>
    <t>@GothamBikeTours You can report fallen tree online: https://t.co/3SeXvXviWt or w/ App: https://t.co/FRAGoS7hV4. Or DM &amp;amp; we'll file for you.</t>
  </si>
  <si>
    <t>@temashana Thanks for your posts. We are replying to your Direct Message.</t>
  </si>
  <si>
    <t>@GothamBikeTours Sorry to hear this. Please Direct Message your service request numbers so we can research and advise. Thank you.</t>
  </si>
  <si>
    <t>Yes! Request firehouse spraycap: https://t.co/z8RIYNT8M2. File illlegally opened hydrant:  https://t.co/KKJYSJeoP7   https://t.co/QJgm56MicS</t>
  </si>
  <si>
    <t>@FlatFrontChinos In future, report as non-emergency illegal parking in progress online or w/311 App: https://t.co/EMYJOu6Ith  2/2</t>
  </si>
  <si>
    <t>@FlatFrontChinos  Thanks for you pic. Please note this acct. monitored M-F, 9 AM–5 PM. Illegal parking must be filed while in progress 1/2</t>
  </si>
  <si>
    <t>@philipneumann @NYC_DOT Please DM your name &amp;amp; phone # &amp;amp; we'll file for you or report catchbasin issue to DEP here: https://t.co/IOy2STzbFq</t>
  </si>
  <si>
    <t>@jeanniekim We're sorry to hear this. DM us &amp;amp; we’ll file as park maintenance for you. Or you can file online/app: https://t.co/59317JLz4G</t>
  </si>
  <si>
    <t>@Lucia_Spina @NYCParks Please DM us &amp;amp; we’ll file this parks maintenance report for you and send your Service Request number. Thank you.</t>
  </si>
  <si>
    <t>@ponti613 Call 911 to report squeegee activity in progress. Please call us at 311 to report past/chronic squeegee: https://t.co/DidvmjckbP</t>
  </si>
  <si>
    <t>@JamesStress79 If hydrant is often opened illegally, you can request it be fitted with a lock here: https://t.co/v1zMqU5WKJ.  3/3</t>
  </si>
  <si>
    <t>@JamesStress79 You can also report online here: https://t.co/KKJYSJeoP7  or with our free App: https://t.co/FRAGoS7hV4.  2/3</t>
  </si>
  <si>
    <t>@JamesStress79 You can DM us location/name/phone weekdays, 9AM-5PM &amp;amp; we’ll file running hydrants for you. 1/3</t>
  </si>
  <si>
    <t>@VRGreenCity @NYCDCA @NYCSmallBizSvcs @NYC_Buildings @FDNY Find NY State business license/permit info &amp;amp; req here: https://t.co/Ql9zDfktgv</t>
  </si>
  <si>
    <t>@WakefieldBxDave Thanks for link. You can report a street blocked by personal property in progress online here: https://t.co/tXKRiC657X</t>
  </si>
  <si>
    <t>#CoolingCenters open today. Find one: https://t.co/FahxGELmLh or text 311-692. Be sure to call ahead. #BeatTheHeat https://t.co/m5a4cUScDz</t>
  </si>
  <si>
    <t>Las piscinas públicas al aire libre están abiertas hoy. Para visitar una cercana a ti, haz un clic aqui: https://t.co/clz73ioJHb</t>
  </si>
  <si>
    <t>You can request homeless outreach support from @NYCDHS  w/the free #NYC311 App or by calling us at 311: https://t.co/ECVmfGOvMI</t>
  </si>
  <si>
    <t>#BeatTheHeat tips in audio &amp;amp; 10+ languages, incl. VENZA EL CALOR 防暑降溫 ЖАРА НАМ НЕ СТРАШНА POU DEBAT AK CHALÈ A: https://t.co/QDIq5ydtvc</t>
  </si>
  <si>
    <t>#CoolingCenters are open today. Find locations online: https://t.co/FahxGELmLh or text 311-692. Be sure to call ahead to #Beattheheat</t>
  </si>
  <si>
    <t>Cool off with @NYCParks, at a pool: https://t.co/jojpJpXTsJ, beach: https://t.co/uaJaUiUJBz or sprinkler: https://t.co/laDGTR1TeP</t>
  </si>
  <si>
    <t>Manténganse fresco y saludable en este calor con la guía #BeattheHeat de @NYCOEM: https://t.co/dJ57aJSS2L Disponible en español.</t>
  </si>
  <si>
    <t>Did you know you can cool off at your local @NYCParks /playground? Find a sprinkler area/spray shower near you: https://t.co/laDGTR1TeP</t>
  </si>
  <si>
    <t>There is a #HeatAdvisory in effect today until 7PM. Learn how to #beattheheat with tips by @NYCOEM: https://t.co/QDIq5ydtvc  #Staycool</t>
  </si>
  <si>
    <t>#Beattheheat NYers. #CoolingCenters are open today: https://t.co/FahxGELmLh or text 311-692. Be sure to call ahead. https://t.co/spclK16lqi</t>
  </si>
  <si>
    <t>@litterbox_1MM Property owners must clean up animal waste on their property. Find info &amp;amp; report animal waste online: https://t.co/lyRlFaJHZX</t>
  </si>
  <si>
    <t>Conoces tu restaurante favorito; ¿pero sabes el grado de letra? Compruébalo con @NYCHealthy: https://t.co/C0JrlROpDW</t>
  </si>
  <si>
    <t>@vidrik1 Sorry to hear that. You can check SR status online: https://t.co/baflJHCxKL. Please DM SR # &amp;amp; details if we can further assist.</t>
  </si>
  <si>
    <t>#Coolingcenters open through Mon: https://t.co/gYRD5KPhZN or text 311-692. Be sure to call ahead. #BeatTheHeat: https://t.co/QDIq5ydtvc</t>
  </si>
  <si>
    <t>Thanks! NYC residents can find cooling centers online here: https://t.co/FahxGEtLmH or by texting 311-692  https://t.co/bmTtSiVFgN</t>
  </si>
  <si>
    <t>@JamesStress79 You can check SR status: https://t.co/baflJHCxKL. Please DM more details if we can further assist with no character limit.</t>
  </si>
  <si>
    <t>Request homeless outreach assistance w/App: https://t.co/ECVmfGOvMI    or call 311. Call 911 if someone needs immediate medical attention.</t>
  </si>
  <si>
    <t>Thanks! NYC residents also can find a cooling center online here: https://t.co/FahxGELmLh or by texting 311-692  https://t.co/NdFUulinZ5</t>
  </si>
  <si>
    <t>@HeidiNYC Thanks for your messages. We’ve responded to your Direct Message.</t>
  </si>
  <si>
    <t>Keep cool in @NYCParks free public pools. Check rules &amp;amp; regs &amp;amp; know what to bring: https://t.co/akMJ0m0wav https://t.co/55PynMKqEa</t>
  </si>
  <si>
    <t>Cool down while having a blast! Find a spray shower in @NYCParks  or playground near you: https://t.co/a9VB3RZKOi https://t.co/LYnbZgR36v</t>
  </si>
  <si>
    <t>@aimeefriedman Check active st. permits:https://t.co/Jr2qs6GeLF
Contact DOT borough commissioner by phone/email:https://t.co/0vu0LvtCWw  2/2</t>
  </si>
  <si>
    <t>@aimeefriedman Please DM us &amp;amp; we'll report a street blocked by construction for you. Or you can report online: https://t.co/tXKRiC657X 1/2</t>
  </si>
  <si>
    <t>@vertleecarolyn @NYC_DOT @NYCParks Please DM us &amp;amp; we’ll file this parks maintenance report for you and further advise. Thank you.</t>
  </si>
  <si>
    <t>@WillSennett Call 911 if immediate danger.If no emergency,please call us at 311 to report trafficsignal w/phone rep for proper prioritizing.</t>
  </si>
  <si>
    <t>@TheQuietCar We’re sorry to hear that. You can report a problem with a green boro taxi driver here: https://t.co/bvDUKWbWOa</t>
  </si>
  <si>
    <t>@inwoodgovt Thanks! Streetlight conditions can also be reported w/311 App: https://t.co/FRAGoS7hV4 or here by DM weekdays during biz hours.</t>
  </si>
  <si>
    <t>@SarahBTweets You can report off-hours and/or excessive noise to DEP (even if there’s variance) here: https://t.co/eg2cudK02g   2/2</t>
  </si>
  <si>
    <t>@SarahBTweets Construction is usually allowed 7AM-6PM. See active street construction permits online here: https://t.co/Jr2qs6GeLF  1/2</t>
  </si>
  <si>
    <t>@a4evanygirl You can report off-hours/excessive construction noise: https://t.co/eg2cudK02g &amp;amp; send DEP concern here: https://t.co/0ZudR4unRR</t>
  </si>
  <si>
    <t>@JohnnyDaGrouch Sorry to hear. You can report a problem with a yellow taxi driver online here: https://t.co/Xo1kD5VSiZ</t>
  </si>
  <si>
    <t>RT @NotifyNYC: Heat Advisory: 12PM 7/22 to 7PM 7/23. Air Quality Advisory 7/22 11AM-11PM. More info: https://t.co/EFB4wwOWWf.</t>
  </si>
  <si>
    <t>#Coolingcenters open today 7/22: https://t.co/FahxGELmLh  or text 311-692. Call ahead for hours. #BeatTheHeat info: https://t.co/QDIq5ydtvc</t>
  </si>
  <si>
    <t>@RadioFreeUnite @Gett You can file a car service complaint online: https://t.co/Xs3w4NP9tm, or DM us details so we can further assist.</t>
  </si>
  <si>
    <t>@HamTech87 @capntransit Report blocked bike lanes as illegal parking online: https://t.co/EMYJOu6Ith  or 311 App: https://t.co/4JDKq5BCFY</t>
  </si>
  <si>
    <t>@MattyOaks Call 911 if immediate danger.  If no emergency, DM &amp;amp; we’ll file. Or report dust from construction online: https://t.co/zOvvfCwJdf</t>
  </si>
  <si>
    <t>#BeatTheHeat tips in audio &amp;amp; 10+ languages, incl. VENZA EL CALOR 防暑降溫 ЖАРА НАМ НЕ СТРАШНА POU DEBAT AK CHALÈ A: https://t.co/3PSCKccTy3</t>
  </si>
  <si>
    <t>@venusg Thanks! NYC residents can get free water lead test kit by calling, or they can submit this online form: https://t.co/YCuS26m5LK</t>
  </si>
  <si>
    <t>You can find a child care center &amp;amp; view inspection reports, violations, &amp;amp; more with NYC Child Care Connect: https://t.co/s39qvBV9xF</t>
  </si>
  <si>
    <t>Are you interested in becoming an EMT for the City? Apply for @FDNY’s EMT exam until Tue. July 26: https://t.co/vRQ9C9BVke</t>
  </si>
  <si>
    <t>@EGarmanyc You can find info &amp;amp; file a property damage claim online here: https://t.co/XbBCpG0X4j</t>
  </si>
  <si>
    <t>@subtle116 @NYC_Buildings Thanks for your messages. We've replied to your DM.</t>
  </si>
  <si>
    <t>@yediteddy No, there isn't. However, you can find contact information for your local police precinct online here: https://t.co/acqxS6oVE8</t>
  </si>
  <si>
    <t>@subtle116 @NYC_Buildings Feel free to DM if we can further assist without character restriction. Thank you. 3/3</t>
  </si>
  <si>
    <t>@subtle116 @NYC_Buildings Building construction work being done afterhours/beyond/without permit is for DOB: https://t.co/WB3l2lK3JZ 2/3</t>
  </si>
  <si>
    <t>@subtle116 @NYC_Buildings SR status is avail. after 24hrs. Afterhours construction noise complaints go to DEP: https://t.co/eg2cudK02g 1/3</t>
  </si>
  <si>
    <t>Just moved? #NYC311 My Neighborhood shows trash/recycling schedule, comm.board, &amp;amp; more: https://t.co/BpaCtajHjR https://t.co/Og9Kh0QUqM</t>
  </si>
  <si>
    <t>@leauncc @NYCMayorsOffice @nypost Please call 911 to report homeless creating hazard or 311 to report an encampment: https://t.co/ltWaS4gMcU</t>
  </si>
  <si>
    <t>@BikeLukeBike @StephenLevin33 @BrooklynSpoke Or DM us name &amp;amp; phone number and add'l location details and we'll file for you. Thanks.</t>
  </si>
  <si>
    <t>@BikeLukeBike @StephenLevin33 @BrooklynSpoke Sorry to hear. You can report oil spill in a street online here: https://t.co/ZHPSww3ySZ</t>
  </si>
  <si>
    <t>@AsifDanish Please DM us &amp;amp; we'll file for you or you can report a defective sprinkler system online here: https://t.co/Wk9SOokRCj</t>
  </si>
  <si>
    <t>@hometweethomeNY Sorry to hear. Non-emergency vehicles may not idle more than 3min. Report idling vehicle online: https://t.co/7PvsLEGngU</t>
  </si>
  <si>
    <t>@MichaelJRupert You can file complaint by calling us at 311 or using this police dept. online form: https://t.co/wAxD4pXP9N  2/2</t>
  </si>
  <si>
    <t>@MichaelJRupert Vandalism/criminal mischief should be reported by calling 911: https://t.co/j0wez7ukN4 1/2</t>
  </si>
  <si>
    <t>@coldbrewaf @NYC_DOT Thanks for your post. You can send comments &amp;amp; opinions to the Mayor by email or mail: https://t.co/8K8Yqm9HvO</t>
  </si>
  <si>
    <t>@yediteddy You can send your suggestion/concern to police dept. with their online form: https://t.co/wAxD4pXP9N  2/2</t>
  </si>
  <si>
    <t>@yediteddy Reporting noise from vehicle/street/biz must be while in progress. Currently that form doesn't allow pic/video attachment. 1/2</t>
  </si>
  <si>
    <t>Need a copy of your birth certificate? Find out how to obtain a copy online, by mail or in person: https://t.co/nXCAowahRU</t>
  </si>
  <si>
    <t>@Jason_Katz You can report noise in progress online here: https://t.co/gDVKxnPETe. Contact CB about chronic issue: https://t.co/cdf1vmkQp3</t>
  </si>
  <si>
    <t>@li_peng @NYCWater Thanks for your messages. We replied to your DM.</t>
  </si>
  <si>
    <t>¿Acabas de moverte? Utiliza “Mi Barrio” en el 311 página de inicio para aprender sobre tu comunidad: https://t.co/hVqyvaIyew  #NYC311</t>
  </si>
  <si>
    <t>@li_peng @NYCWater Thanks for your patience.Please Direct Message us specific location details w/o character limit so we can advise &amp;amp;assist.</t>
  </si>
  <si>
    <t>@PoisonIvy333 @ABC7NY @NYGovCuomo @BilldeBlasio Call 311 for hghwyconstruction issue: https://t.co/m5oJcogeL4. Call 911 if immediate danger.</t>
  </si>
  <si>
    <t>Are you a pregnant/new mother seeking healthy food, nutrition, &amp;amp; prenatal care? Get info on the WIC Program: https://t.co/MxItvPQkFs</t>
  </si>
  <si>
    <t>Think your neighborhood needs more public spaces to sit? Request a #CityBench from @NYC_DOT: https://t.co/j1zoKbEGUA</t>
  </si>
  <si>
    <t>@DanielR11220 Yes, thanks for your messages. We've sent you a reply via Direct Message.</t>
  </si>
  <si>
    <t>@yediteddy You can report noise in progress from vehicle here: https://t.co/8p4eRpcJtP &amp;amp; illegal parking: https://t.co/EMYJOu6Ith  &amp;amp; w/App</t>
  </si>
  <si>
    <t>@yediteddy Please contact your Community Board https://t.co/cdf1vmkQp3 &amp;amp; local elected officials: https://t.co/RJydEOGqvZ for advice/assist.</t>
  </si>
  <si>
    <t>.@nycHealthy’s CalCutter app can help you count calories and lower intake. Get more info &amp;amp; download here: https://t.co/jrmP6uj9Zf</t>
  </si>
  <si>
    <t>@PoisonIvy333 @NYCParks Call 911 if there's immediate danger: https://t.co/24rXjwaxkk You can check SR status here: https://t.co/baflJHCxKL</t>
  </si>
  <si>
    <t>@Yolanda73464435 @NYCParks DM us &amp;amp; we'll file for you. Or you can report fallen tree with 311 app or online here: https://t.co/3SeXvXviWt</t>
  </si>
  <si>
    <t>@eminencess We're not sure. You can reach out to DOT borough commissioner by phone or email to inquire: https://t.co/0vu0LvtCWw. Thank you.</t>
  </si>
  <si>
    <t>Want to reduce speeding in your neighborhood? Request the installation of a speed bump/reducer online: https://t.co/CffKjAoyU1</t>
  </si>
  <si>
    <t>@DarthCoven Sorry to hear. Please DM us date/time/phone number you called from so we can research your call experience &amp;amp; advise. Thank you.</t>
  </si>
  <si>
    <t>@kristenrapp Thanks for filing. You can check your the status of your Service Request online here: https://t.co/fCVqD5gUNB</t>
  </si>
  <si>
    <t>@stephsaidit Call 911 for immediate medical attention. Call 311 or use App to request homeless outreach assistance:
https://t.co/ECVmfGOvMI</t>
  </si>
  <si>
    <t>@goldylocks78 You can send traffic agent feedback to the police department using this online form: https://t.co/wAxD4pXP9N</t>
  </si>
  <si>
    <t>@PoisonIvy333 DM us &amp;amp; we'll file for you or if you prefer, you can report fallen tree with the 311 app or online: https://t.co/3SeXvXviWt</t>
  </si>
  <si>
    <t>@ourbikelanenyc You can report a blocked bike lane as double parking.</t>
  </si>
  <si>
    <t>@ourbikelanenyc Illegal parking categories are set by NYPD. Submit your suggestion as public safety agency feedback: https://t.co/wAxD4pXP9N</t>
  </si>
  <si>
    <t>@dustinbetterly Standing Water SR response time varies, but status is available 30 days from date filed. SR Look-Up: https://t.co/baflJHCxKL</t>
  </si>
  <si>
    <t>@BigSamDa1st You can report an abandoned vehicle w/ no plates online here: https://t.co/GPMFZlN1zl or w/app: https://t.co/FRAGoS7hV4</t>
  </si>
  <si>
    <t>School's out, #SummerMeals are in. NYC kids 18 &amp;amp; under can get #free breakfast &amp;amp; lunch. Find info &amp;amp; locations: https://t.co/Y6xVSr1zTe</t>
  </si>
  <si>
    <t>From BBQ regs in 2009 to Service Request &amp;amp; more today, we're proud to be serving NYC on @twitter for 7 years https://t.co/W8xRKReEhe</t>
  </si>
  <si>
    <t>@amgon13 Thanks for post. The resolution may take up to 45 days, but the initial contact from TLC to confirm details will be within 14 days.</t>
  </si>
  <si>
    <t>@tribecacitizen @NYCParks @NYC_DOT Please DM us so we can research &amp;amp; further advise. Thank you.</t>
  </si>
  <si>
    <t>.@FDNY’s #EMT (emergency medical specialist) exam filing period is now open until July 26. Learn more &amp;amp; apply: https://t.co/vRQ9C9BVke</t>
  </si>
  <si>
    <t>@MagRahn Report idling online: https://t.co/7PvsLEGngU. Send feedback to DOT borough commissioner by phone/email: https://t.co/0vu0LvtCWw</t>
  </si>
  <si>
    <t>@ScottMillerMLB You might want to contact your CB: https://t.co/cdf1vmkQp3  &amp;amp; local officials: https://t.co/RJydEOGqvZ re: chronic issue.2/2</t>
  </si>
  <si>
    <t>@ScottMillerMLB You can contact the DOT borough commissioner by phone or email for further info/assistance: https://t.co/0vu0LvtCWw.  1/2</t>
  </si>
  <si>
    <t>@SocialTwurker You can contact the DOT Manhattan borough commissioner by phone or email for further assistance/info: https://t.co/0vu0LvtCWw</t>
  </si>
  <si>
    <t>@NycBMW Or you can file online: https://t.co/K6T2jCGdMH. You can request new meters here: https://t.co/FMa7QvyPsm.  2/2</t>
  </si>
  <si>
    <t>@NycBMW Please DM us meter number, location&amp;amp; email &amp;amp; we'll report a broken muni-meter for you. Or file w/app: https://t.co/FRAGoS7hV4. 1/2</t>
  </si>
  <si>
    <t>It’s never too late to find out if you qualify for City, State, &amp;amp; Federal benefits with #ACCESSNYC: https://t.co/JnSd52zlLW</t>
  </si>
  <si>
    <t>@mattunger1 @NYC_DOT We're sorry to hear this. You can report off-hours noise from construction online here: https://t.co/eg2cudK02g</t>
  </si>
  <si>
    <t>@ScottMillerMLB We're sorry to hear this. You can report off-hours noise from construction online here: https://t.co/eg2cudK02g</t>
  </si>
  <si>
    <t>@ShoutOut2U4Fllw Call 911 to report person who appears emotionally disturbed or is causing danger/hazard condition to themselves/others.</t>
  </si>
  <si>
    <t>@Phil16723  Please DM &amp;amp; we'll file this streetlight condition for you. Or you can file  online or with the app: https://t.co/HHn1tnJphf</t>
  </si>
  <si>
    <t>Need to pay a parking ticket? There's more than one way to do it. Learn more here: https://t.co/FP3jGTKgBq</t>
  </si>
  <si>
    <t>@soso_blue @NYCHA Thank you, we've received the DM and will be replying to it shortly.</t>
  </si>
  <si>
    <t>RT @NotifyNYC: .@NWSNewYorkNY Severe Thunderstorm Warning issued for BK &amp;amp; QN until 5:15 PM. Updates: https://t.co/t918yhlx8z. ASL: https://…</t>
  </si>
  <si>
    <t>@soso_blue Unfortunately, we have not received a DM from you. Please try again or call us at 311 to file with a phone rep. Thank you.</t>
  </si>
  <si>
    <t>@gothamcarguy @NYPD20Pct @NYC_DOT Thanks for pic. You can file this blocked street by personal property online: https://t.co/tXKRiC657X</t>
  </si>
  <si>
    <t>@fuhroot @backoffhomie Thanks for the mention.  You can report this as animal abuse/neglect online here: https://t.co/6ctRTQfIR2</t>
  </si>
  <si>
    <t>@Nanceathy If you like you can DM us details and we'll do our best to advise on the situation.</t>
  </si>
  <si>
    <t>@LordBacon13 You can call the Traffic Violations Bureau for further assistance, M-F, 8 AM – 4 PM at 718-488-5710: https://t.co/6g5X79cHyh</t>
  </si>
  <si>
    <t>¿Te gustaría tener un evento/feria/festival en tu comunidad? Aprende como obtener los permisos necesarios: https://t.co/H4Gl9u5dAD</t>
  </si>
  <si>
    <t>@LordBacon13 Hi, you can get a copy of a traffic violation ticket online: https://t.co/fVbaPg8W7C, using full name, date of birth, &amp;amp; gender.</t>
  </si>
  <si>
    <t>@corcino_claudia @eric7anthony @NYC_DOT DM us &amp;amp; we’ll file for you. Or you can report overgrown grass/weeds here: https://t.co/mwUbod7frk</t>
  </si>
  <si>
    <t>@SocialTwurker DM us &amp;amp; we'll report this cave-in for you. Or you can file online here: https://t.co/YnJ8TJxvvd</t>
  </si>
  <si>
    <t>@NYC_DOT @BrandonWC @miller_stephen Hi, thanks for the mention. You also can DM us &amp;amp; we'll file this street sign defect report for you.</t>
  </si>
  <si>
    <t>@Music_LoveAll You can find park hours, travel directions, and other information online here: https://t.co/QbSw7jU4ug</t>
  </si>
  <si>
    <t>@NYCParks @leslieann_b Hi, you also can report this with our free NYC311 mobile app: https://t.co/FRAGoS7hV4</t>
  </si>
  <si>
    <t>@jefdiesel @NYCMayorsOffice Call 911 for illegal eviction: https://t.co/MeZTifcy0i See tenant harrassment info: https://t.co/givGMPPdEv</t>
  </si>
  <si>
    <t>@jefdiesel @NYCMayorsOffice @NYCHousing We're sorry to hear that. Please DM us &amp;amp; we'll file dirty sidewalk report for you &amp;amp; send you SR #.</t>
  </si>
  <si>
    <t>NYC children 18 &amp;amp; under don’t have to attend @NYCSchools to receive #free Summer Meals. More info &amp;amp; locations: https://t.co/7B6ZqPIcGB</t>
  </si>
  <si>
    <t>@mbkratter Report food safety issues at a supermarket to NYS online: https://t.co/UykLIjLv4U  or call us at 311 to speak with a phone rep.</t>
  </si>
  <si>
    <t>@feulf Thanks for photo. Please DM us &amp;amp; we’ll file this as a failed street repair for you. Or you can file online: https://t.co/YnJ8TJxvvd</t>
  </si>
  <si>
    <t>@Nice_White_Lady Always call 911 to report harassment: https://t.co/dJsRMQyTB1 or disorderly conduct in progress: https://t.co/KaVJb2qExF</t>
  </si>
  <si>
    <t>@litterbox_1MM Please provide more details so we can better understand issue &amp;amp; advise. You can Direct Message us if you prefer. Thank you.</t>
  </si>
  <si>
    <t>@thejoshuablog If you like, you can send feedback about features &amp;amp; services in App’s ‘More’ section.</t>
  </si>
  <si>
    <t>@uberdriver2016 Always call 911 to report person who appears emotionally disturbed or causing danger/hazard condition to themselves/others.</t>
  </si>
  <si>
    <t>@MIKEBRONXNY Yes, alternate side parking rules are in effect today, 7/18. Follow @NYCASP for daily updates.</t>
  </si>
  <si>
    <t>@stephsaidit You can also report construction being done after hours (off-hours) or without permit here: https://t.co/WB3l2lK3JZ  2/2</t>
  </si>
  <si>
    <t>Follow #NYC311 on Instagram to see our Contact Center events includ. Social Media, Int'l, &amp;amp; Summer Theme Days: https://t.co/fwpVfzy6Xe</t>
  </si>
  <si>
    <t>@stephsaidit We're sorry to hear that. You can report off-hours noise from construction online here: https://t.co/eg2cudK02g   1/2</t>
  </si>
  <si>
    <t>@will_bastian @BilldeBlasio Please DM us any Service Request numbers you have so we can research and further assist. Thank you.</t>
  </si>
  <si>
    <t>@inlandyears Always call 911 to report criminal mischief/vandalism/theft. In future report neighbor noise here: https://t.co/tsfL0PK7Na</t>
  </si>
  <si>
    <t>@WakefieldBxDave Please call us at 311 to report an issue with a City vehicle with a phone representative. Thank you.</t>
  </si>
  <si>
    <t>#Coolingcenters open Mon 7/18: https://t.co/FahxGELmLh or text 311-692. Call for hours. More ways to #BeatTheHeat: https://t.co/QDIq5ydtvc</t>
  </si>
  <si>
    <t>Solicita ayuda con @NYCDHS usando el 311App para aquellos sin hogar y busca un centro de ayuda cerca: https://t.co/98pyOYgSJM</t>
  </si>
  <si>
    <t>See a leaking/running hydrant? Report it online here:
https://t.co/KKJYSJeoP7 or via the 311 App: https://t.co/FRAGoS7hV4</t>
  </si>
  <si>
    <t>If you see a homeless person in need, you can use the free NYC311 app to request homeless outreach assistance: https://t.co/FRAGoS7hV4</t>
  </si>
  <si>
    <t>Know before you go. Check planned street, bridge and highway closures with @NYC_DOT: https://t.co/e1Hn8bNqBf</t>
  </si>
  <si>
    <t>#Coolingcenters open today: https://t.co/FahxGELmLh or text 311-692. Call to confirm hrs. More ways to #BeatTheHeat: https://t.co/QDIq5ydtvc</t>
  </si>
  <si>
    <t>¿Andas buscando un apartamento en NYC? @NYCHousing ofrece residentes consejos y una lista de ayudarte: https://t.co/aqbErWLkrN</t>
  </si>
  <si>
    <t>Make your neighborhood cleaner and greener. Request a new street tree with  @MillionTreesNYC: https://t.co/JYsJh8NEhx</t>
  </si>
  <si>
    <t>Keep cool &amp;amp; #beattheheat  for #free at  @NYCParks  public pools: https://t.co/jojpJpXTsJ  or public beach:  https://t.co/uaJaUiUJBz</t>
  </si>
  <si>
    <t>#Coolingcenters are open today &amp;amp; tomorrow. Find one at https://t.co/FahxGELmLh or text 311-692. Call ahead for hours.</t>
  </si>
  <si>
    <t>@WakefieldBxDave Always call 911 to report reckless driving in progress: https://t.co/EpExbD6duH</t>
  </si>
  <si>
    <t>Los centros públicos con A/C están abiertos hoy y las horas varían según la ubicación. Llama primero y encuentre uno:https://t.co/TjhzuPYMV6</t>
  </si>
  <si>
    <t>Find #coolingcenter: https://t.co/FahxGELmLh  or text 311-692.(Call ahead to confirm hrs) More ways to #BeatTheHeat: https://t.co/QDIq5ydtvc</t>
  </si>
  <si>
    <t>@marcusmonroe Status updates come from responding agency. Please DM us &amp;amp; we'll refile for you &amp;amp; include your original SR # in new report.</t>
  </si>
  <si>
    <t>@itsleevee Sorry to hear this. Please DM us date/time/phone number you called from so we can research your call experience. Thank you.</t>
  </si>
  <si>
    <t>@itsleevee High call volume can result in some delays. You can call ACC at 212-788-4000 to report a sick stray cat: https://t.co/XKDVtq7qkm</t>
  </si>
  <si>
    <t>Keep cool in @NYCParks free public pools. Check rules &amp;amp; regs &amp;amp; know what to bring: https://t.co/akMJ0m0wav https://t.co/1JK972LF5Z</t>
  </si>
  <si>
    <t>@girlskiier1 @NYC_Buildings @nycgov @NYCMayorsOffice Thanks for your post. Please DM us more details so we can further assist &amp;amp; advise.</t>
  </si>
  <si>
    <t>Request homeless outreach assistance w/App: https://t.co/ECVmfGOvMI  or call 311. Call 911 if someone needs immediate medical attention.</t>
  </si>
  <si>
    <t>@EngGregory @nycgov DM us &amp;amp; we'll file for you or you can report dumpster blocking street online here: https://t.co/Nrt0NM0n5X</t>
  </si>
  <si>
    <t>@MadCyclistNYC You can send public safety concern to police dept. using their online form: https://t.co/wAxD4pXP9N</t>
  </si>
  <si>
    <t>There is a #HeatAdvisory in effect today until 7PM. Find cooling center locations: https://t.co/FahxGELmLh . Call ahead to confirm hours.</t>
  </si>
  <si>
    <t>@TheChiefWahoo We're not sure. The DOT Bronx Borough Commissioner may have info. You can contact by phone or email: https://t.co/0vu0LvtCWw</t>
  </si>
  <si>
    <t>#AirQuality Health Advisory is in effect today until 11PM. See tips for keeping safe: https://t.co/kbsv0lRYZI  &amp;amp; https://t.co/5p9jYSir3D</t>
  </si>
  <si>
    <t>@lornagrl DM us &amp;amp; we'll file for you or if you prefer, you can report fallen tree branch w/311 app or online: https://t.co/3SeXvXviWt</t>
  </si>
  <si>
    <t>@jaschumacher DM us &amp;amp; we'll file for you or if you prefer, you can report fallen tree branch w/311 app or online: https://t.co/3SeXvXviWt</t>
  </si>
  <si>
    <t>@speeddemon807 In future/if condition still exists, please call us at 311 to report a traffic signal issue with a phone rep. Thank you.</t>
  </si>
  <si>
    <t>@melaniemgp In the future, please call us at 311 to report non-emergency traffic conditions with a phone rep for local precinct to respond.</t>
  </si>
  <si>
    <t>@yankeechick78 In future, please call us at 311 to report a traffic signal issue &amp;amp; non-emergency traffic condition w/phone rep. Thank you.</t>
  </si>
  <si>
    <t>Find a #coolingcenter near you online here: https://t.co/FahxGELmLh  or text 311-692. Call ahead to confirm hours. https://t.co/jbdYq34vk7</t>
  </si>
  <si>
    <t>¿Quieres saber si cualificas por 30+ beneficios públicos? Utilice ACCESS NYC aquí: https://t.co/BH7LrwgDvg</t>
  </si>
  <si>
    <t>Stay cool &amp;amp; healthy in the heat this summer with @nycoem’s Beat the Heat Guide: https://t.co/3PSCKccTy3 Also available in 6 languages.</t>
  </si>
  <si>
    <t>@jmcconway54 @NYCSanitation Please DM us any Service Request numbers you have so we can research and further assist. Thank you</t>
  </si>
  <si>
    <t>Need to report for #JuryDuty soon? Find City &amp;amp; State jury info, Juror Handbook &amp;amp; locations by county here: https://t.co/3Js9EwmRry</t>
  </si>
  <si>
    <t>@NYCSanitation @jmcconway54 Please DM us &amp;amp; we’ll file this parks maintenance report for you. Or you can file online: https://t.co/59317JLz4G</t>
  </si>
  <si>
    <t>@jggrivas @NYCMayorsOffice You can contact the DOT borough commissioner by phone or email to submit your concern: https://t.co/0vu0LvtCWw</t>
  </si>
  <si>
    <t>@tvswan DM &amp;amp; we’ll file for you or file sidewalk blocked by construction here: https://t.co/tXKRiC657X &amp;amp; no permit: https://t.co/WB3l2lK3JZ</t>
  </si>
  <si>
    <t>@mikeschnall @StatenIslUSA @NYCParks Sorry to hear you had trouble. Please DM us &amp;amp; we'll file park maintenance report for you &amp;amp; send SR #.</t>
  </si>
  <si>
    <t>@loidav Thanks for the photo. Please DM us &amp;amp; we'll file this as a cave-in for you or you can file online here: https://t.co/YnJ8TJxvvd</t>
  </si>
  <si>
    <t>There's still more than 15 ASP holidays to go in 2016. Download @NYC_DOT’s 2016 ASP calendar: https://t.co/PPt8u0iEco   &amp;amp; follow @NYCASP</t>
  </si>
  <si>
    <t>@tahiwriter85 Always call 911 to report homeless in subway/transit area/in danger. Call 311/use App if other areas: https://t.co/ECVmfGOvMI</t>
  </si>
  <si>
    <t>@coolDrae @NYCSanitation Thanks for looping us in. If you like, you also can DM us the location &amp;amp; details and we'll file this for you.</t>
  </si>
  <si>
    <t>@xbalesx Hi, DM &amp;amp; we'll file. Or report door open of large/chain store w/ A/C running to Consumer Affairs online: https://t.co/YaeywpyRkq</t>
  </si>
  <si>
    <t>Want to say goodbye to telemarketers? Sign up for the National Do Not Call Registry:https://t.co/VfRcpK0cCJ</t>
  </si>
  <si>
    <t>RT @NYCTSubway: #ServiceAlert: b/d, #4, #5, #6  lines expect extensive  delays,  due  to a signal problems. Allow  additional  travel time.</t>
  </si>
  <si>
    <t>RT @NYCTSubway: #ServiceAlert: b/d,  expect extensive  delays on the #1, #2, #3 lines, due to signal problems. Allow  additional travel time</t>
  </si>
  <si>
    <t>@CM_RubenWills @IDNYC Yes! Thanks for the mention. Folks can call or they can make an appointment online here: https://t.co/zmoz6ma4Xh</t>
  </si>
  <si>
    <t>@CeliaAlicata Hi, 311 currently doesn't accept reports by email. Please DM more details re: your concern so we can assist &amp;amp; advise. Thanks.</t>
  </si>
  <si>
    <t>@cartesianfaith We can help w/non-emergency info/services. Suspicious/unattended pkg is for 911 or MTA: https://t.co/EK0Wnc87ku</t>
  </si>
  <si>
    <t>@cartesianfaith ALways call 911 to report suspicious page: https://t.co/e59GU3DSlP You also can alert police officer or MTA employee nearby.</t>
  </si>
  <si>
    <t>@TomKelly73  Ah, sorry to hear that. Please reach out to DOF using their online inquiry form: https://t.co/xTfNJWHT0x Thank you.</t>
  </si>
  <si>
    <t>@skrealestate @NYC_DOT Please report subway issues to MTA directly by caling 511 or you can use their online form: https://t.co/vcjTxfQdQA</t>
  </si>
  <si>
    <t>@TenantNet We're sorry to hear that. Please DM us any service request numbers you may have so we can research and advise. Thank you.</t>
  </si>
  <si>
    <t>@micaelad Please Direct Message us specific location details (&amp;amp; email address if you'd like email confirmation) &amp;amp; we'll file for you.Thanks.</t>
  </si>
  <si>
    <t>@NYCParks @micaelad Yes, thanks. You can DM us &amp;amp; we'll file for you. You also can report park maintenance w/311 App: https://t.co/FRAGoS7hV4</t>
  </si>
  <si>
    <t>@TheQuietCar @nycdot Please Direct Message us &amp;amp; we’ll file this cave-in for you, or you can report it online here:  https://t.co/YnJ8TJxvvd</t>
  </si>
  <si>
    <t>@uberdriver2016 Always call 911 to report panhandling in progress. You can report past/recurring panhandling online: https://t.co/i3Dd7ZU66l</t>
  </si>
  <si>
    <t>@lotofmileage We need more info. Please Direct Message details w/o character limit so we can better understand your concern &amp;amp; advise.Thanks.</t>
  </si>
  <si>
    <t>@TomKelly73 We're sorry to hear you had trouble. If you're using Firefox, please try another browser.If problem persists, please DM details.</t>
  </si>
  <si>
    <t>@linduh1084 We're sorry to hear this. Please call us at 311 to file a Summer Meals program complaint with a phone rep. Thank you.</t>
  </si>
  <si>
    <t>@bradhoylman Call 911 if immediate danger.If not emergency,please call 311 to report unsafe scaffold w/phone rep for routing/documenting.2/2</t>
  </si>
  <si>
    <t>@bradhoylman Hi, that SR type isn’t currently available on App. We’ll share your suggestion with the App Team. 1/2</t>
  </si>
  <si>
    <t>Enjoy your summer with a good book. Find one at a City library: @NYPL @QueensLibrary @BrooklynLibrary: https://t.co/jgLHDCSvTr</t>
  </si>
  <si>
    <t>@CentralParkNYC @SeinfeldCallie Call 911 to report suspicious package. Or report found property to local precinct: https://t.co/SK03MEHwsT</t>
  </si>
  <si>
    <t>Seeking a home improvement contractor? @NYCDCA  has tips for checking references, licensees &amp;amp; more: https://t.co/kQExdtVYPw</t>
  </si>
  <si>
    <t>@RandomGuyInBp @NYCHRA See answers to SNAP FAQ: https://t.co/LPJuX9VpJw. If you have add'l questions, please call HRA infoline: 718-557-1399</t>
  </si>
  <si>
    <t>Our #NYC311 family is dedicated &amp;amp; hardworking. Learn more about us w/employee profiles on #YouTube: https://t.co/fl7kda8HKD  &amp;amp; subscribe.</t>
  </si>
  <si>
    <t>Yes, it’s possible &amp;amp; fun to camp in @NYCParks w/ #UrbanParkRangers. Enter the #free lottery for your chance: https://t.co/K7CF4UuhzI</t>
  </si>
  <si>
    <t>@jedgar Please call us at 311 to make a complaint about a bright film lights from a  movie or TV crew: https://t.co/F8jzItLLqi Thank you.</t>
  </si>
  <si>
    <t>@racooned But requesting removal of dumped items requires speaking w/phone rep, so please call us at 311 so you can report both. 2/2</t>
  </si>
  <si>
    <t>@racooned Call 911 to report illegal dumping in progress. You can report past/chronic illegal dumping online: https://t.co/bvxf4kku7I 1/2</t>
  </si>
  <si>
    <t>@Anakela21 Thanks for your photos. Please DM us &amp;amp; we’ll file for you. Or you can file a blocked sidewalk online here https://t.co/tXKRiC657X</t>
  </si>
  <si>
    <t>@ismaNYC If severely blocking pedestrian path, DM &amp;amp; we'll file w/Sanitation for you. Or you can file online here: https://t.co/mwUbod7frk</t>
  </si>
  <si>
    <t>@pburka @BillieBeta Call us at 311, M-F, 9AM-5PM to report discrimination with NYC Commission on Human Rights: https://t.co/EQ0ELpMtuh</t>
  </si>
  <si>
    <t>@Michael7Morales We're sorry to hear that. We don't handle MTA complaints. Please report directly w/MTA online here: https://t.co/vcjTxfQdQA</t>
  </si>
  <si>
    <t>@Ollie_Cycles @NYC_DOT Please contact your DOT Borough Commissioner by phone or email for further info/assistance: https://t.co/0vu0LvtCWw</t>
  </si>
  <si>
    <t>@davidbamundo Report traffic trend: https://t.co/BijO0Lp7ek  . Contact DOT Borough Commissioner by phone/email: https://t.co/0vu0LvtCWw</t>
  </si>
  <si>
    <t>See a pothole? Report online: https://t.co/YnJ8TJxvvd , w/App: https://t.co/4JDKq5BCFY , DM us &amp;amp; Facebook: https://t.co/P0TX8alKze</t>
  </si>
  <si>
    <t>@jggrivas @NYCMayorsOffice Please call us at 311 to report traffic signal changing out of sequence w/phone rep: https://t.co/JTH7g7pTNU</t>
  </si>
  <si>
    <t>@A_Kraw Animal Care&amp;amp;Control accepts injured common birds. Unfortunately, they don’t pick up. Find a center here: https://t.co/XKDVtq7qkm</t>
  </si>
  <si>
    <t>@KristinReports @JCats2013 If work being done against approved plans or w/o permit,also can report that online here: https://t.co/WB3l2lK3JZ</t>
  </si>
  <si>
    <t>@NYC_DOT @makenycsafe Hi, thanks for the mention. You also can DM us &amp;amp; we'll file a blocked street by construction report for you.</t>
  </si>
  <si>
    <t>@hanerdoo @lululemon Hi, DM us &amp;amp; we'll file a store door open with A/C running report for you or report online: https://t.co/YaeywphfVQ</t>
  </si>
  <si>
    <t>Puedes hacer una gran diferencia al tomar un pequeño paso. Aprenda sobre y haga una cita para donar sangre:https://t.co/EnpedsJ4gj</t>
  </si>
  <si>
    <t>See a leaking/running hydrant? File online or w/311 app: https://t.co/KKJYSJeoP7  or weekdays DM name, phone #, location &amp;amp; we’ll file</t>
  </si>
  <si>
    <t>@MorganCEM Sorry to hear you had trouble. We tested &amp;amp; it's working on our end: https://t.co/ssB8lZB3LK. You may want to try another browser?</t>
  </si>
  <si>
    <t>@kngai888 Hi, we can file this graffiti report for you. Please DM us more location &amp;amp; graffiti details you'd like included. Thank you.</t>
  </si>
  <si>
    <t>@JFC1138 @NYC_DOT Most Ped./all traffic signal conditions req speaking w/a phone representative for routing, prioritizing, &amp;amp; documenting.</t>
  </si>
  <si>
    <t>@cp_ny_5 Always call 911 to report homeless in subway/transit area/creating hazard. Call 311/use App if other areas: https://t.co/ECVmfGOvMI</t>
  </si>
  <si>
    <t>@peteryeoh Please note,this acct. monitored M-F, 9AM-5PM. Your Comm.Board may have info re: construction projects: https://t.co/cdf1vmkQp3</t>
  </si>
  <si>
    <t>@peteryeoh It may be allowed if there’s variance. Even so, you can report after-hours construction noise online: https://t.co/eg2cudK02g 1/2</t>
  </si>
  <si>
    <t>@_dianajin Sorry to hear that.Please let us know type of noise complaints so we can further advise.Feel free to DM us, if you prefer.Thanks.</t>
  </si>
  <si>
    <t>@pugnaciousgifts @ASPCA @HumaneSocietyNY  Please use this link to report animal abuse/neglect online: https://t.co/D8YsGi6PXo Thank you.</t>
  </si>
  <si>
    <t>@BigTomNYC @NYCParks @NYPD45Pct Hi, yes, If you Direct Message us, we'll file for you &amp;amp; send you your Service Request number. Thanks.</t>
  </si>
  <si>
    <t>@EmaCumenforu @ASPCA @NYPD104Pct Thanks for your posts. Please use this link to report animal abuse/neglect online: https://t.co/D8YsGi6PXo</t>
  </si>
  <si>
    <t>@NYCParks @MysTiffy Thanks! Yes, you can report online, or DM us, or you can use the free 311 App: https://t.co/FRAGoS7hV4</t>
  </si>
  <si>
    <t>@pugsquadsos We're sorry to see this. You can report animal abuse/neglect online for police dept. to investigate: https://t.co/6ctRTQfIR2</t>
  </si>
  <si>
    <t>@NYCHA @BlackShiite Always call 911 to report fireworks inprogress: https://t.co/IcuRVEfRIt Please call us at 311 to report past/chronic.</t>
  </si>
  <si>
    <t>@QNZfinest85 Always call 911 to report reckless driving in progress: https://t.co/EpExbD6duH. If it was taxi/car service. DM for more info</t>
  </si>
  <si>
    <t>You can make a big difference by taking a small step. Learn about &amp;amp; make an appointment to #donateblood: https://t.co/YJNtP5qR7O</t>
  </si>
  <si>
    <t>@selisa1047  If not satisfied with response, you can send your feedback to the police dept. w/online form: https://t.co/wAxD4pXP9N  2/2</t>
  </si>
  <si>
    <t>@selisa1047 See how police dept. handles noise complaints: https://t.co/39kNhirVka. Check SR status for notes: https://t.co/ZIyJKuXCjn 1/2</t>
  </si>
  <si>
    <t>@laulaurlaurie Call 911 anytime wires are sparking. If not an emergency, report dangling wire to ConEd directly: https://t.co/SYmRG0vzx8</t>
  </si>
  <si>
    <t>@micaelad You also may want to contact your Community Board: https://t.co/cdf1vmkQp3  &amp;amp; local elected officials: https://t.co/RJydEOGqvZ</t>
  </si>
  <si>
    <t>@eric7anthony @NYC_DOT Please DM us &amp;amp; we’ll file for you. Or you can file an overgrown grass/weeds complaint here: https://t.co/mwUbod7frk</t>
  </si>
  <si>
    <t>@NYC_stateofmind Sorry to hear.Please note we're here M-F,9AM-5PM.In future, call 911 if emergency &amp;amp; 311 if non-emergency traffic condition.</t>
  </si>
  <si>
    <t>@dcantrobus Thanks for pic. Please DM us &amp;amp; we’ll file this as a cave-in, or you can file online here: https://t.co/YnJ8TJxvvd</t>
  </si>
  <si>
    <t>@evdret If condition still exists, please DM name, phone #, &amp;amp; address &amp;amp; we'll report dirty water. Or file online: https://t.co/CuFFiFvwTy</t>
  </si>
  <si>
    <t>@EBOlady Please Direct Message us your SR numbers so we can research &amp;amp; further advise. Thank you.</t>
  </si>
  <si>
    <t>@DanUptowndan Sorry to hear that. In future, file club/bar noise in-progress: https://t.co/swxFfVXixn  or w/311 app: https://t.co/FRAGoS7hV4</t>
  </si>
  <si>
    <t>@heydollface143  Sorry to hear this. Please call us at 311 to file a complaint about a City worker with a phone rep.</t>
  </si>
  <si>
    <t>@patters Yes. In future, call 911 to report illegal fireworks in progress.Call us at 311 to report chronic/past use: https://t.co/IcuRVEfRIt</t>
  </si>
  <si>
    <t>@KUtherPendragon You can report blocked st/sidewalk in progress online: https://t.co/tXKRiC657X &amp;amp; illegal parking: https://t.co/EMYJOu6Ith</t>
  </si>
  <si>
    <t>@harlemedic @FDNY Yes, you can file non-emergency illegal parking by phone, online: https://t.co/EMYJOu6Ith, or App: https://t.co/FRAGoS7hV4</t>
  </si>
  <si>
    <t>@FDNY @mineisthefury Thanks. In future, you also can file online here: https://t.co/KKJYSJeoP7 or w/free 311 App: https://t.co/FRAGoS7hV4</t>
  </si>
  <si>
    <t>@NirvanaFitLife @HelpUSA Contact DHS Ombudsman phone/in person M-F, 9AM-4PM: https://t.co/zk0wSHkBS7. DHS feedback: https://t.co/n8zASi4Zzg</t>
  </si>
  <si>
    <t>Kids 18 &amp;amp; under can get free breakfast &amp;amp; lunch until September 2 w/#SummerMeals. Find a location near you: https://t.co/7B6ZqPIcGB</t>
  </si>
  <si>
    <t>Stay update with #ASP/alternate side parking/street cleaning. Follow @NYCASP &amp;amp; download the free 311 App: https://t.co/FRAGoS7hV4</t>
  </si>
  <si>
    <t>Are you facing eviction? @NYCDHS #HomeBase program has alternatives to shelters &amp;amp; other supportive services: https://t.co/5an7JUHDQs</t>
  </si>
  <si>
    <t>Do your kids enjoy music &amp;amp; #puppets? Catskill #Puppet Theater's free show is 7/13 in #Queens #TributePark: https://t.co/FJ4zEt3fXd</t>
  </si>
  <si>
    <t>Comprobar ASP es muy fácil. Siga @NYCASP, descargue nuestra aplicación de 311: https://t.co/i9z3tWl7wA o envíanos un texto: 311-692</t>
  </si>
  <si>
    <t>Learn how to #knit at @BryantParkNYC’s #free beginner class, Tue. 7/12 1:30PM-3PM: https://t.co/yv9gA91dIH. #Yarn &amp;amp; needles provided.</t>
  </si>
  <si>
    <t>Many companies claim to help w/bad credit, but only want money. Beware of credit repair #scams w/@NYCDCA tips: https://t.co/35icHwLV70</t>
  </si>
  <si>
    <t>You can request homeless outreach support for a NYer in need w/the #NYC311 App or by calling us at 311: https://t.co/ECVmfGOvMI</t>
  </si>
  <si>
    <t>@RobertFosterNYC @NYCHRA @NYCCHR @BilldeBlasio @NYGovCuomo @TishJames Please call us at 311 to file a housing discrimination complaint 2/2</t>
  </si>
  <si>
    <t>@RobertFosterNYC @NYCHRA @NYCCHR @BilldeBlasio @NYGovCuomo @TishJames See fair housing &amp;amp; discrimination info: https://t.co/e4LXep8ZQI 1/2</t>
  </si>
  <si>
    <t>@micaelad @NYCMayorsOffice If there's standing water, DM us &amp;amp; we’ll file. Or you can report it online here: https://t.co/GwiqZRQMDj 2/2</t>
  </si>
  <si>
    <t>@micaelad @NYPD34Pct You can report mosquito swarm here: https://t.co/SrNMb2FE11 Check spray schedule for updates: https://t.co/WFEejaTocW ½</t>
  </si>
  <si>
    <t>Enjoy Summer sun, sand, &amp;amp; waves - find a public beach here: https://t.co/uaJaUiUJBz Text BEACH to 877-877 for latest beach conditions.</t>
  </si>
  <si>
    <t>@pchorsedoc @NYCRobyn @NYC_DOT Some conditions require speaking w/ a phone rep for proper documenting, prioritizing,&amp;amp; routing.  2/2</t>
  </si>
  <si>
    <t>@pchorsedoc @NYCRobyn @NYC_DOT While we can file many SRs via social media, &amp;amp; many more can be filed online: https://t.co/BpaCtajHjR…1/2</t>
  </si>
  <si>
    <t>@NYCRobyn @NYC_DOT We're not able to file this pedestrian/traffic signal conditions on Twitter. Please call us at 311 to report w/phone rep.</t>
  </si>
  <si>
    <t>Want to learn about #Governorsisland? Take a tour of the 172 acre island, so close to Lower Manhattan &amp;amp; Brooklyn: https://t.co/y6aBZJAoZJ</t>
  </si>
  <si>
    <t>@AmeriCorpsNY13 @NYC_Buildings @NYPD32Pct @NYCSanitation Also
report illegal constr. against plans/ w/o permit: https://t.co/WB3l2lK3JZ 3/3</t>
  </si>
  <si>
    <t>@AmeriCorpsNY13 @NYC_Buildings @NYPD32Pct @NYCSanitation Or you can
report construction blocking st./sidewalk: https://t.co/tXKRiC657X  2/3</t>
  </si>
  <si>
    <t>@AmeriCorpsNY13 @NYC_Buildings @NYPD32Pct @NYCSanitation Please DM us more details &amp;amp; we’ll file these service requests for you. 1/3</t>
  </si>
  <si>
    <t>@sandyso Please call us at 311 to report chronic littering on a sidewalk: https://t.co/mSmRixLST8 If you prefer report both w/phone rep. 2/2</t>
  </si>
  <si>
    <t>@sandyso Thanks for pic. You can report overgrown weeds blocking a pedestrian pathway online: https://t.co/mwUbod7frk 1/2</t>
  </si>
  <si>
    <t>Always know what’s happening in NYC. Facebook:https://t.co/OJr7wXyWkp, Instagram: https://t.co/76qhqrm4eI &amp;amp; YouTube:https://t.co/HIBeGKLCav</t>
  </si>
  <si>
    <t>@DavidBorstein @BilldeBlasio Always call 911 if immediate danger. Please call us at 311 to report unsafe bldg. construction w/phone rep.</t>
  </si>
  <si>
    <t>@Brooklyn_nyc1 Check SR Lookup for agency notes: https://t.co/baflJHCxKL Please DM us SR#s so we can research &amp;amp; further advise. Thank you.</t>
  </si>
  <si>
    <t>Don’t forget - NYC kids 18 &amp;amp; under can get #free breakfast &amp;amp; lunch. Find #SummerMeals info &amp;amp; locations: https://t.co/7B6ZqPIcGB</t>
  </si>
  <si>
    <t>@subinev @ConEdison  Call 911 if the wire is sparking. If not emergency, report dangling wire to ConEd directly: https://t.co/SYmRG0vzx8</t>
  </si>
  <si>
    <t>@ClaireFluflu File a traffic trend: https://t.co/BijO0Lp7ek Please call us at 311 to file a yellow school bus complaint w/ a phone rep. 2/2</t>
  </si>
  <si>
    <t>@ClaireFluflu We’re sorry to hear that. In the future, always call 911 to report reckless driving in progress: https://t.co/EpExbD6duH 1/2</t>
  </si>
  <si>
    <t>@NYC_DOT @keithsantos29 @NYCMayorsOffice @NYCDCAS Yes, and feel free to DM us if you'd like us to file street resurfacing request for you.</t>
  </si>
  <si>
    <t>@NYC_DOT @RLEspinal @keithsantos29 Thanks. And if you like, you can DM us and we’ll file street resurfacing request for you.</t>
  </si>
  <si>
    <t>#HeatAdvisory in effect today. Find cooling center locations/hours: https://t.co/FahxGELmLh. Call ahead to confirm before heading out.</t>
  </si>
  <si>
    <t>Request homeless outreach assistance w/App: https://t.co/ECVmfGOvMI   or call 311. Call 911 if someone needs immediate medical attention.</t>
  </si>
  <si>
    <t>@1LoveCrystal Sorry to hear that. DM us business name &amp;amp; address &amp;amp; we’ll file. Or file overcharge complaint online: https://t.co/OLkLuGycd5</t>
  </si>
  <si>
    <t>@MayaCiarrocchi DM &amp;amp; we'll refile for you. Or check SR status online: https://t.co/baflJHCxKL &amp;amp; refile here: https://t.co/59317JLz4G</t>
  </si>
  <si>
    <t>Are you on #Instagram? Follow us for the latest on our awesome employees &amp;amp; mascot, Cubert: https://t.co/fwpVfzy6Xe   #WeareNYC311</t>
  </si>
  <si>
    <t>Find cooling center locations &amp;amp; hours here: https://t.co/FahxGELmLh. Call ahead to confirm before heading out. https://t.co/fTIqjp9tHG</t>
  </si>
  <si>
    <t>#WomenEntrepreneurs: get the resources you need to grow your biz at @NYCSmallBizSvcs’ new #WENYC portal: https://t.co/So7wy1udTF</t>
  </si>
  <si>
    <t>Great @FDNY advice. Find cooling center locations online: https://t.co/FahxGELmLh. Call ahead to confirm hours https://t.co/T9dZ58WiQH</t>
  </si>
  <si>
    <t>@mopa126 @NYCSanitation Please call us at 311 for City worker complaint or contact DSNY Commissioner w/online form: https://t.co/xKQ7ScoNIz</t>
  </si>
  <si>
    <t>@NYCSanitation @johnnybebad6661 Thanks. If you like, send us Direct Message with your name &amp;amp; contact # (DEP req's) &amp;amp; we'll file it for you.</t>
  </si>
  <si>
    <t>@karlsaintlucy We don’t have that information. You can send your inquiry to Police Commissioner w/ online form: //on.nyc.gov/1l5KaNN</t>
  </si>
  <si>
    <t>MT @nycparks: Some outdoor pool hours extended to 8pm tonight! #BeatTheHeat: Find one here: https://t.co/Dwylb56ZpR https://t.co/cH8J5dwY9Y</t>
  </si>
  <si>
    <t>MT @NYPD17Pct: Heat Advisory: Pets are affected by heat-don't leave pets in vehicles. See a pet in need? Call 911 https://t.co/rjIMoWToVY</t>
  </si>
  <si>
    <t>@hankypankynyc Please call us at 311 to submit a city employee compliment. Or you can contact appropriate agency here: //on.nyc.gov/1A7EIkO</t>
  </si>
  <si>
    <t>@ReDDeViLNyC Or DM us the address &amp;amp; we’ll file for you. You can also report mosquitoe swarms at specific location: //on.nyc.gov/1X0NXl2  2/2</t>
  </si>
  <si>
    <t>@ReDDeViLNyC Report standing water: https://t.co/GwiqZRQMDj &amp;amp; if yard can be seen from st., report dirty yard: https://t.co/dD7OwYvlF2 1/2</t>
  </si>
  <si>
    <t>@jsimon You can send your comments to the Mayor using this online email form, or by mail: https://t.co/8K8Yqm9HvO</t>
  </si>
  <si>
    <t>@angelina_lious @NYCHA You can send your concern to NYCHA Chair (incl. work order #s) with this online form: https://t.co/sQemHaQovH</t>
  </si>
  <si>
    <t>@shmekie You can report off-hours or excessive noise to DEP (even if there’s variance): https://t.co/eg2cudK02g  2/2</t>
  </si>
  <si>
    <t>@shmekie Construction is usually allowed 7AM-6PM You can check active street construction permits online here: https://t.co/Jr2qs6GeLF 1/2</t>
  </si>
  <si>
    <t>Today's an Air Quality Action Day until 11PM. See tips for keeping safe in the heat: https://t.co/kbsv0lRYZI &amp;amp; https://t.co/5p9jYSir3D</t>
  </si>
  <si>
    <t>@pekochel @YDuICare @NYC_DOT  Report blocked bike lane in progress as illegal parking: https://t.co/EMYJOtP74H, App: https://t.co/FRAGoSoSMC</t>
  </si>
  <si>
    <t>@kristenrapp You can send us Direct Message &amp;amp; we'll file for you, or report standing water online here: https://t.co/GwiqZRQMDj</t>
  </si>
  <si>
    <t>@RafaelNunezJr1 @NYPD46Pct Thanks. We filed this for you last night. Please send us a Direct Message &amp;amp; we'll reply there w/ your SR number.</t>
  </si>
  <si>
    <t>@BlackShiite @NYC_DOT @NYCSanitation Please Direct Message us your Service Request numbers so we can research &amp;amp; further advise. Thank you.</t>
  </si>
  <si>
    <t>@jooltman Thanks for your patience. The issue’s been fixed and you should be able to individually refresh SRs by clicking through.</t>
  </si>
  <si>
    <t>@subtle116 Thanks for your patience. The issue’s been fixed and you should be able to individually refresh SRs by clicking through.</t>
  </si>
  <si>
    <t>Take care in this heat, NYC. Find cooling center locations &amp;amp; hours here: https://t.co/FahxGELmLh. Call ahead to confirm before heading out.</t>
  </si>
  <si>
    <t>Hoy, jueves, el 7 de julio es el primer día de clases de verano en @NYCSchools.  Encuentre más información aquí: https://t.co/9zlmNP3sGU</t>
  </si>
  <si>
    <t>Today Thu. July 7 is the first day of summer school for @NYCSchools students. Find more info: https://t.co/9zlmNP3sGU</t>
  </si>
  <si>
    <t>#NYCASP is suspended today July 7 for Eid Al-Fitr. Parking meters are in effect. Keep up w/ASP with free 311 App: https://t.co/FRAGoS7hV4</t>
  </si>
  <si>
    <t>@RafaelNunezJr1 @NYPD46Pct Please DM us your name, phone# (DEP req's) &amp;amp; we'll file for you. Or file w/app or online: https://t.co/KKJYSJeoP7</t>
  </si>
  <si>
    <t>@dayoyr06 @FDNY You can request a smoke alarm by calling the American Red Cross at 877-733-2767: https://t.co/t4nnF0ER0y</t>
  </si>
  <si>
    <t>You can ask your local firehouse to fit a hydrant w/ a spray cap so folks can cool off &amp;amp; have fun: https://t.co/z8RIYNT8M2 #BeatTheHeat</t>
  </si>
  <si>
    <t>@_adhd @NYCMayorsOffice You can send us Direct Message &amp;amp; we'll file for you, or report standing water online here: https://t.co/GwiqZRQMDj</t>
  </si>
  <si>
    <t>ATENCION: @NYCSchools clases de verano empiezan mañana, jueves, el 7 de julio: https://t.co/9zlmNP3sGU</t>
  </si>
  <si>
    <t>Find #coolingcenter: https://t.co/FahxGELmLh or text 311-692. (Call ahead to confirm hrs) More ways to #BeatTheHeat: https://t.co/QDIq5ydtvc</t>
  </si>
  <si>
    <t>Find a #coolingcenter near you online here: https://t.co/FahxGELmLh or text 311-692. Call ahead to confirm hours. https://t.co/Fzs9QFJyyS</t>
  </si>
  <si>
    <t>#NYCASP is suspended tomorrow July 7 for Eid Al Fitr. Meters remain in effect. Download 311 App for daily ASP: https://t.co/FRAGoS7hV4</t>
  </si>
  <si>
    <t>@NYCParks @SprocketmanNYC @Amtrak Thanks! You also can DM &amp;amp; we'll file for you. Or use 311 App to file Park Maint.: https://t.co/FRAGoS7hV4</t>
  </si>
  <si>
    <t>@StMarksist You also can send your concern about enforcement to police dept. using this online form: https://t.co/wAxD4pXP9N   2/2</t>
  </si>
  <si>
    <t>@StMarksist Sorry to hear you had trouble filing yesterday. In future, you can always submit online here: https://t.co/EMYJOu6Ith  1/2</t>
  </si>
  <si>
    <t>You can find a #coolingcenter online here: https://t.co/FahxGELmLh or text 311-692. Call ahead to confirm hours. https://t.co/u1xj148Bpm</t>
  </si>
  <si>
    <t>#Coolingcenters are open today for those seeking heat relief. Find one near you: https://t.co/FahxGELmLh. Call ahead to confirm hours.</t>
  </si>
  <si>
    <t>Reminder: @NYCSchools  summer school begins tomorrow, Thursday, July 7: https://t.co/9zlmNP3sGU</t>
  </si>
  <si>
    <t>@Varlonte_West Or DM us specific locations (Instersection of 2 streest) &amp;amp; we’ll file potholes or resurfacing request for you. 2/2</t>
  </si>
  <si>
    <t>@Varlonte_West You can report potholes w/311 app: https://t.co/FRAGoS7hV4. Request resurfacing online: https://t.co/YnJ8TJxvvd. 1/2</t>
  </si>
  <si>
    <t>@molarryhils @NYCSanitation If not too soiled, you can recycle paper plates. Do not recycle heavily soiled items: https://t.co/1hwgMObVNI</t>
  </si>
  <si>
    <t>@BissMarkie @NYC_DOT …Select “Roadway” then choose “Bikepath” for segment. 2/2</t>
  </si>
  <si>
    <t>@BissMarkie @NYC_DOT DM us &amp;amp; we'll file for you Or you can report as debris on a non-toll bridge here: https://t.co/NntKbXG8vj. 1/2</t>
  </si>
  <si>
    <t>@AstoriaHaiku @Costa4NY @MelindaKatz You can send your concern to the DEP Commissioner directly using this form: https://t.co/0ZudR4unRR</t>
  </si>
  <si>
    <t>@GeoffCipolla @NYCWater Please DM us your Service Request numbers so we can research &amp;amp; further advise. Thank you.</t>
  </si>
  <si>
    <t>@mikegraves1993 Please DM us your Service Request numbers so we can research &amp;amp; further advise. Thank you.</t>
  </si>
  <si>
    <t>@mikegraves1993 Report car parked more than 7 days in row as illegal parking – “Posted Rules” on app/“Posted Parking Sign Violation” online.</t>
  </si>
  <si>
    <t>@MeetTheMatts @NYCMayorsOffice Thanks for your tweets. DM us &amp;amp; we'll file for you &amp;amp; send SR# or you can file online: https://t.co/59317JLz4G</t>
  </si>
  <si>
    <t>@DecentSeats @NYC_DOT You can report illegal parking in progress online or with the 311 app: https://t.co/EMYJOu6Ith</t>
  </si>
  <si>
    <t>@EinYid @NYCSanitation @AlexRapaport If Tue 7/5 was collection day&amp;amp; items remain uncollected by 8AM today file: https://t.co/Ds3yDTOVEC. 2/2</t>
  </si>
  <si>
    <t>@EinYid @NYCSanitation @AlexRapaport Trash/recycling collection was suspended on Mon, July 4 for holiday: https://t.co/lHHU3UFlBA. 1/2</t>
  </si>
  <si>
    <t>Keep cool in @NYCParks free public pools. Check rules &amp;amp; regs &amp;amp; know what to bring: https://t.co/akMJ0m0wav https://t.co/mnBeUGyNCM</t>
  </si>
  <si>
    <t>@StMarksist You can report a blocked crosswalk in progress as illegal parking online or with the 311 app: https://t.co/EMYJOu6Ith</t>
  </si>
  <si>
    <t>@SecuredEP You can send your concern to Police Commissioner &amp;amp; include your SR number using this online form: https://t.co/wAxD4pGdLd</t>
  </si>
  <si>
    <t>@shimmylikekate We're sorry to hear that. You can report a rooster being kept as an illegal pet online here: https://t.co/UxX03OUrvv</t>
  </si>
  <si>
    <t>See a leaking/running hydrant? File online or w/311 app: https://t.co/KKJYSJeoP7 or weekdays DM name, phone #, location &amp;amp; we’ll file</t>
  </si>
  <si>
    <t>@jmallo In future call 911 to report fireworks in progress. Please call us at 311 to report past/chronic use w/ rep: https://t.co/IcuRVEfRIt</t>
  </si>
  <si>
    <t>@SupremeGOAT23 Please provide more details about the issue so we can better assist. You can send us a Direct Message if you prefer.</t>
  </si>
  <si>
    <t>#NYCASP suspended today 7/6 &amp;amp; tomorrow 7/7 for Eid Al-Fitr. Meters are in effect. Keep up w/ASP w/ #NYC311 App: https://t.co/FRAGoS7hV4</t>
  </si>
  <si>
    <t>RT @notifynyc: #AirQuality Health Advisory for tomorrow, 7/6 11AM-11PM. Info: https://t.co/A964dsqZ6J ASL: https://t.co/WEgnHPeb8o</t>
  </si>
  <si>
    <t>ATENCION: habrá #SummerMeals mañana miércoles 7/6 solamente en ciertas piscinas y camiones de comidas: https://t.co/0Mg1JTGNzy</t>
  </si>
  <si>
    <t>@GepettoWRUR Check SR status: https://t.co/baflJHCxKL. Contact CB: https://t.co/cdf1vmkQp3   &amp;amp; local elected officials: //on.nyc.gov/GATudM</t>
  </si>
  <si>
    <t>@NYCHA @angelina_lious @NYPD114Pct In the future, report noise in progress from neighbors/street online (or w/App): https://t.co/mBOxPqhbXC</t>
  </si>
  <si>
    <t>@Planeinvain @NYCDDC You can find info &amp;amp; instructions for filing a claim against the City online here: https://t.co/XbBCpG0X4j</t>
  </si>
  <si>
    <t>ATENCION: #NYCASP estarán suspendida mañana 7/6 y jueves, 7/7 por Idul-Fitr (Eid Al-Fitr). Parquímetros estarán vigentes. Sigue @NYCASP.</t>
  </si>
  <si>
    <t>@jooltman If that that doesn't work, please DM SR#s or use SR Lookup here: https://t.co/baflJHCxKL to check agency notes. 2/2</t>
  </si>
  <si>
    <t>@jooltman If it’s not auto-refreshing, try clicking through each SR to see status updates. 1/2</t>
  </si>
  <si>
    <t>Reminder: #NYCASP is suspended tmrw July 6 for  Idul-Fitr (Eid Al-Fitr). Parking meters remain in effect. Follow @NYCASP for daily updates.</t>
  </si>
  <si>
    <t>@HBLCIVIC @NYPD106Pct @YPGoldfeder @eric_ulrich @SenJoeAddabbo You can always call 311 for non-emergency City services &amp;amp; info 24/7/365. 3/3</t>
  </si>
  <si>
    <t>@HBLCIVIC @NYPD106Pct @YPGoldfeder @eric_ulrich @SenJoeAddabbo Please note – this acct. monitored M-F, 9AM-5PM except City holidays. 2/3</t>
  </si>
  <si>
    <t>@HBLCIVIC @NYPD106Pct @YPGoldfeder @eric_ulrich @SenJoeAddabbo In future, call 911 if dangerous loc/situation: https://t.co/24rXjwaxkk 1/3</t>
  </si>
  <si>
    <t>@terrelfraser So sorry to hear. If haven’t yet, report bite: https://t.co/HmJfgQpxSL
Please DM if we can further assist w/o character limit</t>
  </si>
  <si>
    <t>@PaulGeogheganNY Report non-emergency illegal parking in progress online: https://t.co/EMYJOu6Ith  or w/App: https://t.co/FRAGoS7hV4 2/2</t>
  </si>
  <si>
    <t>@PaulGeogheganNY @NYPD109Pct Per NYC traffic rule Section 4-08 (9), st. storage prohibited in excess of 7days: https://t.co/lmkr3k2e6I 1/2</t>
  </si>
  <si>
    <t>@DarthBoarder420 DM &amp;amp; we’ll file broken gate &amp;amp; park rules violation. Or file gate: https://t.co/59317JLz4G &amp;amp; rules: https://t.co/ZBYIxvfosy</t>
  </si>
  <si>
    <t>@officepnuk You can report unsanitary conditions at a subway station to the MTA directly w/this online form: https://t.co/vcjTxfQdQA</t>
  </si>
  <si>
    <t>@GepettoWRUR Or you can file food safety complaint/trash storage: https://t.co/ROqtdDYVnG &amp;amp; rodent condition: https://t.co/Qi5yxNqERB 2/2</t>
  </si>
  <si>
    <t>@GepettoWRUR Thanks for your photos. Please DM us &amp;amp; we'll file food safety &amp;amp; rodent complaints for you &amp;amp; send your Service Request #s. 1/2</t>
  </si>
  <si>
    <t>@JazzGtrSteve @NYPD114Pct Sorry to hear you had trouble. In the future, you also can file illegal parking online: https://t.co/GPMFZlN1zl</t>
  </si>
  <si>
    <t>@hirsch1402 Always call 911 to report smoke/fumes. If not emergency, contact precinct to request light tower removal: //on.nyc.gov/18BomEn</t>
  </si>
  <si>
    <t>.@NYCSchools summer school begins on Thu. 7/7. Find session dates for elementary/middle &amp;amp; high school students: https://t.co/9zlmNP3sGU</t>
  </si>
  <si>
    <t>@gpryzby We're sorry to hear you're having trouble. Please DM us so we can further assist without 140 character limit.</t>
  </si>
  <si>
    <t>@mparkin2 We're sorry to hear you're having trouble. Please DM us so we can further assist without 140 character limit.</t>
  </si>
  <si>
    <t>@TheQuietCar @HotelGrandUnion Hi, you can report building construction taking place after hours online here:https://t.co/WB3l2lK3JZ</t>
  </si>
  <si>
    <t>@PaulGeogheganNY @NYPD114Pct @NYPD109Pct If they're still there, report abandoned vehicles on street w/plates: https://t.co/GPMFZlN1zl 2/2</t>
  </si>
  <si>
    <t>@PaulGeogheganNY @NYPD114Pct @NYPD109Pct Hi, please note that this account is monitored M-F 9AM-5PM except City holidays. 1/2</t>
  </si>
  <si>
    <t>@ALMABONI Hi, unfortunately, we don't see Owl's Head Park listed in designated areas. Find rules &amp;amp; other locations: https://t.co/JXbIvYrvcF</t>
  </si>
  <si>
    <t>@andreaaaU Please DM us &amp;amp; we'll report the highway streetlight issue for you. Or if you prefer, you can file online: https://t.co/HHn1tnJphf</t>
  </si>
  <si>
    <t>@28fruitcake In future call 911 to report fireworks in progress. Please call us at 311 to report past use w/ rep: https://t.co/IcuRVEfRIt</t>
  </si>
  <si>
    <t>@ohhleary @CMReynoso34 You can send your concerns about precinct response to the Police Dept w/this online form: https://t.co/wAxD4pXP9N</t>
  </si>
  <si>
    <t>@MeetTheMatts Thanks for pic. DM us &amp;amp; we'll file park maint. report. Or file online or via 311 App: https://t.co/59317JLz4G</t>
  </si>
  <si>
    <t>@Emmali18 Hi, thanks for your post. You can discard sofa/couch as bulk item on your regular trash collection day: https://t.co/kv2BW811QV</t>
  </si>
  <si>
    <t>Free #SummerMeals breakfast/lunch for kids 18 &amp;amp; under, today 7/5. Wed. 7/6 only at select pools &amp;amp; food trucks : https://t.co/7B6ZqPIcGB</t>
  </si>
  <si>
    <t>@deeray217 You can find free, confidential mediation assistance from NY Peace Institute online: https://t.co/sX91v84C1X . 2/2</t>
  </si>
  <si>
    <t>@deeray217 Sorry to hear that. We hope there's no need, but in future report noise from neighbor online or app: https://t.co/tsfL0PK7Na. 1/2</t>
  </si>
  <si>
    <t>@Felice987 You can send concern to Police Commissioner &amp;amp; include your SR number using this online form: https://t.co/wAxD4pXP9N</t>
  </si>
  <si>
    <t>@578Wendy We're sorry to hear that. We hope there's no need, but in future report noise on street online or w/app: https://t.co/7exptKOutG</t>
  </si>
  <si>
    <t>@yeathatTerrence You can report item lost in taxi online/app: https://t.co/jBKVSaj5g5  &amp;amp; check w/Police Lost&amp;amp;Found: https://t.co/dNZKPBOlAu</t>
  </si>
  <si>
    <t>@BrideOfTheCity In future call 911 to report fireworks in progress. Please call us at 311 to report past use w/ rep: https://t.co/IcuRVEfRIt</t>
  </si>
  <si>
    <t>@smoralesjr Call 911 to report fireworks use/sale in progress. Please call us at 311 to file past use/sale w/ rep: https://t.co/IcuRVEfRIt</t>
  </si>
  <si>
    <t>@GWlife1 In future call 911 to report fireworks in progress. Please call us at 311 to report past use w/phone rep: https://t.co/IcuRVEfRIt</t>
  </si>
  <si>
    <t>@LZmeto Thanks for photos. You can report blocking sidewalk as illegal parking in progress w/311 app or online: https://t.co/EMYJOu6Ith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</si>
</sst>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HYPERLINK("http://www.twitter.com/nyc311/status/808386458298023937", "808386458298023937")</f>
        <v>0</v>
      </c>
      <c r="B2" s="2">
        <v>42716.7931134259</v>
      </c>
      <c r="C2">
        <v>3</v>
      </c>
      <c r="D2">
        <v>2</v>
      </c>
      <c r="E2" t="s">
        <v>5</v>
      </c>
    </row>
    <row r="3" spans="1:5">
      <c r="A3">
        <f>HYPERLINK("http://www.twitter.com/nyc311/status/808386439054561281", "808386439054561281")</f>
        <v>0</v>
      </c>
      <c r="B3" s="2">
        <v>42716.7930555556</v>
      </c>
      <c r="C3">
        <v>1</v>
      </c>
      <c r="D3">
        <v>0</v>
      </c>
      <c r="E3" t="s">
        <v>6</v>
      </c>
    </row>
    <row r="4" spans="1:5">
      <c r="A4">
        <f>HYPERLINK("http://www.twitter.com/nyc311/status/808383292177268736", "808383292177268736")</f>
        <v>0</v>
      </c>
      <c r="B4" s="2">
        <v>42716.784375</v>
      </c>
      <c r="C4">
        <v>0</v>
      </c>
      <c r="D4">
        <v>0</v>
      </c>
      <c r="E4" t="s">
        <v>7</v>
      </c>
    </row>
    <row r="5" spans="1:5">
      <c r="A5">
        <f>HYPERLINK("http://www.twitter.com/nyc311/status/808378797082943489", "808378797082943489")</f>
        <v>0</v>
      </c>
      <c r="B5" s="2">
        <v>42716.7719675926</v>
      </c>
      <c r="C5">
        <v>0</v>
      </c>
      <c r="D5">
        <v>0</v>
      </c>
      <c r="E5" t="s">
        <v>8</v>
      </c>
    </row>
    <row r="6" spans="1:5">
      <c r="A6">
        <f>HYPERLINK("http://www.twitter.com/nyc311/status/808370094464233472", "808370094464233472")</f>
        <v>0</v>
      </c>
      <c r="B6" s="2">
        <v>42716.7479513889</v>
      </c>
      <c r="C6">
        <v>0</v>
      </c>
      <c r="D6">
        <v>0</v>
      </c>
      <c r="E6" t="s">
        <v>9</v>
      </c>
    </row>
    <row r="7" spans="1:5">
      <c r="A7">
        <f>HYPERLINK("http://www.twitter.com/nyc311/status/808369717807345665", "808369717807345665")</f>
        <v>0</v>
      </c>
      <c r="B7" s="2">
        <v>42716.7469212963</v>
      </c>
      <c r="C7">
        <v>0</v>
      </c>
      <c r="D7">
        <v>0</v>
      </c>
      <c r="E7" t="s">
        <v>10</v>
      </c>
    </row>
    <row r="8" spans="1:5">
      <c r="A8">
        <f>HYPERLINK("http://www.twitter.com/nyc311/status/808361736873066496", "808361736873066496")</f>
        <v>0</v>
      </c>
      <c r="B8" s="2">
        <v>42716.7248958333</v>
      </c>
      <c r="C8">
        <v>0</v>
      </c>
      <c r="D8">
        <v>0</v>
      </c>
      <c r="E8" t="s">
        <v>11</v>
      </c>
    </row>
    <row r="9" spans="1:5">
      <c r="A9">
        <f>HYPERLINK("http://www.twitter.com/nyc311/status/808360443320422400", "808360443320422400")</f>
        <v>0</v>
      </c>
      <c r="B9" s="2">
        <v>42716.7213194444</v>
      </c>
      <c r="C9">
        <v>1</v>
      </c>
      <c r="D9">
        <v>0</v>
      </c>
      <c r="E9" t="s">
        <v>12</v>
      </c>
    </row>
    <row r="10" spans="1:5">
      <c r="A10">
        <f>HYPERLINK("http://www.twitter.com/nyc311/status/808359419197227009", "808359419197227009")</f>
        <v>0</v>
      </c>
      <c r="B10" s="2">
        <v>42716.7184953704</v>
      </c>
      <c r="C10">
        <v>0</v>
      </c>
      <c r="D10">
        <v>0</v>
      </c>
      <c r="E10" t="s">
        <v>13</v>
      </c>
    </row>
    <row r="11" spans="1:5">
      <c r="A11">
        <f>HYPERLINK("http://www.twitter.com/nyc311/status/808358338136338433", "808358338136338433")</f>
        <v>0</v>
      </c>
      <c r="B11" s="2">
        <v>42716.7155208333</v>
      </c>
      <c r="C11">
        <v>0</v>
      </c>
      <c r="D11">
        <v>0</v>
      </c>
      <c r="E11" t="s">
        <v>14</v>
      </c>
    </row>
    <row r="12" spans="1:5">
      <c r="A12">
        <f>HYPERLINK("http://www.twitter.com/nyc311/status/808357991275708416", "808357991275708416")</f>
        <v>0</v>
      </c>
      <c r="B12" s="2">
        <v>42716.7145601852</v>
      </c>
      <c r="C12">
        <v>0</v>
      </c>
      <c r="D12">
        <v>0</v>
      </c>
      <c r="E12" t="s">
        <v>15</v>
      </c>
    </row>
    <row r="13" spans="1:5">
      <c r="A13">
        <f>HYPERLINK("http://www.twitter.com/nyc311/status/808356444789735425", "808356444789735425")</f>
        <v>0</v>
      </c>
      <c r="B13" s="2">
        <v>42716.7102893519</v>
      </c>
      <c r="C13">
        <v>3</v>
      </c>
      <c r="D13">
        <v>3</v>
      </c>
      <c r="E13" t="s">
        <v>16</v>
      </c>
    </row>
    <row r="14" spans="1:5">
      <c r="A14">
        <f>HYPERLINK("http://www.twitter.com/nyc311/status/808356167491743744", "808356167491743744")</f>
        <v>0</v>
      </c>
      <c r="B14" s="2">
        <v>42716.709525463</v>
      </c>
      <c r="C14">
        <v>0</v>
      </c>
      <c r="D14">
        <v>0</v>
      </c>
      <c r="E14" t="s">
        <v>17</v>
      </c>
    </row>
    <row r="15" spans="1:5">
      <c r="A15">
        <f>HYPERLINK("http://www.twitter.com/nyc311/status/808355597250887681", "808355597250887681")</f>
        <v>0</v>
      </c>
      <c r="B15" s="2">
        <v>42716.7079513889</v>
      </c>
      <c r="C15">
        <v>0</v>
      </c>
      <c r="D15">
        <v>1</v>
      </c>
      <c r="E15" t="s">
        <v>18</v>
      </c>
    </row>
    <row r="16" spans="1:5">
      <c r="A16">
        <f>HYPERLINK("http://www.twitter.com/nyc311/status/808355384129949697", "808355384129949697")</f>
        <v>0</v>
      </c>
      <c r="B16" s="2">
        <v>42716.7073611111</v>
      </c>
      <c r="C16">
        <v>0</v>
      </c>
      <c r="D16">
        <v>0</v>
      </c>
      <c r="E16" t="s">
        <v>19</v>
      </c>
    </row>
    <row r="17" spans="1:5">
      <c r="A17">
        <f>HYPERLINK("http://www.twitter.com/nyc311/status/808355096333582336", "808355096333582336")</f>
        <v>0</v>
      </c>
      <c r="B17" s="2">
        <v>42716.7065740741</v>
      </c>
      <c r="C17">
        <v>0</v>
      </c>
      <c r="D17">
        <v>0</v>
      </c>
      <c r="E17" t="s">
        <v>20</v>
      </c>
    </row>
    <row r="18" spans="1:5">
      <c r="A18">
        <f>HYPERLINK("http://www.twitter.com/nyc311/status/808354794859626496", "808354794859626496")</f>
        <v>0</v>
      </c>
      <c r="B18" s="2">
        <v>42716.7057407407</v>
      </c>
      <c r="C18">
        <v>0</v>
      </c>
      <c r="D18">
        <v>0</v>
      </c>
      <c r="E18" t="s">
        <v>21</v>
      </c>
    </row>
    <row r="19" spans="1:5">
      <c r="A19">
        <f>HYPERLINK("http://www.twitter.com/nyc311/status/808353480565985284", "808353480565985284")</f>
        <v>0</v>
      </c>
      <c r="B19" s="2">
        <v>42716.7021064815</v>
      </c>
      <c r="C19">
        <v>0</v>
      </c>
      <c r="D19">
        <v>0</v>
      </c>
      <c r="E19" t="s">
        <v>22</v>
      </c>
    </row>
    <row r="20" spans="1:5">
      <c r="A20">
        <f>HYPERLINK("http://www.twitter.com/nyc311/status/808353235077656576", "808353235077656576")</f>
        <v>0</v>
      </c>
      <c r="B20" s="2">
        <v>42716.7014351852</v>
      </c>
      <c r="C20">
        <v>0</v>
      </c>
      <c r="D20">
        <v>0</v>
      </c>
      <c r="E20" t="s">
        <v>23</v>
      </c>
    </row>
    <row r="21" spans="1:5">
      <c r="A21">
        <f>HYPERLINK("http://www.twitter.com/nyc311/status/808349065499070464", "808349065499070464")</f>
        <v>0</v>
      </c>
      <c r="B21" s="2">
        <v>42716.6899305556</v>
      </c>
      <c r="C21">
        <v>0</v>
      </c>
      <c r="D21">
        <v>0</v>
      </c>
      <c r="E21" t="s">
        <v>24</v>
      </c>
    </row>
    <row r="22" spans="1:5">
      <c r="A22">
        <f>HYPERLINK("http://www.twitter.com/nyc311/status/808348246624137216", "808348246624137216")</f>
        <v>0</v>
      </c>
      <c r="B22" s="2">
        <v>42716.6876736111</v>
      </c>
      <c r="C22">
        <v>0</v>
      </c>
      <c r="D22">
        <v>0</v>
      </c>
      <c r="E22" t="s">
        <v>25</v>
      </c>
    </row>
    <row r="23" spans="1:5">
      <c r="A23">
        <f>HYPERLINK("http://www.twitter.com/nyc311/status/808347093307887616", "808347093307887616")</f>
        <v>0</v>
      </c>
      <c r="B23" s="2">
        <v>42716.6844907407</v>
      </c>
      <c r="C23">
        <v>0</v>
      </c>
      <c r="D23">
        <v>0</v>
      </c>
      <c r="E23" t="s">
        <v>26</v>
      </c>
    </row>
    <row r="24" spans="1:5">
      <c r="A24">
        <f>HYPERLINK("http://www.twitter.com/nyc311/status/808346324701683712", "808346324701683712")</f>
        <v>0</v>
      </c>
      <c r="B24" s="2">
        <v>42716.6823611111</v>
      </c>
      <c r="C24">
        <v>0</v>
      </c>
      <c r="D24">
        <v>0</v>
      </c>
      <c r="E24" t="s">
        <v>27</v>
      </c>
    </row>
    <row r="25" spans="1:5">
      <c r="A25">
        <f>HYPERLINK("http://www.twitter.com/nyc311/status/808346055116984320", "808346055116984320")</f>
        <v>0</v>
      </c>
      <c r="B25" s="2">
        <v>42716.6816203704</v>
      </c>
      <c r="C25">
        <v>1</v>
      </c>
      <c r="D25">
        <v>0</v>
      </c>
      <c r="E25" t="s">
        <v>28</v>
      </c>
    </row>
    <row r="26" spans="1:5">
      <c r="A26">
        <f>HYPERLINK("http://www.twitter.com/nyc311/status/808343361119719425", "808343361119719425")</f>
        <v>0</v>
      </c>
      <c r="B26" s="2">
        <v>42716.6741898148</v>
      </c>
      <c r="C26">
        <v>0</v>
      </c>
      <c r="D26">
        <v>0</v>
      </c>
      <c r="E26" t="s">
        <v>29</v>
      </c>
    </row>
    <row r="27" spans="1:5">
      <c r="A27">
        <f>HYPERLINK("http://www.twitter.com/nyc311/status/808340802141323265", "808340802141323265")</f>
        <v>0</v>
      </c>
      <c r="B27" s="2">
        <v>42716.6671296296</v>
      </c>
      <c r="C27">
        <v>6</v>
      </c>
      <c r="D27">
        <v>8</v>
      </c>
      <c r="E27" t="s">
        <v>30</v>
      </c>
    </row>
    <row r="28" spans="1:5">
      <c r="A28">
        <f>HYPERLINK("http://www.twitter.com/nyc311/status/808338131338625024", "808338131338625024")</f>
        <v>0</v>
      </c>
      <c r="B28" s="2">
        <v>42716.6597569444</v>
      </c>
      <c r="C28">
        <v>0</v>
      </c>
      <c r="D28">
        <v>0</v>
      </c>
      <c r="E28" t="s">
        <v>31</v>
      </c>
    </row>
    <row r="29" spans="1:5">
      <c r="A29">
        <f>HYPERLINK("http://www.twitter.com/nyc311/status/808336415994105857", "808336415994105857")</f>
        <v>0</v>
      </c>
      <c r="B29" s="2">
        <v>42716.6550231481</v>
      </c>
      <c r="C29">
        <v>0</v>
      </c>
      <c r="D29">
        <v>0</v>
      </c>
      <c r="E29" t="s">
        <v>32</v>
      </c>
    </row>
    <row r="30" spans="1:5">
      <c r="A30">
        <f>HYPERLINK("http://www.twitter.com/nyc311/status/808334053040590848", "808334053040590848")</f>
        <v>0</v>
      </c>
      <c r="B30" s="2">
        <v>42716.6485069444</v>
      </c>
      <c r="C30">
        <v>0</v>
      </c>
      <c r="D30">
        <v>0</v>
      </c>
      <c r="E30" t="s">
        <v>33</v>
      </c>
    </row>
    <row r="31" spans="1:5">
      <c r="A31">
        <f>HYPERLINK("http://www.twitter.com/nyc311/status/808326151643009029", "808326151643009029")</f>
        <v>0</v>
      </c>
      <c r="B31" s="2">
        <v>42716.6267013889</v>
      </c>
      <c r="C31">
        <v>1</v>
      </c>
      <c r="D31">
        <v>1</v>
      </c>
      <c r="E31" t="s">
        <v>34</v>
      </c>
    </row>
    <row r="32" spans="1:5">
      <c r="A32">
        <f>HYPERLINK("http://www.twitter.com/nyc311/status/808054084326531072", "808054084326531072")</f>
        <v>0</v>
      </c>
      <c r="B32" s="2">
        <v>42715.8759375</v>
      </c>
      <c r="C32">
        <v>2</v>
      </c>
      <c r="D32">
        <v>1</v>
      </c>
      <c r="E32" t="s">
        <v>35</v>
      </c>
    </row>
    <row r="33" spans="1:5">
      <c r="A33">
        <f>HYPERLINK("http://www.twitter.com/nyc311/status/808038887981543425", "808038887981543425")</f>
        <v>0</v>
      </c>
      <c r="B33" s="2">
        <v>42715.8340046296</v>
      </c>
      <c r="C33">
        <v>3</v>
      </c>
      <c r="D33">
        <v>5</v>
      </c>
      <c r="E33" t="s">
        <v>36</v>
      </c>
    </row>
    <row r="34" spans="1:5">
      <c r="A34">
        <f>HYPERLINK("http://www.twitter.com/nyc311/status/808023933882691584", "808023933882691584")</f>
        <v>0</v>
      </c>
      <c r="B34" s="2">
        <v>42715.7927314815</v>
      </c>
      <c r="C34">
        <v>2</v>
      </c>
      <c r="D34">
        <v>2</v>
      </c>
      <c r="E34" t="s">
        <v>37</v>
      </c>
    </row>
    <row r="35" spans="1:5">
      <c r="A35">
        <f>HYPERLINK("http://www.twitter.com/nyc311/status/807993810026426368", "807993810026426368")</f>
        <v>0</v>
      </c>
      <c r="B35" s="2">
        <v>42715.7096064815</v>
      </c>
      <c r="C35">
        <v>4</v>
      </c>
      <c r="D35">
        <v>4</v>
      </c>
      <c r="E35" t="s">
        <v>38</v>
      </c>
    </row>
    <row r="36" spans="1:5">
      <c r="A36">
        <f>HYPERLINK("http://www.twitter.com/nyc311/status/807963428887392256", "807963428887392256")</f>
        <v>0</v>
      </c>
      <c r="B36" s="2">
        <v>42715.625775463</v>
      </c>
      <c r="C36">
        <v>2</v>
      </c>
      <c r="D36">
        <v>5</v>
      </c>
      <c r="E36" t="s">
        <v>39</v>
      </c>
    </row>
    <row r="37" spans="1:5">
      <c r="A37">
        <f>HYPERLINK("http://www.twitter.com/nyc311/status/807691727930851328", "807691727930851328")</f>
        <v>0</v>
      </c>
      <c r="B37" s="2">
        <v>42714.8760185185</v>
      </c>
      <c r="C37">
        <v>1</v>
      </c>
      <c r="D37">
        <v>0</v>
      </c>
      <c r="E37" t="s">
        <v>40</v>
      </c>
    </row>
    <row r="38" spans="1:5">
      <c r="A38">
        <f>HYPERLINK("http://www.twitter.com/nyc311/status/807661582033494017", "807661582033494017")</f>
        <v>0</v>
      </c>
      <c r="B38" s="2">
        <v>42714.7928356481</v>
      </c>
      <c r="C38">
        <v>26</v>
      </c>
      <c r="D38">
        <v>9</v>
      </c>
      <c r="E38" t="s">
        <v>41</v>
      </c>
    </row>
    <row r="39" spans="1:5">
      <c r="A39">
        <f>HYPERLINK("http://www.twitter.com/nyc311/status/807646344219394048", "807646344219394048")</f>
        <v>0</v>
      </c>
      <c r="B39" s="2">
        <v>42714.750787037</v>
      </c>
      <c r="C39">
        <v>3</v>
      </c>
      <c r="D39">
        <v>3</v>
      </c>
      <c r="E39" t="s">
        <v>42</v>
      </c>
    </row>
    <row r="40" spans="1:5">
      <c r="A40">
        <f>HYPERLINK("http://www.twitter.com/nyc311/status/807631534966575104", "807631534966575104")</f>
        <v>0</v>
      </c>
      <c r="B40" s="2">
        <v>42714.7099189815</v>
      </c>
      <c r="C40">
        <v>7</v>
      </c>
      <c r="D40">
        <v>1</v>
      </c>
      <c r="E40" t="s">
        <v>43</v>
      </c>
    </row>
    <row r="41" spans="1:5">
      <c r="A41">
        <f>HYPERLINK("http://www.twitter.com/nyc311/status/807616364412342272", "807616364412342272")</f>
        <v>0</v>
      </c>
      <c r="B41" s="2">
        <v>42714.6680555556</v>
      </c>
      <c r="C41">
        <v>0</v>
      </c>
      <c r="D41">
        <v>0</v>
      </c>
      <c r="E41" t="s">
        <v>44</v>
      </c>
    </row>
    <row r="42" spans="1:5">
      <c r="A42">
        <f>HYPERLINK("http://www.twitter.com/nyc311/status/807601060818911234", "807601060818911234")</f>
        <v>0</v>
      </c>
      <c r="B42" s="2">
        <v>42714.6258333333</v>
      </c>
      <c r="C42">
        <v>2</v>
      </c>
      <c r="D42">
        <v>0</v>
      </c>
      <c r="E42" t="s">
        <v>45</v>
      </c>
    </row>
    <row r="43" spans="1:5">
      <c r="A43">
        <f>HYPERLINK("http://www.twitter.com/nyc311/status/807329473054015490", "807329473054015490")</f>
        <v>0</v>
      </c>
      <c r="B43" s="2">
        <v>42713.8763888889</v>
      </c>
      <c r="C43">
        <v>2</v>
      </c>
      <c r="D43">
        <v>3</v>
      </c>
      <c r="E43" t="s">
        <v>46</v>
      </c>
    </row>
    <row r="44" spans="1:5">
      <c r="A44">
        <f>HYPERLINK("http://www.twitter.com/nyc311/status/807311731571785733", "807311731571785733")</f>
        <v>0</v>
      </c>
      <c r="B44" s="2">
        <v>42713.8274305556</v>
      </c>
      <c r="C44">
        <v>0</v>
      </c>
      <c r="D44">
        <v>0</v>
      </c>
      <c r="E44" t="s">
        <v>47</v>
      </c>
    </row>
    <row r="45" spans="1:5">
      <c r="A45">
        <f>HYPERLINK("http://www.twitter.com/nyc311/status/807299366566367233", "807299366566367233")</f>
        <v>0</v>
      </c>
      <c r="B45" s="2">
        <v>42713.7933101852</v>
      </c>
      <c r="C45">
        <v>1</v>
      </c>
      <c r="D45">
        <v>3</v>
      </c>
      <c r="E45" t="s">
        <v>48</v>
      </c>
    </row>
    <row r="46" spans="1:5">
      <c r="A46">
        <f>HYPERLINK("http://www.twitter.com/nyc311/status/807277713824317440", "807277713824317440")</f>
        <v>0</v>
      </c>
      <c r="B46" s="2">
        <v>42713.7335648148</v>
      </c>
      <c r="C46">
        <v>0</v>
      </c>
      <c r="D46">
        <v>0</v>
      </c>
      <c r="E46" t="s">
        <v>49</v>
      </c>
    </row>
    <row r="47" spans="1:5">
      <c r="A47">
        <f>HYPERLINK("http://www.twitter.com/nyc311/status/807269376546127876", "807269376546127876")</f>
        <v>0</v>
      </c>
      <c r="B47" s="2">
        <v>42713.7105555556</v>
      </c>
      <c r="C47">
        <v>4</v>
      </c>
      <c r="D47">
        <v>1</v>
      </c>
      <c r="E47" t="s">
        <v>50</v>
      </c>
    </row>
    <row r="48" spans="1:5">
      <c r="A48">
        <f>HYPERLINK("http://www.twitter.com/nyc311/status/807254171917438976", "807254171917438976")</f>
        <v>0</v>
      </c>
      <c r="B48" s="2">
        <v>42713.668599537</v>
      </c>
      <c r="C48">
        <v>3</v>
      </c>
      <c r="D48">
        <v>1</v>
      </c>
      <c r="E48" t="s">
        <v>51</v>
      </c>
    </row>
    <row r="49" spans="1:5">
      <c r="A49">
        <f>HYPERLINK("http://www.twitter.com/nyc311/status/807249771249467393", "807249771249467393")</f>
        <v>0</v>
      </c>
      <c r="B49" s="2">
        <v>42713.6564583333</v>
      </c>
      <c r="C49">
        <v>0</v>
      </c>
      <c r="D49">
        <v>0</v>
      </c>
      <c r="E49" t="s">
        <v>52</v>
      </c>
    </row>
    <row r="50" spans="1:5">
      <c r="A50">
        <f>HYPERLINK("http://www.twitter.com/nyc311/status/807241418645311488", "807241418645311488")</f>
        <v>0</v>
      </c>
      <c r="B50" s="2">
        <v>42713.6334027778</v>
      </c>
      <c r="C50">
        <v>0</v>
      </c>
      <c r="D50">
        <v>0</v>
      </c>
      <c r="E50" t="s">
        <v>53</v>
      </c>
    </row>
    <row r="51" spans="1:5">
      <c r="A51">
        <f>HYPERLINK("http://www.twitter.com/nyc311/status/807240379695243265", "807240379695243265")</f>
        <v>0</v>
      </c>
      <c r="B51" s="2">
        <v>42713.6305324074</v>
      </c>
      <c r="C51">
        <v>0</v>
      </c>
      <c r="D51">
        <v>0</v>
      </c>
      <c r="E51" t="s">
        <v>54</v>
      </c>
    </row>
    <row r="52" spans="1:5">
      <c r="A52">
        <f>HYPERLINK("http://www.twitter.com/nyc311/status/807240113822502912", "807240113822502912")</f>
        <v>0</v>
      </c>
      <c r="B52" s="2">
        <v>42713.6298032407</v>
      </c>
      <c r="C52">
        <v>0</v>
      </c>
      <c r="D52">
        <v>1</v>
      </c>
      <c r="E52" t="s">
        <v>55</v>
      </c>
    </row>
    <row r="53" spans="1:5">
      <c r="A53">
        <f>HYPERLINK("http://www.twitter.com/nyc311/status/807238724971073536", "807238724971073536")</f>
        <v>0</v>
      </c>
      <c r="B53" s="2">
        <v>42713.6259722222</v>
      </c>
      <c r="C53">
        <v>0</v>
      </c>
      <c r="D53">
        <v>0</v>
      </c>
      <c r="E53" t="s">
        <v>56</v>
      </c>
    </row>
    <row r="54" spans="1:5">
      <c r="A54">
        <f>HYPERLINK("http://www.twitter.com/nyc311/status/807238493655207936", "807238493655207936")</f>
        <v>0</v>
      </c>
      <c r="B54" s="2">
        <v>42713.6253356481</v>
      </c>
      <c r="C54">
        <v>12</v>
      </c>
      <c r="D54">
        <v>8</v>
      </c>
      <c r="E54" t="s">
        <v>57</v>
      </c>
    </row>
    <row r="55" spans="1:5">
      <c r="A55">
        <f>HYPERLINK("http://www.twitter.com/nyc311/status/807208814483271680", "807208814483271680")</f>
        <v>0</v>
      </c>
      <c r="B55" s="2">
        <v>42713.5434375</v>
      </c>
      <c r="C55">
        <v>1</v>
      </c>
      <c r="D55">
        <v>4</v>
      </c>
      <c r="E55" t="s">
        <v>58</v>
      </c>
    </row>
    <row r="56" spans="1:5">
      <c r="A56">
        <f>HYPERLINK("http://www.twitter.com/nyc311/status/806966714793607168", "806966714793607168")</f>
        <v>0</v>
      </c>
      <c r="B56" s="2">
        <v>42712.8753703704</v>
      </c>
      <c r="C56">
        <v>3</v>
      </c>
      <c r="D56">
        <v>0</v>
      </c>
      <c r="E56" t="s">
        <v>59</v>
      </c>
    </row>
    <row r="57" spans="1:5">
      <c r="A57">
        <f>HYPERLINK("http://www.twitter.com/nyc311/status/806938065872818177", "806938065872818177")</f>
        <v>0</v>
      </c>
      <c r="B57" s="2">
        <v>42712.7963078704</v>
      </c>
      <c r="C57">
        <v>1</v>
      </c>
      <c r="D57">
        <v>0</v>
      </c>
      <c r="E57" t="s">
        <v>60</v>
      </c>
    </row>
    <row r="58" spans="1:5">
      <c r="A58">
        <f>HYPERLINK("http://www.twitter.com/nyc311/status/806936935251972096", "806936935251972096")</f>
        <v>0</v>
      </c>
      <c r="B58" s="2">
        <v>42712.7931944444</v>
      </c>
      <c r="C58">
        <v>13</v>
      </c>
      <c r="D58">
        <v>8</v>
      </c>
      <c r="E58" t="s">
        <v>61</v>
      </c>
    </row>
    <row r="59" spans="1:5">
      <c r="A59">
        <f>HYPERLINK("http://www.twitter.com/nyc311/status/806935353349246976", "806935353349246976")</f>
        <v>0</v>
      </c>
      <c r="B59" s="2">
        <v>42712.7888310185</v>
      </c>
      <c r="C59">
        <v>0</v>
      </c>
      <c r="D59">
        <v>0</v>
      </c>
      <c r="E59" t="s">
        <v>62</v>
      </c>
    </row>
    <row r="60" spans="1:5">
      <c r="A60">
        <f>HYPERLINK("http://www.twitter.com/nyc311/status/806922676023463937", "806922676023463937")</f>
        <v>0</v>
      </c>
      <c r="B60" s="2">
        <v>42712.7538425926</v>
      </c>
      <c r="C60">
        <v>4</v>
      </c>
      <c r="D60">
        <v>1</v>
      </c>
      <c r="E60" t="s">
        <v>63</v>
      </c>
    </row>
    <row r="61" spans="1:5">
      <c r="A61">
        <f>HYPERLINK("http://www.twitter.com/nyc311/status/806920388387151872", "806920388387151872")</f>
        <v>0</v>
      </c>
      <c r="B61" s="2">
        <v>42712.7475347222</v>
      </c>
      <c r="C61">
        <v>0</v>
      </c>
      <c r="D61">
        <v>0</v>
      </c>
      <c r="E61" t="s">
        <v>64</v>
      </c>
    </row>
    <row r="62" spans="1:5">
      <c r="A62">
        <f>HYPERLINK("http://www.twitter.com/nyc311/status/806919081609859072", "806919081609859072")</f>
        <v>0</v>
      </c>
      <c r="B62" s="2">
        <v>42712.7439236111</v>
      </c>
      <c r="C62">
        <v>0</v>
      </c>
      <c r="D62">
        <v>0</v>
      </c>
      <c r="E62" t="s">
        <v>65</v>
      </c>
    </row>
    <row r="63" spans="1:5">
      <c r="A63">
        <f>HYPERLINK("http://www.twitter.com/nyc311/status/806918219453841408", "806918219453841408")</f>
        <v>0</v>
      </c>
      <c r="B63" s="2">
        <v>42712.7415393519</v>
      </c>
      <c r="C63">
        <v>0</v>
      </c>
      <c r="D63">
        <v>0</v>
      </c>
      <c r="E63" t="s">
        <v>66</v>
      </c>
    </row>
    <row r="64" spans="1:5">
      <c r="A64">
        <f>HYPERLINK("http://www.twitter.com/nyc311/status/806906866550898689", "806906866550898689")</f>
        <v>0</v>
      </c>
      <c r="B64" s="2">
        <v>42712.7102199074</v>
      </c>
      <c r="C64">
        <v>3</v>
      </c>
      <c r="D64">
        <v>2</v>
      </c>
      <c r="E64" t="s">
        <v>67</v>
      </c>
    </row>
    <row r="65" spans="1:5">
      <c r="A65">
        <f>HYPERLINK("http://www.twitter.com/nyc311/status/806892737907818498", "806892737907818498")</f>
        <v>0</v>
      </c>
      <c r="B65" s="2">
        <v>42712.6712268519</v>
      </c>
      <c r="C65">
        <v>0</v>
      </c>
      <c r="D65">
        <v>0</v>
      </c>
      <c r="E65" t="s">
        <v>68</v>
      </c>
    </row>
    <row r="66" spans="1:5">
      <c r="A66">
        <f>HYPERLINK("http://www.twitter.com/nyc311/status/806892476686602240", "806892476686602240")</f>
        <v>0</v>
      </c>
      <c r="B66" s="2">
        <v>42712.6705092593</v>
      </c>
      <c r="C66">
        <v>0</v>
      </c>
      <c r="D66">
        <v>0</v>
      </c>
      <c r="E66" t="s">
        <v>69</v>
      </c>
    </row>
    <row r="67" spans="1:5">
      <c r="A67">
        <f>HYPERLINK("http://www.twitter.com/nyc311/status/806891744629497856", "806891744629497856")</f>
        <v>0</v>
      </c>
      <c r="B67" s="2">
        <v>42712.6684837963</v>
      </c>
      <c r="C67">
        <v>1</v>
      </c>
      <c r="D67">
        <v>2</v>
      </c>
      <c r="E67" t="s">
        <v>70</v>
      </c>
    </row>
    <row r="68" spans="1:5">
      <c r="A68">
        <f>HYPERLINK("http://www.twitter.com/nyc311/status/806890867025997825", "806890867025997825")</f>
        <v>0</v>
      </c>
      <c r="B68" s="2">
        <v>42712.6660648148</v>
      </c>
      <c r="C68">
        <v>1</v>
      </c>
      <c r="D68">
        <v>0</v>
      </c>
      <c r="E68" t="s">
        <v>71</v>
      </c>
    </row>
    <row r="69" spans="1:5">
      <c r="A69">
        <f>HYPERLINK("http://www.twitter.com/nyc311/status/806890711564124165", "806890711564124165")</f>
        <v>0</v>
      </c>
      <c r="B69" s="2">
        <v>42712.6656365741</v>
      </c>
      <c r="C69">
        <v>0</v>
      </c>
      <c r="D69">
        <v>0</v>
      </c>
      <c r="E69" t="s">
        <v>72</v>
      </c>
    </row>
    <row r="70" spans="1:5">
      <c r="A70">
        <f>HYPERLINK("http://www.twitter.com/nyc311/status/806890145987301376", "806890145987301376")</f>
        <v>0</v>
      </c>
      <c r="B70" s="2">
        <v>42712.6640740741</v>
      </c>
      <c r="C70">
        <v>0</v>
      </c>
      <c r="D70">
        <v>0</v>
      </c>
      <c r="E70" t="s">
        <v>73</v>
      </c>
    </row>
    <row r="71" spans="1:5">
      <c r="A71">
        <f>HYPERLINK("http://www.twitter.com/nyc311/status/806886712232255488", "806886712232255488")</f>
        <v>0</v>
      </c>
      <c r="B71" s="2">
        <v>42712.6546064815</v>
      </c>
      <c r="C71">
        <v>0</v>
      </c>
      <c r="D71">
        <v>0</v>
      </c>
      <c r="E71" t="s">
        <v>74</v>
      </c>
    </row>
    <row r="72" spans="1:5">
      <c r="A72">
        <f>HYPERLINK("http://www.twitter.com/nyc311/status/806885812977672192", "806885812977672192")</f>
        <v>0</v>
      </c>
      <c r="B72" s="2">
        <v>42712.6521180556</v>
      </c>
      <c r="C72">
        <v>1</v>
      </c>
      <c r="D72">
        <v>0</v>
      </c>
      <c r="E72" t="s">
        <v>75</v>
      </c>
    </row>
    <row r="73" spans="1:5">
      <c r="A73">
        <f>HYPERLINK("http://www.twitter.com/nyc311/status/806882722010513408", "806882722010513408")</f>
        <v>0</v>
      </c>
      <c r="B73" s="2">
        <v>42712.643587963</v>
      </c>
      <c r="C73">
        <v>1</v>
      </c>
      <c r="D73">
        <v>0</v>
      </c>
      <c r="E73" t="s">
        <v>76</v>
      </c>
    </row>
    <row r="74" spans="1:5">
      <c r="A74">
        <f>HYPERLINK("http://www.twitter.com/nyc311/status/806882630222352384", "806882630222352384")</f>
        <v>0</v>
      </c>
      <c r="B74" s="2">
        <v>42712.6433333333</v>
      </c>
      <c r="C74">
        <v>1</v>
      </c>
      <c r="D74">
        <v>0</v>
      </c>
      <c r="E74" t="s">
        <v>77</v>
      </c>
    </row>
    <row r="75" spans="1:5">
      <c r="A75">
        <f>HYPERLINK("http://www.twitter.com/nyc311/status/806876613795336192", "806876613795336192")</f>
        <v>0</v>
      </c>
      <c r="B75" s="2">
        <v>42712.6267361111</v>
      </c>
      <c r="C75">
        <v>0</v>
      </c>
      <c r="D75">
        <v>0</v>
      </c>
      <c r="E75" t="s">
        <v>78</v>
      </c>
    </row>
    <row r="76" spans="1:5">
      <c r="A76">
        <f>HYPERLINK("http://www.twitter.com/nyc311/status/806872981934895104", "806872981934895104")</f>
        <v>0</v>
      </c>
      <c r="B76" s="2">
        <v>42712.616712963</v>
      </c>
      <c r="C76">
        <v>0</v>
      </c>
      <c r="D76">
        <v>0</v>
      </c>
      <c r="E76" t="s">
        <v>79</v>
      </c>
    </row>
    <row r="77" spans="1:5">
      <c r="A77">
        <f>HYPERLINK("http://www.twitter.com/nyc311/status/806872545794412544", "806872545794412544")</f>
        <v>0</v>
      </c>
      <c r="B77" s="2">
        <v>42712.6155092593</v>
      </c>
      <c r="C77">
        <v>0</v>
      </c>
      <c r="D77">
        <v>0</v>
      </c>
      <c r="E77" t="s">
        <v>80</v>
      </c>
    </row>
    <row r="78" spans="1:5">
      <c r="A78">
        <f>HYPERLINK("http://www.twitter.com/nyc311/status/806872347529674752", "806872347529674752")</f>
        <v>0</v>
      </c>
      <c r="B78" s="2">
        <v>42712.6149652778</v>
      </c>
      <c r="C78">
        <v>0</v>
      </c>
      <c r="D78">
        <v>0</v>
      </c>
      <c r="E78" t="s">
        <v>81</v>
      </c>
    </row>
    <row r="79" spans="1:5">
      <c r="A79">
        <f>HYPERLINK("http://www.twitter.com/nyc311/status/806871912576118784", "806871912576118784")</f>
        <v>0</v>
      </c>
      <c r="B79" s="2">
        <v>42712.6137615741</v>
      </c>
      <c r="C79">
        <v>0</v>
      </c>
      <c r="D79">
        <v>0</v>
      </c>
      <c r="E79" t="s">
        <v>82</v>
      </c>
    </row>
    <row r="80" spans="1:5">
      <c r="A80">
        <f>HYPERLINK("http://www.twitter.com/nyc311/status/806842100335648768", "806842100335648768")</f>
        <v>0</v>
      </c>
      <c r="B80" s="2">
        <v>42712.5314930556</v>
      </c>
      <c r="C80">
        <v>1</v>
      </c>
      <c r="D80">
        <v>0</v>
      </c>
      <c r="E80" t="s">
        <v>83</v>
      </c>
    </row>
    <row r="81" spans="1:5">
      <c r="A81">
        <f>HYPERLINK("http://www.twitter.com/nyc311/status/806838464268406784", "806838464268406784")</f>
        <v>0</v>
      </c>
      <c r="B81" s="2">
        <v>42712.5214583333</v>
      </c>
      <c r="C81">
        <v>1</v>
      </c>
      <c r="D81">
        <v>3</v>
      </c>
      <c r="E81" t="s">
        <v>84</v>
      </c>
    </row>
    <row r="82" spans="1:5">
      <c r="A82">
        <f>HYPERLINK("http://www.twitter.com/nyc311/status/806618346531721216", "806618346531721216")</f>
        <v>0</v>
      </c>
      <c r="B82" s="2">
        <v>42711.9140509259</v>
      </c>
      <c r="C82">
        <v>0</v>
      </c>
      <c r="D82">
        <v>0</v>
      </c>
      <c r="E82" t="s">
        <v>85</v>
      </c>
    </row>
    <row r="83" spans="1:5">
      <c r="A83">
        <f>HYPERLINK("http://www.twitter.com/nyc311/status/806612591434940416", "806612591434940416")</f>
        <v>0</v>
      </c>
      <c r="B83" s="2">
        <v>42711.8981712963</v>
      </c>
      <c r="C83">
        <v>0</v>
      </c>
      <c r="D83">
        <v>0</v>
      </c>
      <c r="E83" t="s">
        <v>86</v>
      </c>
    </row>
    <row r="84" spans="1:5">
      <c r="A84">
        <f>HYPERLINK("http://www.twitter.com/nyc311/status/806611886125027328", "806611886125027328")</f>
        <v>0</v>
      </c>
      <c r="B84" s="2">
        <v>42711.8962268519</v>
      </c>
      <c r="C84">
        <v>1</v>
      </c>
      <c r="D84">
        <v>1</v>
      </c>
      <c r="E84" t="s">
        <v>87</v>
      </c>
    </row>
    <row r="85" spans="1:5">
      <c r="A85">
        <f>HYPERLINK("http://www.twitter.com/nyc311/status/806604299044327424", "806604299044327424")</f>
        <v>0</v>
      </c>
      <c r="B85" s="2">
        <v>42711.8752893519</v>
      </c>
      <c r="C85">
        <v>1</v>
      </c>
      <c r="D85">
        <v>0</v>
      </c>
      <c r="E85" t="s">
        <v>88</v>
      </c>
    </row>
    <row r="86" spans="1:5">
      <c r="A86">
        <f>HYPERLINK("http://www.twitter.com/nyc311/status/806602120459853824", "806602120459853824")</f>
        <v>0</v>
      </c>
      <c r="B86" s="2">
        <v>42711.8692824074</v>
      </c>
      <c r="C86">
        <v>0</v>
      </c>
      <c r="D86">
        <v>0</v>
      </c>
      <c r="E86" t="s">
        <v>89</v>
      </c>
    </row>
    <row r="87" spans="1:5">
      <c r="A87">
        <f>HYPERLINK("http://www.twitter.com/nyc311/status/806601177840369664", "806601177840369664")</f>
        <v>0</v>
      </c>
      <c r="B87" s="2">
        <v>42711.8666782407</v>
      </c>
      <c r="C87">
        <v>1</v>
      </c>
      <c r="D87">
        <v>0</v>
      </c>
      <c r="E87" t="s">
        <v>90</v>
      </c>
    </row>
    <row r="88" spans="1:5">
      <c r="A88">
        <f>HYPERLINK("http://www.twitter.com/nyc311/status/806580449220919296", "806580449220919296")</f>
        <v>0</v>
      </c>
      <c r="B88" s="2">
        <v>42711.8094791667</v>
      </c>
      <c r="C88">
        <v>0</v>
      </c>
      <c r="D88">
        <v>0</v>
      </c>
      <c r="E88" t="s">
        <v>91</v>
      </c>
    </row>
    <row r="89" spans="1:5">
      <c r="A89">
        <f>HYPERLINK("http://www.twitter.com/nyc311/status/806577755949244417", "806577755949244417")</f>
        <v>0</v>
      </c>
      <c r="B89" s="2">
        <v>42711.8020486111</v>
      </c>
      <c r="C89">
        <v>5</v>
      </c>
      <c r="D89">
        <v>4</v>
      </c>
      <c r="E89" t="s">
        <v>92</v>
      </c>
    </row>
    <row r="90" spans="1:5">
      <c r="A90">
        <f>HYPERLINK("http://www.twitter.com/nyc311/status/806570970760806405", "806570970760806405")</f>
        <v>0</v>
      </c>
      <c r="B90" s="2">
        <v>42711.7833217593</v>
      </c>
      <c r="C90">
        <v>0</v>
      </c>
      <c r="D90">
        <v>1</v>
      </c>
      <c r="E90" t="s">
        <v>93</v>
      </c>
    </row>
    <row r="91" spans="1:5">
      <c r="A91">
        <f>HYPERLINK("http://www.twitter.com/nyc311/status/806570704753790980", "806570704753790980")</f>
        <v>0</v>
      </c>
      <c r="B91" s="2">
        <v>42711.7825925926</v>
      </c>
      <c r="C91">
        <v>0</v>
      </c>
      <c r="D91">
        <v>0</v>
      </c>
      <c r="E91" t="s">
        <v>94</v>
      </c>
    </row>
    <row r="92" spans="1:5">
      <c r="A92">
        <f>HYPERLINK("http://www.twitter.com/nyc311/status/806559420125773824", "806559420125773824")</f>
        <v>0</v>
      </c>
      <c r="B92" s="2">
        <v>42711.7514467593</v>
      </c>
      <c r="C92">
        <v>11</v>
      </c>
      <c r="D92">
        <v>11</v>
      </c>
      <c r="E92" t="s">
        <v>95</v>
      </c>
    </row>
    <row r="93" spans="1:5">
      <c r="A93">
        <f>HYPERLINK("http://www.twitter.com/nyc311/status/806558902271803392", "806558902271803392")</f>
        <v>0</v>
      </c>
      <c r="B93" s="2">
        <v>42711.7500231481</v>
      </c>
      <c r="C93">
        <v>0</v>
      </c>
      <c r="D93">
        <v>0</v>
      </c>
      <c r="E93" t="s">
        <v>96</v>
      </c>
    </row>
    <row r="94" spans="1:5">
      <c r="A94">
        <f>HYPERLINK("http://www.twitter.com/nyc311/status/806558602269966336", "806558602269966336")</f>
        <v>0</v>
      </c>
      <c r="B94" s="2">
        <v>42711.7491898148</v>
      </c>
      <c r="C94">
        <v>0</v>
      </c>
      <c r="D94">
        <v>0</v>
      </c>
      <c r="E94" t="s">
        <v>97</v>
      </c>
    </row>
    <row r="95" spans="1:5">
      <c r="A95">
        <f>HYPERLINK("http://www.twitter.com/nyc311/status/806558507570987008", "806558507570987008")</f>
        <v>0</v>
      </c>
      <c r="B95" s="2">
        <v>42711.7489236111</v>
      </c>
      <c r="C95">
        <v>0</v>
      </c>
      <c r="D95">
        <v>0</v>
      </c>
      <c r="E95" t="s">
        <v>98</v>
      </c>
    </row>
    <row r="96" spans="1:5">
      <c r="A96">
        <f>HYPERLINK("http://www.twitter.com/nyc311/status/806544430555693056", "806544430555693056")</f>
        <v>0</v>
      </c>
      <c r="B96" s="2">
        <v>42711.7100810185</v>
      </c>
      <c r="C96">
        <v>2</v>
      </c>
      <c r="D96">
        <v>1</v>
      </c>
      <c r="E96" t="s">
        <v>99</v>
      </c>
    </row>
    <row r="97" spans="1:5">
      <c r="A97">
        <f>HYPERLINK("http://www.twitter.com/nyc311/status/806535545153265664", "806535545153265664")</f>
        <v>0</v>
      </c>
      <c r="B97" s="2">
        <v>42711.6855671296</v>
      </c>
      <c r="C97">
        <v>0</v>
      </c>
      <c r="D97">
        <v>0</v>
      </c>
      <c r="E97" t="s">
        <v>100</v>
      </c>
    </row>
    <row r="98" spans="1:5">
      <c r="A98">
        <f>HYPERLINK("http://www.twitter.com/nyc311/status/806530475107946496", "806530475107946496")</f>
        <v>0</v>
      </c>
      <c r="B98" s="2">
        <v>42711.6715740741</v>
      </c>
      <c r="C98">
        <v>0</v>
      </c>
      <c r="D98">
        <v>0</v>
      </c>
      <c r="E98" t="s">
        <v>101</v>
      </c>
    </row>
    <row r="99" spans="1:5">
      <c r="A99">
        <f>HYPERLINK("http://www.twitter.com/nyc311/status/806528860825198592", "806528860825198592")</f>
        <v>0</v>
      </c>
      <c r="B99" s="2">
        <v>42711.6671180556</v>
      </c>
      <c r="C99">
        <v>0</v>
      </c>
      <c r="D99">
        <v>0</v>
      </c>
      <c r="E99" t="s">
        <v>102</v>
      </c>
    </row>
    <row r="100" spans="1:5">
      <c r="A100">
        <f>HYPERLINK("http://www.twitter.com/nyc311/status/806528287459647488", "806528287459647488")</f>
        <v>0</v>
      </c>
      <c r="B100" s="2">
        <v>42711.6655324074</v>
      </c>
      <c r="C100">
        <v>0</v>
      </c>
      <c r="D100">
        <v>0</v>
      </c>
      <c r="E100" t="s">
        <v>103</v>
      </c>
    </row>
    <row r="101" spans="1:5">
      <c r="A101">
        <f>HYPERLINK("http://www.twitter.com/nyc311/status/806527953286926336", "806527953286926336")</f>
        <v>0</v>
      </c>
      <c r="B101" s="2">
        <v>42711.6646180556</v>
      </c>
      <c r="C101">
        <v>0</v>
      </c>
      <c r="D101">
        <v>0</v>
      </c>
      <c r="E101" t="s">
        <v>104</v>
      </c>
    </row>
    <row r="102" spans="1:5">
      <c r="A102">
        <f>HYPERLINK("http://www.twitter.com/nyc311/status/806524360253206532", "806524360253206532")</f>
        <v>0</v>
      </c>
      <c r="B102" s="2">
        <v>42711.6546990741</v>
      </c>
      <c r="C102">
        <v>0</v>
      </c>
      <c r="D102">
        <v>0</v>
      </c>
      <c r="E102" t="s">
        <v>105</v>
      </c>
    </row>
    <row r="103" spans="1:5">
      <c r="A103">
        <f>HYPERLINK("http://www.twitter.com/nyc311/status/806523096459018240", "806523096459018240")</f>
        <v>0</v>
      </c>
      <c r="B103" s="2">
        <v>42711.6512152778</v>
      </c>
      <c r="C103">
        <v>0</v>
      </c>
      <c r="D103">
        <v>0</v>
      </c>
      <c r="E103" t="s">
        <v>106</v>
      </c>
    </row>
    <row r="104" spans="1:5">
      <c r="A104">
        <f>HYPERLINK("http://www.twitter.com/nyc311/status/806522145400569856", "806522145400569856")</f>
        <v>0</v>
      </c>
      <c r="B104" s="2">
        <v>42711.648587963</v>
      </c>
      <c r="C104">
        <v>0</v>
      </c>
      <c r="D104">
        <v>0</v>
      </c>
      <c r="E104" t="s">
        <v>107</v>
      </c>
    </row>
    <row r="105" spans="1:5">
      <c r="A105">
        <f>HYPERLINK("http://www.twitter.com/nyc311/status/806520585220136961", "806520585220136961")</f>
        <v>0</v>
      </c>
      <c r="B105" s="2">
        <v>42711.6442824074</v>
      </c>
      <c r="C105">
        <v>0</v>
      </c>
      <c r="D105">
        <v>0</v>
      </c>
      <c r="E105" t="s">
        <v>108</v>
      </c>
    </row>
    <row r="106" spans="1:5">
      <c r="A106">
        <f>HYPERLINK("http://www.twitter.com/nyc311/status/806518223067873280", "806518223067873280")</f>
        <v>0</v>
      </c>
      <c r="B106" s="2">
        <v>42711.6377662037</v>
      </c>
      <c r="C106">
        <v>0</v>
      </c>
      <c r="D106">
        <v>0</v>
      </c>
      <c r="E106" t="s">
        <v>109</v>
      </c>
    </row>
    <row r="107" spans="1:5">
      <c r="A107">
        <f>HYPERLINK("http://www.twitter.com/nyc311/status/806514177691058176", "806514177691058176")</f>
        <v>0</v>
      </c>
      <c r="B107" s="2">
        <v>42711.6265972222</v>
      </c>
      <c r="C107">
        <v>6</v>
      </c>
      <c r="D107">
        <v>6</v>
      </c>
      <c r="E107" t="s">
        <v>110</v>
      </c>
    </row>
    <row r="108" spans="1:5">
      <c r="A108">
        <f>HYPERLINK("http://www.twitter.com/nyc311/status/806272103372693504", "806272103372693504")</f>
        <v>0</v>
      </c>
      <c r="B108" s="2">
        <v>42710.958599537</v>
      </c>
      <c r="C108">
        <v>0</v>
      </c>
      <c r="D108">
        <v>0</v>
      </c>
      <c r="E108" t="s">
        <v>111</v>
      </c>
    </row>
    <row r="109" spans="1:5">
      <c r="A109">
        <f>HYPERLINK("http://www.twitter.com/nyc311/status/806262667669344256", "806262667669344256")</f>
        <v>0</v>
      </c>
      <c r="B109" s="2">
        <v>42710.9325694444</v>
      </c>
      <c r="C109">
        <v>0</v>
      </c>
      <c r="D109">
        <v>37</v>
      </c>
      <c r="E109" t="s">
        <v>112</v>
      </c>
    </row>
    <row r="110" spans="1:5">
      <c r="A110">
        <f>HYPERLINK("http://www.twitter.com/nyc311/status/806251872629702656", "806251872629702656")</f>
        <v>0</v>
      </c>
      <c r="B110" s="2">
        <v>42710.9027777778</v>
      </c>
      <c r="C110">
        <v>0</v>
      </c>
      <c r="D110">
        <v>0</v>
      </c>
      <c r="E110" t="s">
        <v>113</v>
      </c>
    </row>
    <row r="111" spans="1:5">
      <c r="A111">
        <f>HYPERLINK("http://www.twitter.com/nyc311/status/806251855038844929", "806251855038844929")</f>
        <v>0</v>
      </c>
      <c r="B111" s="2">
        <v>42710.9027314815</v>
      </c>
      <c r="C111">
        <v>0</v>
      </c>
      <c r="D111">
        <v>0</v>
      </c>
      <c r="E111" t="s">
        <v>114</v>
      </c>
    </row>
    <row r="112" spans="1:5">
      <c r="A112">
        <f>HYPERLINK("http://www.twitter.com/nyc311/status/806242246588854273", "806242246588854273")</f>
        <v>0</v>
      </c>
      <c r="B112" s="2">
        <v>42710.8762152778</v>
      </c>
      <c r="C112">
        <v>1</v>
      </c>
      <c r="D112">
        <v>0</v>
      </c>
      <c r="E112" t="s">
        <v>115</v>
      </c>
    </row>
    <row r="113" spans="1:5">
      <c r="A113">
        <f>HYPERLINK("http://www.twitter.com/nyc311/status/806226884170313728", "806226884170313728")</f>
        <v>0</v>
      </c>
      <c r="B113" s="2">
        <v>42710.8338194444</v>
      </c>
      <c r="C113">
        <v>3</v>
      </c>
      <c r="D113">
        <v>1</v>
      </c>
      <c r="E113" t="s">
        <v>116</v>
      </c>
    </row>
    <row r="114" spans="1:5">
      <c r="A114">
        <f>HYPERLINK("http://www.twitter.com/nyc311/status/806226148489330688", "806226148489330688")</f>
        <v>0</v>
      </c>
      <c r="B114" s="2">
        <v>42710.8317939815</v>
      </c>
      <c r="C114">
        <v>0</v>
      </c>
      <c r="D114">
        <v>0</v>
      </c>
      <c r="E114" t="s">
        <v>117</v>
      </c>
    </row>
    <row r="115" spans="1:5">
      <c r="A115">
        <f>HYPERLINK("http://www.twitter.com/nyc311/status/806212065505505281", "806212065505505281")</f>
        <v>0</v>
      </c>
      <c r="B115" s="2">
        <v>42710.7929282407</v>
      </c>
      <c r="C115">
        <v>2</v>
      </c>
      <c r="D115">
        <v>2</v>
      </c>
      <c r="E115" t="s">
        <v>118</v>
      </c>
    </row>
    <row r="116" spans="1:5">
      <c r="A116">
        <f>HYPERLINK("http://www.twitter.com/nyc311/status/806196909186646016", "806196909186646016")</f>
        <v>0</v>
      </c>
      <c r="B116" s="2">
        <v>42710.7511111111</v>
      </c>
      <c r="C116">
        <v>2</v>
      </c>
      <c r="D116">
        <v>1</v>
      </c>
      <c r="E116" t="s">
        <v>119</v>
      </c>
    </row>
    <row r="117" spans="1:5">
      <c r="A117">
        <f>HYPERLINK("http://www.twitter.com/nyc311/status/806193350734974976", "806193350734974976")</f>
        <v>0</v>
      </c>
      <c r="B117" s="2">
        <v>42710.7412847222</v>
      </c>
      <c r="C117">
        <v>0</v>
      </c>
      <c r="D117">
        <v>0</v>
      </c>
      <c r="E117" t="s">
        <v>120</v>
      </c>
    </row>
    <row r="118" spans="1:5">
      <c r="A118">
        <f>HYPERLINK("http://www.twitter.com/nyc311/status/806182003993407488", "806182003993407488")</f>
        <v>0</v>
      </c>
      <c r="B118" s="2">
        <v>42710.7099768519</v>
      </c>
      <c r="C118">
        <v>0</v>
      </c>
      <c r="D118">
        <v>0</v>
      </c>
      <c r="E118" t="s">
        <v>121</v>
      </c>
    </row>
    <row r="119" spans="1:5">
      <c r="A119">
        <f>HYPERLINK("http://www.twitter.com/nyc311/status/806168027901399040", "806168027901399040")</f>
        <v>0</v>
      </c>
      <c r="B119" s="2">
        <v>42710.671412037</v>
      </c>
      <c r="C119">
        <v>0</v>
      </c>
      <c r="D119">
        <v>0</v>
      </c>
      <c r="E119" t="s">
        <v>122</v>
      </c>
    </row>
    <row r="120" spans="1:5">
      <c r="A120">
        <f>HYPERLINK("http://www.twitter.com/nyc311/status/806160836079263744", "806160836079263744")</f>
        <v>0</v>
      </c>
      <c r="B120" s="2">
        <v>42710.6515625</v>
      </c>
      <c r="C120">
        <v>0</v>
      </c>
      <c r="D120">
        <v>0</v>
      </c>
      <c r="E120" t="s">
        <v>123</v>
      </c>
    </row>
    <row r="121" spans="1:5">
      <c r="A121">
        <f>HYPERLINK("http://www.twitter.com/nyc311/status/806160316119846915", "806160316119846915")</f>
        <v>0</v>
      </c>
      <c r="B121" s="2">
        <v>42710.6501273148</v>
      </c>
      <c r="C121">
        <v>0</v>
      </c>
      <c r="D121">
        <v>0</v>
      </c>
      <c r="E121" t="s">
        <v>124</v>
      </c>
    </row>
    <row r="122" spans="1:5">
      <c r="A122">
        <f>HYPERLINK("http://www.twitter.com/nyc311/status/806158167176572928", "806158167176572928")</f>
        <v>0</v>
      </c>
      <c r="B122" s="2">
        <v>42710.6442013889</v>
      </c>
      <c r="C122">
        <v>0</v>
      </c>
      <c r="D122">
        <v>0</v>
      </c>
      <c r="E122" t="s">
        <v>125</v>
      </c>
    </row>
    <row r="123" spans="1:5">
      <c r="A123">
        <f>HYPERLINK("http://www.twitter.com/nyc311/status/806157931456659456", "806157931456659456")</f>
        <v>0</v>
      </c>
      <c r="B123" s="2">
        <v>42710.6435532407</v>
      </c>
      <c r="C123">
        <v>0</v>
      </c>
      <c r="D123">
        <v>0</v>
      </c>
      <c r="E123" t="s">
        <v>126</v>
      </c>
    </row>
    <row r="124" spans="1:5">
      <c r="A124">
        <f>HYPERLINK("http://www.twitter.com/nyc311/status/806157103492694016", "806157103492694016")</f>
        <v>0</v>
      </c>
      <c r="B124" s="2">
        <v>42710.6412615741</v>
      </c>
      <c r="C124">
        <v>1</v>
      </c>
      <c r="D124">
        <v>0</v>
      </c>
      <c r="E124" t="s">
        <v>127</v>
      </c>
    </row>
    <row r="125" spans="1:5">
      <c r="A125">
        <f>HYPERLINK("http://www.twitter.com/nyc311/status/806154407251472384", "806154407251472384")</f>
        <v>0</v>
      </c>
      <c r="B125" s="2">
        <v>42710.6338194444</v>
      </c>
      <c r="C125">
        <v>0</v>
      </c>
      <c r="D125">
        <v>0</v>
      </c>
      <c r="E125" t="s">
        <v>128</v>
      </c>
    </row>
    <row r="126" spans="1:5">
      <c r="A126">
        <f>HYPERLINK("http://www.twitter.com/nyc311/status/806154166385180672", "806154166385180672")</f>
        <v>0</v>
      </c>
      <c r="B126" s="2">
        <v>42710.6331597222</v>
      </c>
      <c r="C126">
        <v>1</v>
      </c>
      <c r="D126">
        <v>0</v>
      </c>
      <c r="E126" t="s">
        <v>129</v>
      </c>
    </row>
    <row r="127" spans="1:5">
      <c r="A127">
        <f>HYPERLINK("http://www.twitter.com/nyc311/status/806153969575882752", "806153969575882752")</f>
        <v>0</v>
      </c>
      <c r="B127" s="2">
        <v>42710.6326157407</v>
      </c>
      <c r="C127">
        <v>1</v>
      </c>
      <c r="D127">
        <v>0</v>
      </c>
      <c r="E127" t="s">
        <v>130</v>
      </c>
    </row>
    <row r="128" spans="1:5">
      <c r="A128">
        <f>HYPERLINK("http://www.twitter.com/nyc311/status/806151788743294976", "806151788743294976")</f>
        <v>0</v>
      </c>
      <c r="B128" s="2">
        <v>42710.6265972222</v>
      </c>
      <c r="C128">
        <v>4</v>
      </c>
      <c r="D128">
        <v>2</v>
      </c>
      <c r="E128" t="s">
        <v>131</v>
      </c>
    </row>
    <row r="129" spans="1:5">
      <c r="A129">
        <f>HYPERLINK("http://www.twitter.com/nyc311/status/806148612208082946", "806148612208082946")</f>
        <v>0</v>
      </c>
      <c r="B129" s="2">
        <v>42710.6178356481</v>
      </c>
      <c r="C129">
        <v>0</v>
      </c>
      <c r="D129">
        <v>0</v>
      </c>
      <c r="E129" t="s">
        <v>132</v>
      </c>
    </row>
    <row r="130" spans="1:5">
      <c r="A130">
        <f>HYPERLINK("http://www.twitter.com/nyc311/status/805894530167926784", "805894530167926784")</f>
        <v>0</v>
      </c>
      <c r="B130" s="2">
        <v>42709.9167013889</v>
      </c>
      <c r="C130">
        <v>5</v>
      </c>
      <c r="D130">
        <v>0</v>
      </c>
      <c r="E130" t="s">
        <v>133</v>
      </c>
    </row>
    <row r="131" spans="1:5">
      <c r="A131">
        <f>HYPERLINK("http://www.twitter.com/nyc311/status/805890302271692800", "805890302271692800")</f>
        <v>0</v>
      </c>
      <c r="B131" s="2">
        <v>42709.9050347222</v>
      </c>
      <c r="C131">
        <v>1</v>
      </c>
      <c r="D131">
        <v>0</v>
      </c>
      <c r="E131" t="s">
        <v>134</v>
      </c>
    </row>
    <row r="132" spans="1:5">
      <c r="A132">
        <f>HYPERLINK("http://www.twitter.com/nyc311/status/805885421012086788", "805885421012086788")</f>
        <v>0</v>
      </c>
      <c r="B132" s="2">
        <v>42709.8915625</v>
      </c>
      <c r="C132">
        <v>0</v>
      </c>
      <c r="D132">
        <v>0</v>
      </c>
      <c r="E132" t="s">
        <v>135</v>
      </c>
    </row>
    <row r="133" spans="1:5">
      <c r="A133">
        <f>HYPERLINK("http://www.twitter.com/nyc311/status/805879845456637953", "805879845456637953")</f>
        <v>0</v>
      </c>
      <c r="B133" s="2">
        <v>42709.8761805556</v>
      </c>
      <c r="C133">
        <v>1</v>
      </c>
      <c r="D133">
        <v>2</v>
      </c>
      <c r="E133" t="s">
        <v>136</v>
      </c>
    </row>
    <row r="134" spans="1:5">
      <c r="A134">
        <f>HYPERLINK("http://www.twitter.com/nyc311/status/805864490826956803", "805864490826956803")</f>
        <v>0</v>
      </c>
      <c r="B134" s="2">
        <v>42709.8338078704</v>
      </c>
      <c r="C134">
        <v>3</v>
      </c>
      <c r="D134">
        <v>9</v>
      </c>
      <c r="E134" t="s">
        <v>137</v>
      </c>
    </row>
    <row r="135" spans="1:5">
      <c r="A135">
        <f>HYPERLINK("http://www.twitter.com/nyc311/status/805849664079745024", "805849664079745024")</f>
        <v>0</v>
      </c>
      <c r="B135" s="2">
        <v>42709.7928935185</v>
      </c>
      <c r="C135">
        <v>5</v>
      </c>
      <c r="D135">
        <v>1</v>
      </c>
      <c r="E135" t="s">
        <v>138</v>
      </c>
    </row>
    <row r="136" spans="1:5">
      <c r="A136">
        <f>HYPERLINK("http://www.twitter.com/nyc311/status/805848358615126020", "805848358615126020")</f>
        <v>0</v>
      </c>
      <c r="B136" s="2">
        <v>42709.7892939815</v>
      </c>
      <c r="C136">
        <v>1</v>
      </c>
      <c r="D136">
        <v>0</v>
      </c>
      <c r="E136" t="s">
        <v>139</v>
      </c>
    </row>
    <row r="137" spans="1:5">
      <c r="A137">
        <f>HYPERLINK("http://www.twitter.com/nyc311/status/805847681725767680", "805847681725767680")</f>
        <v>0</v>
      </c>
      <c r="B137" s="2">
        <v>42709.7874189815</v>
      </c>
      <c r="C137">
        <v>0</v>
      </c>
      <c r="D137">
        <v>0</v>
      </c>
      <c r="E137" t="s">
        <v>140</v>
      </c>
    </row>
    <row r="138" spans="1:5">
      <c r="A138">
        <f>HYPERLINK("http://www.twitter.com/nyc311/status/805833260987195392", "805833260987195392")</f>
        <v>0</v>
      </c>
      <c r="B138" s="2">
        <v>42709.7476273148</v>
      </c>
      <c r="C138">
        <v>0</v>
      </c>
      <c r="D138">
        <v>0</v>
      </c>
      <c r="E138" t="s">
        <v>141</v>
      </c>
    </row>
    <row r="139" spans="1:5">
      <c r="A139">
        <f>HYPERLINK("http://www.twitter.com/nyc311/status/805833127826440192", "805833127826440192")</f>
        <v>0</v>
      </c>
      <c r="B139" s="2">
        <v>42709.7472569444</v>
      </c>
      <c r="C139">
        <v>0</v>
      </c>
      <c r="D139">
        <v>0</v>
      </c>
      <c r="E139" t="s">
        <v>142</v>
      </c>
    </row>
    <row r="140" spans="1:5">
      <c r="A140">
        <f>HYPERLINK("http://www.twitter.com/nyc311/status/805832615781658626", "805832615781658626")</f>
        <v>0</v>
      </c>
      <c r="B140" s="2">
        <v>42709.7458449074</v>
      </c>
      <c r="C140">
        <v>1</v>
      </c>
      <c r="D140">
        <v>0</v>
      </c>
      <c r="E140" t="s">
        <v>143</v>
      </c>
    </row>
    <row r="141" spans="1:5">
      <c r="A141">
        <f>HYPERLINK("http://www.twitter.com/nyc311/status/805831385932042240", "805831385932042240")</f>
        <v>0</v>
      </c>
      <c r="B141" s="2">
        <v>42709.7424537037</v>
      </c>
      <c r="C141">
        <v>0</v>
      </c>
      <c r="D141">
        <v>0</v>
      </c>
      <c r="E141" t="s">
        <v>144</v>
      </c>
    </row>
    <row r="142" spans="1:5">
      <c r="A142">
        <f>HYPERLINK("http://www.twitter.com/nyc311/status/805822703122968576", "805822703122968576")</f>
        <v>0</v>
      </c>
      <c r="B142" s="2">
        <v>42709.7184953704</v>
      </c>
      <c r="C142">
        <v>0</v>
      </c>
      <c r="D142">
        <v>0</v>
      </c>
      <c r="E142" t="s">
        <v>145</v>
      </c>
    </row>
    <row r="143" spans="1:5">
      <c r="A143">
        <f>HYPERLINK("http://www.twitter.com/nyc311/status/805822478660595712", "805822478660595712")</f>
        <v>0</v>
      </c>
      <c r="B143" s="2">
        <v>42709.7178819444</v>
      </c>
      <c r="C143">
        <v>0</v>
      </c>
      <c r="D143">
        <v>0</v>
      </c>
      <c r="E143" t="s">
        <v>146</v>
      </c>
    </row>
    <row r="144" spans="1:5">
      <c r="A144">
        <f>HYPERLINK("http://www.twitter.com/nyc311/status/805822473279311872", "805822473279311872")</f>
        <v>0</v>
      </c>
      <c r="B144" s="2">
        <v>42709.7178587963</v>
      </c>
      <c r="C144">
        <v>0</v>
      </c>
      <c r="D144">
        <v>0</v>
      </c>
      <c r="E144" t="s">
        <v>147</v>
      </c>
    </row>
    <row r="145" spans="1:5">
      <c r="A145">
        <f>HYPERLINK("http://www.twitter.com/nyc311/status/805822300050325504", "805822300050325504")</f>
        <v>0</v>
      </c>
      <c r="B145" s="2">
        <v>42709.7173842593</v>
      </c>
      <c r="C145">
        <v>0</v>
      </c>
      <c r="D145">
        <v>0</v>
      </c>
      <c r="E145" t="s">
        <v>148</v>
      </c>
    </row>
    <row r="146" spans="1:5">
      <c r="A146">
        <f>HYPERLINK("http://www.twitter.com/nyc311/status/805822141253976064", "805822141253976064")</f>
        <v>0</v>
      </c>
      <c r="B146" s="2">
        <v>42709.7169444444</v>
      </c>
      <c r="C146">
        <v>0</v>
      </c>
      <c r="D146">
        <v>0</v>
      </c>
      <c r="E146" t="s">
        <v>149</v>
      </c>
    </row>
    <row r="147" spans="1:5">
      <c r="A147">
        <f>HYPERLINK("http://www.twitter.com/nyc311/status/805822062136848385", "805822062136848385")</f>
        <v>0</v>
      </c>
      <c r="B147" s="2">
        <v>42709.716724537</v>
      </c>
      <c r="C147">
        <v>0</v>
      </c>
      <c r="D147">
        <v>0</v>
      </c>
      <c r="E147" t="s">
        <v>150</v>
      </c>
    </row>
    <row r="148" spans="1:5">
      <c r="A148">
        <f>HYPERLINK("http://www.twitter.com/nyc311/status/805821966749941760", "805821966749941760")</f>
        <v>0</v>
      </c>
      <c r="B148" s="2">
        <v>42709.7164583333</v>
      </c>
      <c r="C148">
        <v>0</v>
      </c>
      <c r="D148">
        <v>0</v>
      </c>
      <c r="E148" t="s">
        <v>151</v>
      </c>
    </row>
    <row r="149" spans="1:5">
      <c r="A149">
        <f>HYPERLINK("http://www.twitter.com/nyc311/status/805819678169952257", "805819678169952257")</f>
        <v>0</v>
      </c>
      <c r="B149" s="2">
        <v>42709.710150463</v>
      </c>
      <c r="C149">
        <v>1</v>
      </c>
      <c r="D149">
        <v>3</v>
      </c>
      <c r="E149" t="s">
        <v>152</v>
      </c>
    </row>
    <row r="150" spans="1:5">
      <c r="A150">
        <f>HYPERLINK("http://www.twitter.com/nyc311/status/805817211818545154", "805817211818545154")</f>
        <v>0</v>
      </c>
      <c r="B150" s="2">
        <v>42709.7033449074</v>
      </c>
      <c r="C150">
        <v>0</v>
      </c>
      <c r="D150">
        <v>0</v>
      </c>
      <c r="E150" t="s">
        <v>153</v>
      </c>
    </row>
    <row r="151" spans="1:5">
      <c r="A151">
        <f>HYPERLINK("http://www.twitter.com/nyc311/status/805816425155858432", "805816425155858432")</f>
        <v>0</v>
      </c>
      <c r="B151" s="2">
        <v>42709.7011689815</v>
      </c>
      <c r="C151">
        <v>0</v>
      </c>
      <c r="D151">
        <v>0</v>
      </c>
      <c r="E151" t="s">
        <v>154</v>
      </c>
    </row>
    <row r="152" spans="1:5">
      <c r="A152">
        <f>HYPERLINK("http://www.twitter.com/nyc311/status/805815789660016640", "805815789660016640")</f>
        <v>0</v>
      </c>
      <c r="B152" s="2">
        <v>42709.6994212963</v>
      </c>
      <c r="C152">
        <v>0</v>
      </c>
      <c r="D152">
        <v>0</v>
      </c>
      <c r="E152" t="s">
        <v>155</v>
      </c>
    </row>
    <row r="153" spans="1:5">
      <c r="A153">
        <f>HYPERLINK("http://www.twitter.com/nyc311/status/805814893135982592", "805814893135982592")</f>
        <v>0</v>
      </c>
      <c r="B153" s="2">
        <v>42709.6969444444</v>
      </c>
      <c r="C153">
        <v>0</v>
      </c>
      <c r="D153">
        <v>0</v>
      </c>
      <c r="E153" t="s">
        <v>156</v>
      </c>
    </row>
    <row r="154" spans="1:5">
      <c r="A154">
        <f>HYPERLINK("http://www.twitter.com/nyc311/status/805814158805598210", "805814158805598210")</f>
        <v>0</v>
      </c>
      <c r="B154" s="2">
        <v>42709.6949189815</v>
      </c>
      <c r="C154">
        <v>0</v>
      </c>
      <c r="D154">
        <v>0</v>
      </c>
      <c r="E154" t="s">
        <v>157</v>
      </c>
    </row>
    <row r="155" spans="1:5">
      <c r="A155">
        <f>HYPERLINK("http://www.twitter.com/nyc311/status/805812430148435968", "805812430148435968")</f>
        <v>0</v>
      </c>
      <c r="B155" s="2">
        <v>42709.690150463</v>
      </c>
      <c r="C155">
        <v>0</v>
      </c>
      <c r="D155">
        <v>0</v>
      </c>
      <c r="E155" t="s">
        <v>158</v>
      </c>
    </row>
    <row r="156" spans="1:5">
      <c r="A156">
        <f>HYPERLINK("http://www.twitter.com/nyc311/status/805812262980165632", "805812262980165632")</f>
        <v>0</v>
      </c>
      <c r="B156" s="2">
        <v>42709.6896875</v>
      </c>
      <c r="C156">
        <v>0</v>
      </c>
      <c r="D156">
        <v>0</v>
      </c>
      <c r="E156" t="s">
        <v>159</v>
      </c>
    </row>
    <row r="157" spans="1:5">
      <c r="A157">
        <f>HYPERLINK("http://www.twitter.com/nyc311/status/805809809404653569", "805809809404653569")</f>
        <v>0</v>
      </c>
      <c r="B157" s="2">
        <v>42709.6829166667</v>
      </c>
      <c r="C157">
        <v>0</v>
      </c>
      <c r="D157">
        <v>0</v>
      </c>
      <c r="E157" t="s">
        <v>160</v>
      </c>
    </row>
    <row r="158" spans="1:5">
      <c r="A158">
        <f>HYPERLINK("http://www.twitter.com/nyc311/status/805806667048898560", "805806667048898560")</f>
        <v>0</v>
      </c>
      <c r="B158" s="2">
        <v>42709.6742476852</v>
      </c>
      <c r="C158">
        <v>0</v>
      </c>
      <c r="D158">
        <v>0</v>
      </c>
      <c r="E158" t="s">
        <v>161</v>
      </c>
    </row>
    <row r="159" spans="1:5">
      <c r="A159">
        <f>HYPERLINK("http://www.twitter.com/nyc311/status/805803977136893952", "805803977136893952")</f>
        <v>0</v>
      </c>
      <c r="B159" s="2">
        <v>42709.6668171296</v>
      </c>
      <c r="C159">
        <v>0</v>
      </c>
      <c r="D159">
        <v>0</v>
      </c>
      <c r="E159" t="s">
        <v>162</v>
      </c>
    </row>
    <row r="160" spans="1:5">
      <c r="A160">
        <f>HYPERLINK("http://www.twitter.com/nyc311/status/805799807960891392", "805799807960891392")</f>
        <v>0</v>
      </c>
      <c r="B160" s="2">
        <v>42709.6553125</v>
      </c>
      <c r="C160">
        <v>1</v>
      </c>
      <c r="D160">
        <v>0</v>
      </c>
      <c r="E160" t="s">
        <v>163</v>
      </c>
    </row>
    <row r="161" spans="1:5">
      <c r="A161">
        <f>HYPERLINK("http://www.twitter.com/nyc311/status/805799406507356160", "805799406507356160")</f>
        <v>0</v>
      </c>
      <c r="B161" s="2">
        <v>42709.654212963</v>
      </c>
      <c r="C161">
        <v>1</v>
      </c>
      <c r="D161">
        <v>0</v>
      </c>
      <c r="E161" t="s">
        <v>164</v>
      </c>
    </row>
    <row r="162" spans="1:5">
      <c r="A162">
        <f>HYPERLINK("http://www.twitter.com/nyc311/status/805798969595097088", "805798969595097088")</f>
        <v>0</v>
      </c>
      <c r="B162" s="2">
        <v>42709.6530092593</v>
      </c>
      <c r="C162">
        <v>0</v>
      </c>
      <c r="D162">
        <v>0</v>
      </c>
      <c r="E162" t="s">
        <v>165</v>
      </c>
    </row>
    <row r="163" spans="1:5">
      <c r="A163">
        <f>HYPERLINK("http://www.twitter.com/nyc311/status/805798108995186688", "805798108995186688")</f>
        <v>0</v>
      </c>
      <c r="B163" s="2">
        <v>42709.650625</v>
      </c>
      <c r="C163">
        <v>1</v>
      </c>
      <c r="D163">
        <v>0</v>
      </c>
      <c r="E163" t="s">
        <v>166</v>
      </c>
    </row>
    <row r="164" spans="1:5">
      <c r="A164">
        <f>HYPERLINK("http://www.twitter.com/nyc311/status/805798042632941568", "805798042632941568")</f>
        <v>0</v>
      </c>
      <c r="B164" s="2">
        <v>42709.6504513889</v>
      </c>
      <c r="C164">
        <v>0</v>
      </c>
      <c r="D164">
        <v>0</v>
      </c>
      <c r="E164" t="s">
        <v>167</v>
      </c>
    </row>
    <row r="165" spans="1:5">
      <c r="A165">
        <f>HYPERLINK("http://www.twitter.com/nyc311/status/805797891654713344", "805797891654713344")</f>
        <v>0</v>
      </c>
      <c r="B165" s="2">
        <v>42709.6500347222</v>
      </c>
      <c r="C165">
        <v>0</v>
      </c>
      <c r="D165">
        <v>0</v>
      </c>
      <c r="E165" t="s">
        <v>168</v>
      </c>
    </row>
    <row r="166" spans="1:5">
      <c r="A166">
        <f>HYPERLINK("http://www.twitter.com/nyc311/status/805797627312869376", "805797627312869376")</f>
        <v>0</v>
      </c>
      <c r="B166" s="2">
        <v>42709.6493055556</v>
      </c>
      <c r="C166">
        <v>1</v>
      </c>
      <c r="D166">
        <v>0</v>
      </c>
      <c r="E166" t="s">
        <v>169</v>
      </c>
    </row>
    <row r="167" spans="1:5">
      <c r="A167">
        <f>HYPERLINK("http://www.twitter.com/nyc311/status/805797326358986752", "805797326358986752")</f>
        <v>0</v>
      </c>
      <c r="B167" s="2">
        <v>42709.6484722222</v>
      </c>
      <c r="C167">
        <v>0</v>
      </c>
      <c r="D167">
        <v>0</v>
      </c>
      <c r="E167" t="s">
        <v>170</v>
      </c>
    </row>
    <row r="168" spans="1:5">
      <c r="A168">
        <f>HYPERLINK("http://www.twitter.com/nyc311/status/805797001040429056", "805797001040429056")</f>
        <v>0</v>
      </c>
      <c r="B168" s="2">
        <v>42709.6475694444</v>
      </c>
      <c r="C168">
        <v>0</v>
      </c>
      <c r="D168">
        <v>0</v>
      </c>
      <c r="E168" t="s">
        <v>171</v>
      </c>
    </row>
    <row r="169" spans="1:5">
      <c r="A169">
        <f>HYPERLINK("http://www.twitter.com/nyc311/status/805796978160533504", "805796978160533504")</f>
        <v>0</v>
      </c>
      <c r="B169" s="2">
        <v>42709.6475115741</v>
      </c>
      <c r="C169">
        <v>0</v>
      </c>
      <c r="D169">
        <v>0</v>
      </c>
      <c r="E169" t="s">
        <v>172</v>
      </c>
    </row>
    <row r="170" spans="1:5">
      <c r="A170">
        <f>HYPERLINK("http://www.twitter.com/nyc311/status/805794363959902208", "805794363959902208")</f>
        <v>0</v>
      </c>
      <c r="B170" s="2">
        <v>42709.6402893519</v>
      </c>
      <c r="C170">
        <v>0</v>
      </c>
      <c r="D170">
        <v>0</v>
      </c>
      <c r="E170" t="s">
        <v>173</v>
      </c>
    </row>
    <row r="171" spans="1:5">
      <c r="A171">
        <f>HYPERLINK("http://www.twitter.com/nyc311/status/805792660627877888", "805792660627877888")</f>
        <v>0</v>
      </c>
      <c r="B171" s="2">
        <v>42709.6355902778</v>
      </c>
      <c r="C171">
        <v>0</v>
      </c>
      <c r="D171">
        <v>0</v>
      </c>
      <c r="E171" t="s">
        <v>174</v>
      </c>
    </row>
    <row r="172" spans="1:5">
      <c r="A172">
        <f>HYPERLINK("http://www.twitter.com/nyc311/status/805789353503059968", "805789353503059968")</f>
        <v>0</v>
      </c>
      <c r="B172" s="2">
        <v>42709.6264699074</v>
      </c>
      <c r="C172">
        <v>2</v>
      </c>
      <c r="D172">
        <v>5</v>
      </c>
      <c r="E172" t="s">
        <v>175</v>
      </c>
    </row>
    <row r="173" spans="1:5">
      <c r="A173">
        <f>HYPERLINK("http://www.twitter.com/nyc311/status/805517283410014208", "805517283410014208")</f>
        <v>0</v>
      </c>
      <c r="B173" s="2">
        <v>42708.8756944444</v>
      </c>
      <c r="C173">
        <v>2</v>
      </c>
      <c r="D173">
        <v>0</v>
      </c>
      <c r="E173" t="s">
        <v>176</v>
      </c>
    </row>
    <row r="174" spans="1:5">
      <c r="A174">
        <f>HYPERLINK("http://www.twitter.com/nyc311/status/805487164435873792", "805487164435873792")</f>
        <v>0</v>
      </c>
      <c r="B174" s="2">
        <v>42708.7925810185</v>
      </c>
      <c r="C174">
        <v>6</v>
      </c>
      <c r="D174">
        <v>3</v>
      </c>
      <c r="E174" t="s">
        <v>177</v>
      </c>
    </row>
    <row r="175" spans="1:5">
      <c r="A175">
        <f>HYPERLINK("http://www.twitter.com/nyc311/status/805457013039894528", "805457013039894528")</f>
        <v>0</v>
      </c>
      <c r="B175" s="2">
        <v>42708.7093865741</v>
      </c>
      <c r="C175">
        <v>6</v>
      </c>
      <c r="D175">
        <v>4</v>
      </c>
      <c r="E175" t="s">
        <v>178</v>
      </c>
    </row>
    <row r="176" spans="1:5">
      <c r="A176">
        <f>HYPERLINK("http://www.twitter.com/nyc311/status/805426799891116033", "805426799891116033")</f>
        <v>0</v>
      </c>
      <c r="B176" s="2">
        <v>42708.6260069444</v>
      </c>
      <c r="C176">
        <v>1</v>
      </c>
      <c r="D176">
        <v>2</v>
      </c>
      <c r="E176" t="s">
        <v>179</v>
      </c>
    </row>
    <row r="177" spans="1:5">
      <c r="A177">
        <f>HYPERLINK("http://www.twitter.com/nyc311/status/805154899591827456", "805154899591827456")</f>
        <v>0</v>
      </c>
      <c r="B177" s="2">
        <v>42707.8757060185</v>
      </c>
      <c r="C177">
        <v>0</v>
      </c>
      <c r="D177">
        <v>0</v>
      </c>
      <c r="E177" t="s">
        <v>180</v>
      </c>
    </row>
    <row r="178" spans="1:5">
      <c r="A178">
        <f>HYPERLINK("http://www.twitter.com/nyc311/status/805124836116824064", "805124836116824064")</f>
        <v>0</v>
      </c>
      <c r="B178" s="2">
        <v>42707.7927546296</v>
      </c>
      <c r="C178">
        <v>5</v>
      </c>
      <c r="D178">
        <v>6</v>
      </c>
      <c r="E178" t="s">
        <v>181</v>
      </c>
    </row>
    <row r="179" spans="1:5">
      <c r="A179">
        <f>HYPERLINK("http://www.twitter.com/nyc311/status/805094667977183232", "805094667977183232")</f>
        <v>0</v>
      </c>
      <c r="B179" s="2">
        <v>42707.7095023148</v>
      </c>
      <c r="C179">
        <v>0</v>
      </c>
      <c r="D179">
        <v>0</v>
      </c>
      <c r="E179" t="s">
        <v>182</v>
      </c>
    </row>
    <row r="180" spans="1:5">
      <c r="A180">
        <f>HYPERLINK("http://www.twitter.com/nyc311/status/805064478928805888", "805064478928805888")</f>
        <v>0</v>
      </c>
      <c r="B180" s="2">
        <v>42707.6261921296</v>
      </c>
      <c r="C180">
        <v>6</v>
      </c>
      <c r="D180">
        <v>5</v>
      </c>
      <c r="E180" t="s">
        <v>183</v>
      </c>
    </row>
    <row r="181" spans="1:5">
      <c r="A181">
        <f>HYPERLINK("http://www.twitter.com/nyc311/status/804804829260431362", "804804829260431362")</f>
        <v>0</v>
      </c>
      <c r="B181" s="2">
        <v>42706.9096990741</v>
      </c>
      <c r="C181">
        <v>0</v>
      </c>
      <c r="D181">
        <v>0</v>
      </c>
      <c r="E181" t="s">
        <v>184</v>
      </c>
    </row>
    <row r="182" spans="1:5">
      <c r="A182">
        <f>HYPERLINK("http://www.twitter.com/nyc311/status/804792584921120768", "804792584921120768")</f>
        <v>0</v>
      </c>
      <c r="B182" s="2">
        <v>42706.8759143519</v>
      </c>
      <c r="C182">
        <v>0</v>
      </c>
      <c r="D182">
        <v>0</v>
      </c>
      <c r="E182" t="s">
        <v>185</v>
      </c>
    </row>
    <row r="183" spans="1:5">
      <c r="A183">
        <f>HYPERLINK("http://www.twitter.com/nyc311/status/804786750317035522", "804786750317035522")</f>
        <v>0</v>
      </c>
      <c r="B183" s="2">
        <v>42706.8598148148</v>
      </c>
      <c r="C183">
        <v>0</v>
      </c>
      <c r="D183">
        <v>0</v>
      </c>
      <c r="E183" t="s">
        <v>186</v>
      </c>
    </row>
    <row r="184" spans="1:5">
      <c r="A184">
        <f>HYPERLINK("http://www.twitter.com/nyc311/status/804786115609763841", "804786115609763841")</f>
        <v>0</v>
      </c>
      <c r="B184" s="2">
        <v>42706.8580555556</v>
      </c>
      <c r="C184">
        <v>0</v>
      </c>
      <c r="D184">
        <v>0</v>
      </c>
      <c r="E184" t="s">
        <v>187</v>
      </c>
    </row>
    <row r="185" spans="1:5">
      <c r="A185">
        <f>HYPERLINK("http://www.twitter.com/nyc311/status/804776365987872769", "804776365987872769")</f>
        <v>0</v>
      </c>
      <c r="B185" s="2">
        <v>42706.8311574074</v>
      </c>
      <c r="C185">
        <v>0</v>
      </c>
      <c r="D185">
        <v>0</v>
      </c>
      <c r="E185" t="s">
        <v>188</v>
      </c>
    </row>
    <row r="186" spans="1:5">
      <c r="A186">
        <f>HYPERLINK("http://www.twitter.com/nyc311/status/804762492614414336", "804762492614414336")</f>
        <v>0</v>
      </c>
      <c r="B186" s="2">
        <v>42706.7928703704</v>
      </c>
      <c r="C186">
        <v>2</v>
      </c>
      <c r="D186">
        <v>1</v>
      </c>
      <c r="E186" t="s">
        <v>189</v>
      </c>
    </row>
    <row r="187" spans="1:5">
      <c r="A187">
        <f>HYPERLINK("http://www.twitter.com/nyc311/status/804747526557536256", "804747526557536256")</f>
        <v>0</v>
      </c>
      <c r="B187" s="2">
        <v>42706.7515740741</v>
      </c>
      <c r="C187">
        <v>0</v>
      </c>
      <c r="D187">
        <v>0</v>
      </c>
      <c r="E187" t="s">
        <v>190</v>
      </c>
    </row>
    <row r="188" spans="1:5">
      <c r="A188">
        <f>HYPERLINK("http://www.twitter.com/nyc311/status/804747309699497984", "804747309699497984")</f>
        <v>0</v>
      </c>
      <c r="B188" s="2">
        <v>42706.7509722222</v>
      </c>
      <c r="C188">
        <v>5</v>
      </c>
      <c r="D188">
        <v>2</v>
      </c>
      <c r="E188" t="s">
        <v>191</v>
      </c>
    </row>
    <row r="189" spans="1:5">
      <c r="A189">
        <f>HYPERLINK("http://www.twitter.com/nyc311/status/804732463549390851", "804732463549390851")</f>
        <v>0</v>
      </c>
      <c r="B189" s="2">
        <v>42706.7100115741</v>
      </c>
      <c r="C189">
        <v>11</v>
      </c>
      <c r="D189">
        <v>10</v>
      </c>
      <c r="E189" t="s">
        <v>192</v>
      </c>
    </row>
    <row r="190" spans="1:5">
      <c r="A190">
        <f>HYPERLINK("http://www.twitter.com/nyc311/status/804724374309916672", "804724374309916672")</f>
        <v>0</v>
      </c>
      <c r="B190" s="2">
        <v>42706.6876851852</v>
      </c>
      <c r="C190">
        <v>5</v>
      </c>
      <c r="D190">
        <v>6</v>
      </c>
      <c r="E190" t="s">
        <v>193</v>
      </c>
    </row>
    <row r="191" spans="1:5">
      <c r="A191">
        <f>HYPERLINK("http://www.twitter.com/nyc311/status/804710778771304448", "804710778771304448")</f>
        <v>0</v>
      </c>
      <c r="B191" s="2">
        <v>42706.6501736111</v>
      </c>
      <c r="C191">
        <v>0</v>
      </c>
      <c r="D191">
        <v>0</v>
      </c>
      <c r="E191" t="s">
        <v>194</v>
      </c>
    </row>
    <row r="192" spans="1:5">
      <c r="A192">
        <f>HYPERLINK("http://www.twitter.com/nyc311/status/804702174169198592", "804702174169198592")</f>
        <v>0</v>
      </c>
      <c r="B192" s="2">
        <v>42706.6264236111</v>
      </c>
      <c r="C192">
        <v>4</v>
      </c>
      <c r="D192">
        <v>4</v>
      </c>
      <c r="E192" t="s">
        <v>195</v>
      </c>
    </row>
    <row r="193" spans="1:5">
      <c r="A193">
        <f>HYPERLINK("http://www.twitter.com/nyc311/status/804700458409398272", "804700458409398272")</f>
        <v>0</v>
      </c>
      <c r="B193" s="2">
        <v>42706.6216898148</v>
      </c>
      <c r="C193">
        <v>1</v>
      </c>
      <c r="D193">
        <v>0</v>
      </c>
      <c r="E193" t="s">
        <v>196</v>
      </c>
    </row>
    <row r="194" spans="1:5">
      <c r="A194">
        <f>HYPERLINK("http://www.twitter.com/nyc311/status/804450361096421376", "804450361096421376")</f>
        <v>0</v>
      </c>
      <c r="B194" s="2">
        <v>42705.9315509259</v>
      </c>
      <c r="C194">
        <v>0</v>
      </c>
      <c r="D194">
        <v>0</v>
      </c>
      <c r="E194" t="s">
        <v>197</v>
      </c>
    </row>
    <row r="195" spans="1:5">
      <c r="A195">
        <f>HYPERLINK("http://www.twitter.com/nyc311/status/804438986592780288", "804438986592780288")</f>
        <v>0</v>
      </c>
      <c r="B195" s="2">
        <v>42705.900162037</v>
      </c>
      <c r="C195">
        <v>0</v>
      </c>
      <c r="D195">
        <v>0</v>
      </c>
      <c r="E195" t="s">
        <v>198</v>
      </c>
    </row>
    <row r="196" spans="1:5">
      <c r="A196">
        <f>HYPERLINK("http://www.twitter.com/nyc311/status/804438829591629824", "804438829591629824")</f>
        <v>0</v>
      </c>
      <c r="B196" s="2">
        <v>42705.8997337963</v>
      </c>
      <c r="C196">
        <v>0</v>
      </c>
      <c r="D196">
        <v>0</v>
      </c>
      <c r="E196" t="s">
        <v>199</v>
      </c>
    </row>
    <row r="197" spans="1:5">
      <c r="A197">
        <f>HYPERLINK("http://www.twitter.com/nyc311/status/804434904696164356", "804434904696164356")</f>
        <v>0</v>
      </c>
      <c r="B197" s="2">
        <v>42705.888900463</v>
      </c>
      <c r="C197">
        <v>0</v>
      </c>
      <c r="D197">
        <v>0</v>
      </c>
      <c r="E197" t="s">
        <v>200</v>
      </c>
    </row>
    <row r="198" spans="1:5">
      <c r="A198">
        <f>HYPERLINK("http://www.twitter.com/nyc311/status/804430171533180932", "804430171533180932")</f>
        <v>0</v>
      </c>
      <c r="B198" s="2">
        <v>42705.8758449074</v>
      </c>
      <c r="C198">
        <v>1</v>
      </c>
      <c r="D198">
        <v>1</v>
      </c>
      <c r="E198" t="s">
        <v>201</v>
      </c>
    </row>
    <row r="199" spans="1:5">
      <c r="A199">
        <f>HYPERLINK("http://www.twitter.com/nyc311/status/804429659907702785", "804429659907702785")</f>
        <v>0</v>
      </c>
      <c r="B199" s="2">
        <v>42705.8744328704</v>
      </c>
      <c r="C199">
        <v>0</v>
      </c>
      <c r="D199">
        <v>0</v>
      </c>
      <c r="E199" t="s">
        <v>202</v>
      </c>
    </row>
    <row r="200" spans="1:5">
      <c r="A200">
        <f>HYPERLINK("http://www.twitter.com/nyc311/status/804421123370848256", "804421123370848256")</f>
        <v>0</v>
      </c>
      <c r="B200" s="2">
        <v>42705.8508680556</v>
      </c>
      <c r="C200">
        <v>0</v>
      </c>
      <c r="D200">
        <v>0</v>
      </c>
      <c r="E200" t="s">
        <v>203</v>
      </c>
    </row>
    <row r="201" spans="1:5">
      <c r="A201">
        <f>HYPERLINK("http://www.twitter.com/nyc311/status/804417324132560896", "804417324132560896")</f>
        <v>0</v>
      </c>
      <c r="B201" s="2">
        <v>42705.8403935185</v>
      </c>
      <c r="C201">
        <v>2</v>
      </c>
      <c r="D201">
        <v>0</v>
      </c>
      <c r="E201" t="s">
        <v>204</v>
      </c>
    </row>
    <row r="202" spans="1:5">
      <c r="A202">
        <f>HYPERLINK("http://www.twitter.com/nyc311/status/804416391931641857", "804416391931641857")</f>
        <v>0</v>
      </c>
      <c r="B202" s="2">
        <v>42705.8378125</v>
      </c>
      <c r="C202">
        <v>1</v>
      </c>
      <c r="D202">
        <v>0</v>
      </c>
      <c r="E202" t="s">
        <v>205</v>
      </c>
    </row>
    <row r="203" spans="1:5">
      <c r="A203">
        <f>HYPERLINK("http://www.twitter.com/nyc311/status/804402746598236160", "804402746598236160")</f>
        <v>0</v>
      </c>
      <c r="B203" s="2">
        <v>42705.800162037</v>
      </c>
      <c r="C203">
        <v>0</v>
      </c>
      <c r="D203">
        <v>0</v>
      </c>
      <c r="E203" t="s">
        <v>206</v>
      </c>
    </row>
    <row r="204" spans="1:5">
      <c r="A204">
        <f>HYPERLINK("http://www.twitter.com/nyc311/status/804402334155554816", "804402334155554816")</f>
        <v>0</v>
      </c>
      <c r="B204" s="2">
        <v>42705.7990277778</v>
      </c>
      <c r="C204">
        <v>0</v>
      </c>
      <c r="D204">
        <v>0</v>
      </c>
      <c r="E204" t="s">
        <v>207</v>
      </c>
    </row>
    <row r="205" spans="1:5">
      <c r="A205">
        <f>HYPERLINK("http://www.twitter.com/nyc311/status/804400152584851456", "804400152584851456")</f>
        <v>0</v>
      </c>
      <c r="B205" s="2">
        <v>42705.7930092593</v>
      </c>
      <c r="C205">
        <v>0</v>
      </c>
      <c r="D205">
        <v>0</v>
      </c>
      <c r="E205" t="s">
        <v>208</v>
      </c>
    </row>
    <row r="206" spans="1:5">
      <c r="A206">
        <f>HYPERLINK("http://www.twitter.com/nyc311/status/804394887504396288", "804394887504396288")</f>
        <v>0</v>
      </c>
      <c r="B206" s="2">
        <v>42705.7784722222</v>
      </c>
      <c r="C206">
        <v>1</v>
      </c>
      <c r="D206">
        <v>1</v>
      </c>
      <c r="E206" t="s">
        <v>209</v>
      </c>
    </row>
    <row r="207" spans="1:5">
      <c r="A207">
        <f>HYPERLINK("http://www.twitter.com/nyc311/status/804384767571533824", "804384767571533824")</f>
        <v>0</v>
      </c>
      <c r="B207" s="2">
        <v>42705.7505439815</v>
      </c>
      <c r="C207">
        <v>0</v>
      </c>
      <c r="D207">
        <v>3</v>
      </c>
      <c r="E207" t="s">
        <v>137</v>
      </c>
    </row>
    <row r="208" spans="1:5">
      <c r="A208">
        <f>HYPERLINK("http://www.twitter.com/nyc311/status/804377419721412608", "804377419721412608")</f>
        <v>0</v>
      </c>
      <c r="B208" s="2">
        <v>42705.7302777778</v>
      </c>
      <c r="C208">
        <v>1</v>
      </c>
      <c r="D208">
        <v>0</v>
      </c>
      <c r="E208" t="s">
        <v>210</v>
      </c>
    </row>
    <row r="209" spans="1:5">
      <c r="A209">
        <f>HYPERLINK("http://www.twitter.com/nyc311/status/804377255384379393", "804377255384379393")</f>
        <v>0</v>
      </c>
      <c r="B209" s="2">
        <v>42705.7298148148</v>
      </c>
      <c r="C209">
        <v>0</v>
      </c>
      <c r="D209">
        <v>0</v>
      </c>
      <c r="E209" t="s">
        <v>211</v>
      </c>
    </row>
    <row r="210" spans="1:5">
      <c r="A210">
        <f>HYPERLINK("http://www.twitter.com/nyc311/status/804376140857098240", "804376140857098240")</f>
        <v>0</v>
      </c>
      <c r="B210" s="2">
        <v>42705.7267476852</v>
      </c>
      <c r="C210">
        <v>0</v>
      </c>
      <c r="D210">
        <v>0</v>
      </c>
      <c r="E210" t="s">
        <v>212</v>
      </c>
    </row>
    <row r="211" spans="1:5">
      <c r="A211">
        <f>HYPERLINK("http://www.twitter.com/nyc311/status/804374422689816576", "804374422689816576")</f>
        <v>0</v>
      </c>
      <c r="B211" s="2">
        <v>42705.7220023148</v>
      </c>
      <c r="C211">
        <v>0</v>
      </c>
      <c r="D211">
        <v>0</v>
      </c>
      <c r="E211" t="s">
        <v>213</v>
      </c>
    </row>
    <row r="212" spans="1:5">
      <c r="A212">
        <f>HYPERLINK("http://www.twitter.com/nyc311/status/804373574555435010", "804373574555435010")</f>
        <v>0</v>
      </c>
      <c r="B212" s="2">
        <v>42705.7196643519</v>
      </c>
      <c r="C212">
        <v>0</v>
      </c>
      <c r="D212">
        <v>0</v>
      </c>
      <c r="E212" t="s">
        <v>214</v>
      </c>
    </row>
    <row r="213" spans="1:5">
      <c r="A213">
        <f>HYPERLINK("http://www.twitter.com/nyc311/status/804370503926419456", "804370503926419456")</f>
        <v>0</v>
      </c>
      <c r="B213" s="2">
        <v>42705.7111921296</v>
      </c>
      <c r="C213">
        <v>0</v>
      </c>
      <c r="D213">
        <v>0</v>
      </c>
      <c r="E213" t="s">
        <v>215</v>
      </c>
    </row>
    <row r="214" spans="1:5">
      <c r="A214">
        <f>HYPERLINK("http://www.twitter.com/nyc311/status/804370095262887936", "804370095262887936")</f>
        <v>0</v>
      </c>
      <c r="B214" s="2">
        <v>42705.7100578704</v>
      </c>
      <c r="C214">
        <v>0</v>
      </c>
      <c r="D214">
        <v>0</v>
      </c>
      <c r="E214" t="s">
        <v>216</v>
      </c>
    </row>
    <row r="215" spans="1:5">
      <c r="A215">
        <f>HYPERLINK("http://www.twitter.com/nyc311/status/804370045174509568", "804370045174509568")</f>
        <v>0</v>
      </c>
      <c r="B215" s="2">
        <v>42705.7099189815</v>
      </c>
      <c r="C215">
        <v>1</v>
      </c>
      <c r="D215">
        <v>0</v>
      </c>
      <c r="E215" t="s">
        <v>217</v>
      </c>
    </row>
    <row r="216" spans="1:5">
      <c r="A216">
        <f>HYPERLINK("http://www.twitter.com/nyc311/status/804358492740091904", "804358492740091904")</f>
        <v>0</v>
      </c>
      <c r="B216" s="2">
        <v>42705.6780439815</v>
      </c>
      <c r="C216">
        <v>0</v>
      </c>
      <c r="D216">
        <v>0</v>
      </c>
      <c r="E216" t="s">
        <v>218</v>
      </c>
    </row>
    <row r="217" spans="1:5">
      <c r="A217">
        <f>HYPERLINK("http://www.twitter.com/nyc311/status/804354899811139584", "804354899811139584")</f>
        <v>0</v>
      </c>
      <c r="B217" s="2">
        <v>42705.668125</v>
      </c>
      <c r="C217">
        <v>1</v>
      </c>
      <c r="D217">
        <v>2</v>
      </c>
      <c r="E217" t="s">
        <v>219</v>
      </c>
    </row>
    <row r="218" spans="1:5">
      <c r="A218">
        <f>HYPERLINK("http://www.twitter.com/nyc311/status/804342721972420608", "804342721972420608")</f>
        <v>0</v>
      </c>
      <c r="B218" s="2">
        <v>42705.634525463</v>
      </c>
      <c r="C218">
        <v>0</v>
      </c>
      <c r="D218">
        <v>0</v>
      </c>
      <c r="E218" t="s">
        <v>220</v>
      </c>
    </row>
    <row r="219" spans="1:5">
      <c r="A219">
        <f>HYPERLINK("http://www.twitter.com/nyc311/status/804340101367169025", "804340101367169025")</f>
        <v>0</v>
      </c>
      <c r="B219" s="2">
        <v>42705.6272916667</v>
      </c>
      <c r="C219">
        <v>0</v>
      </c>
      <c r="D219">
        <v>0</v>
      </c>
      <c r="E219" t="s">
        <v>221</v>
      </c>
    </row>
    <row r="220" spans="1:5">
      <c r="A220">
        <f>HYPERLINK("http://www.twitter.com/nyc311/status/804339690870554624", "804339690870554624")</f>
        <v>0</v>
      </c>
      <c r="B220" s="2">
        <v>42705.6261574074</v>
      </c>
      <c r="C220">
        <v>2</v>
      </c>
      <c r="D220">
        <v>1</v>
      </c>
      <c r="E220" t="s">
        <v>222</v>
      </c>
    </row>
    <row r="221" spans="1:5">
      <c r="A221">
        <f>HYPERLINK("http://www.twitter.com/nyc311/status/804067858225516545", "804067858225516545")</f>
        <v>0</v>
      </c>
      <c r="B221" s="2">
        <v>42704.8760416667</v>
      </c>
      <c r="C221">
        <v>0</v>
      </c>
      <c r="D221">
        <v>0</v>
      </c>
      <c r="E221" t="s">
        <v>223</v>
      </c>
    </row>
    <row r="222" spans="1:5">
      <c r="A222">
        <f>HYPERLINK("http://www.twitter.com/nyc311/status/804052553549967360", "804052553549967360")</f>
        <v>0</v>
      </c>
      <c r="B222" s="2">
        <v>42704.8338078704</v>
      </c>
      <c r="C222">
        <v>1</v>
      </c>
      <c r="D222">
        <v>2</v>
      </c>
      <c r="E222" t="s">
        <v>224</v>
      </c>
    </row>
    <row r="223" spans="1:5">
      <c r="A223">
        <f>HYPERLINK("http://www.twitter.com/nyc311/status/804046911124729857", "804046911124729857")</f>
        <v>0</v>
      </c>
      <c r="B223" s="2">
        <v>42704.8182407407</v>
      </c>
      <c r="C223">
        <v>0</v>
      </c>
      <c r="D223">
        <v>0</v>
      </c>
      <c r="E223" t="s">
        <v>225</v>
      </c>
    </row>
    <row r="224" spans="1:5">
      <c r="A224">
        <f>HYPERLINK("http://www.twitter.com/nyc311/status/804037715805302784", "804037715805302784")</f>
        <v>0</v>
      </c>
      <c r="B224" s="2">
        <v>42704.7928703704</v>
      </c>
      <c r="C224">
        <v>0</v>
      </c>
      <c r="D224">
        <v>1</v>
      </c>
      <c r="E224" t="s">
        <v>226</v>
      </c>
    </row>
    <row r="225" spans="1:5">
      <c r="A225">
        <f>HYPERLINK("http://www.twitter.com/nyc311/status/804022181449625600", "804022181449625600")</f>
        <v>0</v>
      </c>
      <c r="B225" s="2">
        <v>42704.75</v>
      </c>
      <c r="C225">
        <v>3</v>
      </c>
      <c r="D225">
        <v>0</v>
      </c>
      <c r="E225" t="s">
        <v>227</v>
      </c>
    </row>
    <row r="226" spans="1:5">
      <c r="A226">
        <f>HYPERLINK("http://www.twitter.com/nyc311/status/804010487000301576", "804010487000301576")</f>
        <v>0</v>
      </c>
      <c r="B226" s="2">
        <v>42704.7177314815</v>
      </c>
      <c r="C226">
        <v>0</v>
      </c>
      <c r="D226">
        <v>12</v>
      </c>
      <c r="E226" t="s">
        <v>228</v>
      </c>
    </row>
    <row r="227" spans="1:5">
      <c r="A227">
        <f>HYPERLINK("http://www.twitter.com/nyc311/status/804010335208349697", "804010335208349697")</f>
        <v>0</v>
      </c>
      <c r="B227" s="2">
        <v>42704.7173148148</v>
      </c>
      <c r="C227">
        <v>0</v>
      </c>
      <c r="D227">
        <v>0</v>
      </c>
      <c r="E227" t="s">
        <v>229</v>
      </c>
    </row>
    <row r="228" spans="1:5">
      <c r="A228">
        <f>HYPERLINK("http://www.twitter.com/nyc311/status/804009175357472768", "804009175357472768")</f>
        <v>0</v>
      </c>
      <c r="B228" s="2">
        <v>42704.7141087963</v>
      </c>
      <c r="C228">
        <v>1</v>
      </c>
      <c r="D228">
        <v>0</v>
      </c>
      <c r="E228" t="s">
        <v>230</v>
      </c>
    </row>
    <row r="229" spans="1:5">
      <c r="A229">
        <f>HYPERLINK("http://www.twitter.com/nyc311/status/804008867734716416", "804008867734716416")</f>
        <v>0</v>
      </c>
      <c r="B229" s="2">
        <v>42704.7132638889</v>
      </c>
      <c r="C229">
        <v>1</v>
      </c>
      <c r="D229">
        <v>0</v>
      </c>
      <c r="E229" t="s">
        <v>231</v>
      </c>
    </row>
    <row r="230" spans="1:5">
      <c r="A230">
        <f>HYPERLINK("http://www.twitter.com/nyc311/status/804007820093964288", "804007820093964288")</f>
        <v>0</v>
      </c>
      <c r="B230" s="2">
        <v>42704.7103703704</v>
      </c>
      <c r="C230">
        <v>3</v>
      </c>
      <c r="D230">
        <v>9</v>
      </c>
      <c r="E230" t="s">
        <v>232</v>
      </c>
    </row>
    <row r="231" spans="1:5">
      <c r="A231">
        <f>HYPERLINK("http://www.twitter.com/nyc311/status/803994025195950081", "803994025195950081")</f>
        <v>0</v>
      </c>
      <c r="B231" s="2">
        <v>42704.6723032407</v>
      </c>
      <c r="C231">
        <v>0</v>
      </c>
      <c r="D231">
        <v>0</v>
      </c>
      <c r="E231" t="s">
        <v>233</v>
      </c>
    </row>
    <row r="232" spans="1:5">
      <c r="A232">
        <f>HYPERLINK("http://www.twitter.com/nyc311/status/803993265632673792", "803993265632673792")</f>
        <v>0</v>
      </c>
      <c r="B232" s="2">
        <v>42704.6702083333</v>
      </c>
      <c r="C232">
        <v>0</v>
      </c>
      <c r="D232">
        <v>0</v>
      </c>
      <c r="E232" t="s">
        <v>234</v>
      </c>
    </row>
    <row r="233" spans="1:5">
      <c r="A233">
        <f>HYPERLINK("http://www.twitter.com/nyc311/status/803989492449312768", "803989492449312768")</f>
        <v>0</v>
      </c>
      <c r="B233" s="2">
        <v>42704.6598032407</v>
      </c>
      <c r="C233">
        <v>0</v>
      </c>
      <c r="D233">
        <v>0</v>
      </c>
      <c r="E233" t="s">
        <v>235</v>
      </c>
    </row>
    <row r="234" spans="1:5">
      <c r="A234">
        <f>HYPERLINK("http://www.twitter.com/nyc311/status/803988347127496704", "803988347127496704")</f>
        <v>0</v>
      </c>
      <c r="B234" s="2">
        <v>42704.6566319444</v>
      </c>
      <c r="C234">
        <v>1</v>
      </c>
      <c r="D234">
        <v>0</v>
      </c>
      <c r="E234" t="s">
        <v>236</v>
      </c>
    </row>
    <row r="235" spans="1:5">
      <c r="A235">
        <f>HYPERLINK("http://www.twitter.com/nyc311/status/803986451620827136", "803986451620827136")</f>
        <v>0</v>
      </c>
      <c r="B235" s="2">
        <v>42704.651412037</v>
      </c>
      <c r="C235">
        <v>0</v>
      </c>
      <c r="D235">
        <v>0</v>
      </c>
      <c r="E235" t="s">
        <v>237</v>
      </c>
    </row>
    <row r="236" spans="1:5">
      <c r="A236">
        <f>HYPERLINK("http://www.twitter.com/nyc311/status/803984980259078145", "803984980259078145")</f>
        <v>0</v>
      </c>
      <c r="B236" s="2">
        <v>42704.647349537</v>
      </c>
      <c r="C236">
        <v>0</v>
      </c>
      <c r="D236">
        <v>0</v>
      </c>
      <c r="E236" t="s">
        <v>238</v>
      </c>
    </row>
    <row r="237" spans="1:5">
      <c r="A237">
        <f>HYPERLINK("http://www.twitter.com/nyc311/status/803983713436659712", "803983713436659712")</f>
        <v>0</v>
      </c>
      <c r="B237" s="2">
        <v>42704.6438541667</v>
      </c>
      <c r="C237">
        <v>0</v>
      </c>
      <c r="D237">
        <v>0</v>
      </c>
      <c r="E237" t="s">
        <v>239</v>
      </c>
    </row>
    <row r="238" spans="1:5">
      <c r="A238">
        <f>HYPERLINK("http://www.twitter.com/nyc311/status/803983686215602178", "803983686215602178")</f>
        <v>0</v>
      </c>
      <c r="B238" s="2">
        <v>42704.6437731481</v>
      </c>
      <c r="C238">
        <v>0</v>
      </c>
      <c r="D238">
        <v>0</v>
      </c>
      <c r="E238" t="s">
        <v>240</v>
      </c>
    </row>
    <row r="239" spans="1:5">
      <c r="A239">
        <f>HYPERLINK("http://www.twitter.com/nyc311/status/803983629764411393", "803983629764411393")</f>
        <v>0</v>
      </c>
      <c r="B239" s="2">
        <v>42704.6436226852</v>
      </c>
      <c r="C239">
        <v>0</v>
      </c>
      <c r="D239">
        <v>0</v>
      </c>
      <c r="E239" t="s">
        <v>241</v>
      </c>
    </row>
    <row r="240" spans="1:5">
      <c r="A240">
        <f>HYPERLINK("http://www.twitter.com/nyc311/status/803977388585582592", "803977388585582592")</f>
        <v>0</v>
      </c>
      <c r="B240" s="2">
        <v>42704.626400463</v>
      </c>
      <c r="C240">
        <v>2</v>
      </c>
      <c r="D240">
        <v>1</v>
      </c>
      <c r="E240" t="s">
        <v>242</v>
      </c>
    </row>
    <row r="241" spans="1:5">
      <c r="A241">
        <f>HYPERLINK("http://www.twitter.com/nyc311/status/803968533302493187", "803968533302493187")</f>
        <v>0</v>
      </c>
      <c r="B241" s="2">
        <v>42704.6019675926</v>
      </c>
      <c r="C241">
        <v>0</v>
      </c>
      <c r="D241">
        <v>0</v>
      </c>
      <c r="E241" t="s">
        <v>243</v>
      </c>
    </row>
    <row r="242" spans="1:5">
      <c r="A242">
        <f>HYPERLINK("http://www.twitter.com/nyc311/status/803724132902981632", "803724132902981632")</f>
        <v>0</v>
      </c>
      <c r="B242" s="2">
        <v>42703.9275462963</v>
      </c>
      <c r="C242">
        <v>1</v>
      </c>
      <c r="D242">
        <v>0</v>
      </c>
      <c r="E242" t="s">
        <v>244</v>
      </c>
    </row>
    <row r="243" spans="1:5">
      <c r="A243">
        <f>HYPERLINK("http://www.twitter.com/nyc311/status/803708504489926656", "803708504489926656")</f>
        <v>0</v>
      </c>
      <c r="B243" s="2">
        <v>42703.8844212963</v>
      </c>
      <c r="C243">
        <v>0</v>
      </c>
      <c r="D243">
        <v>0</v>
      </c>
      <c r="E243" t="s">
        <v>245</v>
      </c>
    </row>
    <row r="244" spans="1:5">
      <c r="A244">
        <f>HYPERLINK("http://www.twitter.com/nyc311/status/803706444180848640", "803706444180848640")</f>
        <v>0</v>
      </c>
      <c r="B244" s="2">
        <v>42703.8787384259</v>
      </c>
      <c r="C244">
        <v>0</v>
      </c>
      <c r="D244">
        <v>0</v>
      </c>
      <c r="E244" t="s">
        <v>246</v>
      </c>
    </row>
    <row r="245" spans="1:5">
      <c r="A245">
        <f>HYPERLINK("http://www.twitter.com/nyc311/status/803705445282148352", "803705445282148352")</f>
        <v>0</v>
      </c>
      <c r="B245" s="2">
        <v>42703.8759722222</v>
      </c>
      <c r="C245">
        <v>1</v>
      </c>
      <c r="D245">
        <v>1</v>
      </c>
      <c r="E245" t="s">
        <v>247</v>
      </c>
    </row>
    <row r="246" spans="1:5">
      <c r="A246">
        <f>HYPERLINK("http://www.twitter.com/nyc311/status/803700263341035520", "803700263341035520")</f>
        <v>0</v>
      </c>
      <c r="B246" s="2">
        <v>42703.8616782407</v>
      </c>
      <c r="C246">
        <v>0</v>
      </c>
      <c r="D246">
        <v>0</v>
      </c>
      <c r="E246" t="s">
        <v>248</v>
      </c>
    </row>
    <row r="247" spans="1:5">
      <c r="A247">
        <f>HYPERLINK("http://www.twitter.com/nyc311/status/803675352669241345", "803675352669241345")</f>
        <v>0</v>
      </c>
      <c r="B247" s="2">
        <v>42703.7929398148</v>
      </c>
      <c r="C247">
        <v>19</v>
      </c>
      <c r="D247">
        <v>14</v>
      </c>
      <c r="E247" t="s">
        <v>249</v>
      </c>
    </row>
    <row r="248" spans="1:5">
      <c r="A248">
        <f>HYPERLINK("http://www.twitter.com/nyc311/status/803674539964174336", "803674539964174336")</f>
        <v>0</v>
      </c>
      <c r="B248" s="2">
        <v>42703.7906944444</v>
      </c>
      <c r="C248">
        <v>0</v>
      </c>
      <c r="D248">
        <v>0</v>
      </c>
      <c r="E248" t="s">
        <v>250</v>
      </c>
    </row>
    <row r="249" spans="1:5">
      <c r="A249">
        <f>HYPERLINK("http://www.twitter.com/nyc311/status/803670482105024513", "803670482105024513")</f>
        <v>0</v>
      </c>
      <c r="B249" s="2">
        <v>42703.7795023148</v>
      </c>
      <c r="C249">
        <v>0</v>
      </c>
      <c r="D249">
        <v>0</v>
      </c>
      <c r="E249" t="s">
        <v>251</v>
      </c>
    </row>
    <row r="250" spans="1:5">
      <c r="A250">
        <f>HYPERLINK("http://www.twitter.com/nyc311/status/803669183477256194", "803669183477256194")</f>
        <v>0</v>
      </c>
      <c r="B250" s="2">
        <v>42703.7759143518</v>
      </c>
      <c r="C250">
        <v>0</v>
      </c>
      <c r="D250">
        <v>0</v>
      </c>
      <c r="E250" t="s">
        <v>252</v>
      </c>
    </row>
    <row r="251" spans="1:5">
      <c r="A251">
        <f>HYPERLINK("http://www.twitter.com/nyc311/status/803663317915107328", "803663317915107328")</f>
        <v>0</v>
      </c>
      <c r="B251" s="2">
        <v>42703.7597222222</v>
      </c>
      <c r="C251">
        <v>0</v>
      </c>
      <c r="D251">
        <v>0</v>
      </c>
      <c r="E251" t="s">
        <v>253</v>
      </c>
    </row>
    <row r="252" spans="1:5">
      <c r="A252">
        <f>HYPERLINK("http://www.twitter.com/nyc311/status/803662365019357185", "803662365019357185")</f>
        <v>0</v>
      </c>
      <c r="B252" s="2">
        <v>42703.7570949074</v>
      </c>
      <c r="C252">
        <v>0</v>
      </c>
      <c r="D252">
        <v>0</v>
      </c>
      <c r="E252" t="s">
        <v>254</v>
      </c>
    </row>
    <row r="253" spans="1:5">
      <c r="A253">
        <f>HYPERLINK("http://www.twitter.com/nyc311/status/803662142406819840", "803662142406819840")</f>
        <v>0</v>
      </c>
      <c r="B253" s="2">
        <v>42703.7564814815</v>
      </c>
      <c r="C253">
        <v>0</v>
      </c>
      <c r="D253">
        <v>0</v>
      </c>
      <c r="E253" t="s">
        <v>255</v>
      </c>
    </row>
    <row r="254" spans="1:5">
      <c r="A254">
        <f>HYPERLINK("http://www.twitter.com/nyc311/status/803660145289003008", "803660145289003008")</f>
        <v>0</v>
      </c>
      <c r="B254" s="2">
        <v>42703.7509722222</v>
      </c>
      <c r="C254">
        <v>4</v>
      </c>
      <c r="D254">
        <v>5</v>
      </c>
      <c r="E254" t="s">
        <v>256</v>
      </c>
    </row>
    <row r="255" spans="1:5">
      <c r="A255">
        <f>HYPERLINK("http://www.twitter.com/nyc311/status/803645326091546624", "803645326091546624")</f>
        <v>0</v>
      </c>
      <c r="B255" s="2">
        <v>42703.7100810185</v>
      </c>
      <c r="C255">
        <v>0</v>
      </c>
      <c r="D255">
        <v>1</v>
      </c>
      <c r="E255" t="s">
        <v>257</v>
      </c>
    </row>
    <row r="256" spans="1:5">
      <c r="A256">
        <f>HYPERLINK("http://www.twitter.com/nyc311/status/803634182073319424", "803634182073319424")</f>
        <v>0</v>
      </c>
      <c r="B256" s="2">
        <v>42703.6793287037</v>
      </c>
      <c r="C256">
        <v>0</v>
      </c>
      <c r="D256">
        <v>0</v>
      </c>
      <c r="E256" t="s">
        <v>258</v>
      </c>
    </row>
    <row r="257" spans="1:5">
      <c r="A257">
        <f>HYPERLINK("http://www.twitter.com/nyc311/status/803632434298454016", "803632434298454016")</f>
        <v>0</v>
      </c>
      <c r="B257" s="2">
        <v>42703.6745023148</v>
      </c>
      <c r="C257">
        <v>0</v>
      </c>
      <c r="D257">
        <v>0</v>
      </c>
      <c r="E257" t="s">
        <v>259</v>
      </c>
    </row>
    <row r="258" spans="1:5">
      <c r="A258">
        <f>HYPERLINK("http://www.twitter.com/nyc311/status/803630128584540161", "803630128584540161")</f>
        <v>0</v>
      </c>
      <c r="B258" s="2">
        <v>42703.6681481482</v>
      </c>
      <c r="C258">
        <v>3</v>
      </c>
      <c r="D258">
        <v>4</v>
      </c>
      <c r="E258" t="s">
        <v>260</v>
      </c>
    </row>
    <row r="259" spans="1:5">
      <c r="A259">
        <f>HYPERLINK("http://www.twitter.com/nyc311/status/803629175097753601", "803629175097753601")</f>
        <v>0</v>
      </c>
      <c r="B259" s="2">
        <v>42703.6655092593</v>
      </c>
      <c r="C259">
        <v>1</v>
      </c>
      <c r="D259">
        <v>0</v>
      </c>
      <c r="E259" t="s">
        <v>261</v>
      </c>
    </row>
    <row r="260" spans="1:5">
      <c r="A260">
        <f>HYPERLINK("http://www.twitter.com/nyc311/status/803629079765233665", "803629079765233665")</f>
        <v>0</v>
      </c>
      <c r="B260" s="2">
        <v>42703.6652430556</v>
      </c>
      <c r="C260">
        <v>1</v>
      </c>
      <c r="D260">
        <v>0</v>
      </c>
      <c r="E260" t="s">
        <v>262</v>
      </c>
    </row>
    <row r="261" spans="1:5">
      <c r="A261">
        <f>HYPERLINK("http://www.twitter.com/nyc311/status/803626989085229058", "803626989085229058")</f>
        <v>0</v>
      </c>
      <c r="B261" s="2">
        <v>42703.6594791667</v>
      </c>
      <c r="C261">
        <v>0</v>
      </c>
      <c r="D261">
        <v>0</v>
      </c>
      <c r="E261" t="s">
        <v>263</v>
      </c>
    </row>
    <row r="262" spans="1:5">
      <c r="A262">
        <f>HYPERLINK("http://www.twitter.com/nyc311/status/803625968938131456", "803625968938131456")</f>
        <v>0</v>
      </c>
      <c r="B262" s="2">
        <v>42703.6566666667</v>
      </c>
      <c r="C262">
        <v>1</v>
      </c>
      <c r="D262">
        <v>0</v>
      </c>
      <c r="E262" t="s">
        <v>264</v>
      </c>
    </row>
    <row r="263" spans="1:5">
      <c r="A263">
        <f>HYPERLINK("http://www.twitter.com/nyc311/status/803625578993778688", "803625578993778688")</f>
        <v>0</v>
      </c>
      <c r="B263" s="2">
        <v>42703.6555902778</v>
      </c>
      <c r="C263">
        <v>0</v>
      </c>
      <c r="D263">
        <v>0</v>
      </c>
      <c r="E263" t="s">
        <v>265</v>
      </c>
    </row>
    <row r="264" spans="1:5">
      <c r="A264">
        <f>HYPERLINK("http://www.twitter.com/nyc311/status/803621806821298177", "803621806821298177")</f>
        <v>0</v>
      </c>
      <c r="B264" s="2">
        <v>42703.6451736111</v>
      </c>
      <c r="C264">
        <v>1</v>
      </c>
      <c r="D264">
        <v>0</v>
      </c>
      <c r="E264" t="s">
        <v>266</v>
      </c>
    </row>
    <row r="265" spans="1:5">
      <c r="A265">
        <f>HYPERLINK("http://www.twitter.com/nyc311/status/803621529087016960", "803621529087016960")</f>
        <v>0</v>
      </c>
      <c r="B265" s="2">
        <v>42703.6444097222</v>
      </c>
      <c r="C265">
        <v>1</v>
      </c>
      <c r="D265">
        <v>0</v>
      </c>
      <c r="E265" t="s">
        <v>267</v>
      </c>
    </row>
    <row r="266" spans="1:5">
      <c r="A266">
        <f>HYPERLINK("http://www.twitter.com/nyc311/status/803615602669555713", "803615602669555713")</f>
        <v>0</v>
      </c>
      <c r="B266" s="2">
        <v>42703.6280555556</v>
      </c>
      <c r="C266">
        <v>0</v>
      </c>
      <c r="D266">
        <v>0</v>
      </c>
      <c r="E266" t="s">
        <v>268</v>
      </c>
    </row>
    <row r="267" spans="1:5">
      <c r="A267">
        <f>HYPERLINK("http://www.twitter.com/nyc311/status/803615056080633860", "803615056080633860")</f>
        <v>0</v>
      </c>
      <c r="B267" s="2">
        <v>42703.6265509259</v>
      </c>
      <c r="C267">
        <v>0</v>
      </c>
      <c r="D267">
        <v>0</v>
      </c>
      <c r="E267" t="s">
        <v>269</v>
      </c>
    </row>
    <row r="268" spans="1:5">
      <c r="A268">
        <f>HYPERLINK("http://www.twitter.com/nyc311/status/803615043363422208", "803615043363422208")</f>
        <v>0</v>
      </c>
      <c r="B268" s="2">
        <v>42703.6265162037</v>
      </c>
      <c r="C268">
        <v>6</v>
      </c>
      <c r="D268">
        <v>5</v>
      </c>
      <c r="E268" t="s">
        <v>270</v>
      </c>
    </row>
    <row r="269" spans="1:5">
      <c r="A269">
        <f>HYPERLINK("http://www.twitter.com/nyc311/status/803358887592259584", "803358887592259584")</f>
        <v>0</v>
      </c>
      <c r="B269" s="2">
        <v>42702.9196643519</v>
      </c>
      <c r="C269">
        <v>2</v>
      </c>
      <c r="D269">
        <v>0</v>
      </c>
      <c r="E269" t="s">
        <v>271</v>
      </c>
    </row>
    <row r="270" spans="1:5">
      <c r="A270">
        <f>HYPERLINK("http://www.twitter.com/nyc311/status/803343132385542145", "803343132385542145")</f>
        <v>0</v>
      </c>
      <c r="B270" s="2">
        <v>42702.8761805556</v>
      </c>
      <c r="C270">
        <v>1</v>
      </c>
      <c r="D270">
        <v>3</v>
      </c>
      <c r="E270" t="s">
        <v>272</v>
      </c>
    </row>
    <row r="271" spans="1:5">
      <c r="A271">
        <f>HYPERLINK("http://www.twitter.com/nyc311/status/803337309177389059", "803337309177389059")</f>
        <v>0</v>
      </c>
      <c r="B271" s="2">
        <v>42702.8601157407</v>
      </c>
      <c r="C271">
        <v>1</v>
      </c>
      <c r="D271">
        <v>0</v>
      </c>
      <c r="E271" t="s">
        <v>273</v>
      </c>
    </row>
    <row r="272" spans="1:5">
      <c r="A272">
        <f>HYPERLINK("http://www.twitter.com/nyc311/status/803327759904804864", "803327759904804864")</f>
        <v>0</v>
      </c>
      <c r="B272" s="2">
        <v>42702.8337615741</v>
      </c>
      <c r="C272">
        <v>6</v>
      </c>
      <c r="D272">
        <v>4</v>
      </c>
      <c r="E272" t="s">
        <v>274</v>
      </c>
    </row>
    <row r="273" spans="1:5">
      <c r="A273">
        <f>HYPERLINK("http://www.twitter.com/nyc311/status/803324024067596288", "803324024067596288")</f>
        <v>0</v>
      </c>
      <c r="B273" s="2">
        <v>42702.8234606481</v>
      </c>
      <c r="C273">
        <v>0</v>
      </c>
      <c r="D273">
        <v>0</v>
      </c>
      <c r="E273" t="s">
        <v>275</v>
      </c>
    </row>
    <row r="274" spans="1:5">
      <c r="A274">
        <f>HYPERLINK("http://www.twitter.com/nyc311/status/803312949548945408", "803312949548945408")</f>
        <v>0</v>
      </c>
      <c r="B274" s="2">
        <v>42702.7928935185</v>
      </c>
      <c r="C274">
        <v>4</v>
      </c>
      <c r="D274">
        <v>7</v>
      </c>
      <c r="E274" t="s">
        <v>276</v>
      </c>
    </row>
    <row r="275" spans="1:5">
      <c r="A275">
        <f>HYPERLINK("http://www.twitter.com/nyc311/status/803307314908381184", "803307314908381184")</f>
        <v>0</v>
      </c>
      <c r="B275" s="2">
        <v>42702.777349537</v>
      </c>
      <c r="C275">
        <v>0</v>
      </c>
      <c r="D275">
        <v>0</v>
      </c>
      <c r="E275" t="s">
        <v>277</v>
      </c>
    </row>
    <row r="276" spans="1:5">
      <c r="A276">
        <f>HYPERLINK("http://www.twitter.com/nyc311/status/803306587163131904", "803306587163131904")</f>
        <v>0</v>
      </c>
      <c r="B276" s="2">
        <v>42702.7753356481</v>
      </c>
      <c r="C276">
        <v>0</v>
      </c>
      <c r="D276">
        <v>0</v>
      </c>
      <c r="E276" t="s">
        <v>278</v>
      </c>
    </row>
    <row r="277" spans="1:5">
      <c r="A277">
        <f>HYPERLINK("http://www.twitter.com/nyc311/status/803303513199693825", "803303513199693825")</f>
        <v>0</v>
      </c>
      <c r="B277" s="2">
        <v>42702.7668518519</v>
      </c>
      <c r="C277">
        <v>0</v>
      </c>
      <c r="D277">
        <v>0</v>
      </c>
      <c r="E277" t="s">
        <v>279</v>
      </c>
    </row>
    <row r="278" spans="1:5">
      <c r="A278">
        <f>HYPERLINK("http://www.twitter.com/nyc311/status/803303092569735168", "803303092569735168")</f>
        <v>0</v>
      </c>
      <c r="B278" s="2">
        <v>42702.7656944444</v>
      </c>
      <c r="C278">
        <v>1</v>
      </c>
      <c r="D278">
        <v>0</v>
      </c>
      <c r="E278" t="s">
        <v>280</v>
      </c>
    </row>
    <row r="279" spans="1:5">
      <c r="A279">
        <f>HYPERLINK("http://www.twitter.com/nyc311/status/803282859477716992", "803282859477716992")</f>
        <v>0</v>
      </c>
      <c r="B279" s="2">
        <v>42702.7098611111</v>
      </c>
      <c r="C279">
        <v>6</v>
      </c>
      <c r="D279">
        <v>6</v>
      </c>
      <c r="E279" t="s">
        <v>281</v>
      </c>
    </row>
    <row r="280" spans="1:5">
      <c r="A280">
        <f>HYPERLINK("http://www.twitter.com/nyc311/status/803282130688057344", "803282130688057344")</f>
        <v>0</v>
      </c>
      <c r="B280" s="2">
        <v>42702.7078472222</v>
      </c>
      <c r="C280">
        <v>0</v>
      </c>
      <c r="D280">
        <v>0</v>
      </c>
      <c r="E280" t="s">
        <v>282</v>
      </c>
    </row>
    <row r="281" spans="1:5">
      <c r="A281">
        <f>HYPERLINK("http://www.twitter.com/nyc311/status/803264249275580417", "803264249275580417")</f>
        <v>0</v>
      </c>
      <c r="B281" s="2">
        <v>42702.6585069444</v>
      </c>
      <c r="C281">
        <v>0</v>
      </c>
      <c r="D281">
        <v>0</v>
      </c>
      <c r="E281" t="s">
        <v>283</v>
      </c>
    </row>
    <row r="282" spans="1:5">
      <c r="A282">
        <f>HYPERLINK("http://www.twitter.com/nyc311/status/803263754657857536", "803263754657857536")</f>
        <v>0</v>
      </c>
      <c r="B282" s="2">
        <v>42702.6571412037</v>
      </c>
      <c r="C282">
        <v>0</v>
      </c>
      <c r="D282">
        <v>0</v>
      </c>
      <c r="E282" t="s">
        <v>284</v>
      </c>
    </row>
    <row r="283" spans="1:5">
      <c r="A283">
        <f>HYPERLINK("http://www.twitter.com/nyc311/status/803263059171090436", "803263059171090436")</f>
        <v>0</v>
      </c>
      <c r="B283" s="2">
        <v>42702.6552199074</v>
      </c>
      <c r="C283">
        <v>0</v>
      </c>
      <c r="D283">
        <v>0</v>
      </c>
      <c r="E283" t="s">
        <v>285</v>
      </c>
    </row>
    <row r="284" spans="1:5">
      <c r="A284">
        <f>HYPERLINK("http://www.twitter.com/nyc311/status/803262219890937856", "803262219890937856")</f>
        <v>0</v>
      </c>
      <c r="B284" s="2">
        <v>42702.6529050926</v>
      </c>
      <c r="C284">
        <v>0</v>
      </c>
      <c r="D284">
        <v>0</v>
      </c>
      <c r="E284" t="s">
        <v>286</v>
      </c>
    </row>
    <row r="285" spans="1:5">
      <c r="A285">
        <f>HYPERLINK("http://www.twitter.com/nyc311/status/803260438641340418", "803260438641340418")</f>
        <v>0</v>
      </c>
      <c r="B285" s="2">
        <v>42702.6479976852</v>
      </c>
      <c r="C285">
        <v>0</v>
      </c>
      <c r="D285">
        <v>0</v>
      </c>
      <c r="E285" t="s">
        <v>287</v>
      </c>
    </row>
    <row r="286" spans="1:5">
      <c r="A286">
        <f>HYPERLINK("http://www.twitter.com/nyc311/status/803259847210860544", "803259847210860544")</f>
        <v>0</v>
      </c>
      <c r="B286" s="2">
        <v>42702.6463657407</v>
      </c>
      <c r="C286">
        <v>0</v>
      </c>
      <c r="D286">
        <v>0</v>
      </c>
      <c r="E286" t="s">
        <v>288</v>
      </c>
    </row>
    <row r="287" spans="1:5">
      <c r="A287">
        <f>HYPERLINK("http://www.twitter.com/nyc311/status/803259594420064256", "803259594420064256")</f>
        <v>0</v>
      </c>
      <c r="B287" s="2">
        <v>42702.6456597222</v>
      </c>
      <c r="C287">
        <v>0</v>
      </c>
      <c r="D287">
        <v>0</v>
      </c>
      <c r="E287" t="s">
        <v>289</v>
      </c>
    </row>
    <row r="288" spans="1:5">
      <c r="A288">
        <f>HYPERLINK("http://www.twitter.com/nyc311/status/803258466076938240", "803258466076938240")</f>
        <v>0</v>
      </c>
      <c r="B288" s="2">
        <v>42702.6425462963</v>
      </c>
      <c r="C288">
        <v>0</v>
      </c>
      <c r="D288">
        <v>1</v>
      </c>
      <c r="E288" t="s">
        <v>290</v>
      </c>
    </row>
    <row r="289" spans="1:5">
      <c r="A289">
        <f>HYPERLINK("http://www.twitter.com/nyc311/status/803257613345558528", "803257613345558528")</f>
        <v>0</v>
      </c>
      <c r="B289" s="2">
        <v>42702.6401967593</v>
      </c>
      <c r="C289">
        <v>0</v>
      </c>
      <c r="D289">
        <v>0</v>
      </c>
      <c r="E289" t="s">
        <v>291</v>
      </c>
    </row>
    <row r="290" spans="1:5">
      <c r="A290">
        <f>HYPERLINK("http://www.twitter.com/nyc311/status/803257423217696769", "803257423217696769")</f>
        <v>0</v>
      </c>
      <c r="B290" s="2">
        <v>42702.6396759259</v>
      </c>
      <c r="C290">
        <v>0</v>
      </c>
      <c r="D290">
        <v>0</v>
      </c>
      <c r="E290" t="s">
        <v>292</v>
      </c>
    </row>
    <row r="291" spans="1:5">
      <c r="A291">
        <f>HYPERLINK("http://www.twitter.com/nyc311/status/803252933253009408", "803252933253009408")</f>
        <v>0</v>
      </c>
      <c r="B291" s="2">
        <v>42702.6272800926</v>
      </c>
      <c r="C291">
        <v>0</v>
      </c>
      <c r="D291">
        <v>0</v>
      </c>
      <c r="E291" t="s">
        <v>293</v>
      </c>
    </row>
    <row r="292" spans="1:5">
      <c r="A292">
        <f>HYPERLINK("http://www.twitter.com/nyc311/status/803252678826594304", "803252678826594304")</f>
        <v>0</v>
      </c>
      <c r="B292" s="2">
        <v>42702.6265856481</v>
      </c>
      <c r="C292">
        <v>0</v>
      </c>
      <c r="D292">
        <v>3</v>
      </c>
      <c r="E292" t="s">
        <v>294</v>
      </c>
    </row>
    <row r="293" spans="1:5">
      <c r="A293">
        <f>HYPERLINK("http://www.twitter.com/nyc311/status/802980662164815882", "802980662164815882")</f>
        <v>0</v>
      </c>
      <c r="B293" s="2">
        <v>42701.8759606481</v>
      </c>
      <c r="C293">
        <v>1</v>
      </c>
      <c r="D293">
        <v>0</v>
      </c>
      <c r="E293" t="s">
        <v>295</v>
      </c>
    </row>
    <row r="294" spans="1:5">
      <c r="A294">
        <f>HYPERLINK("http://www.twitter.com/nyc311/status/802950364119072769", "802950364119072769")</f>
        <v>0</v>
      </c>
      <c r="B294" s="2">
        <v>42701.792349537</v>
      </c>
      <c r="C294">
        <v>7</v>
      </c>
      <c r="D294">
        <v>7</v>
      </c>
      <c r="E294" t="s">
        <v>296</v>
      </c>
    </row>
    <row r="295" spans="1:5">
      <c r="A295">
        <f>HYPERLINK("http://www.twitter.com/nyc311/status/802920263381872642", "802920263381872642")</f>
        <v>0</v>
      </c>
      <c r="B295" s="2">
        <v>42701.7092824074</v>
      </c>
      <c r="C295">
        <v>3</v>
      </c>
      <c r="D295">
        <v>3</v>
      </c>
      <c r="E295" t="s">
        <v>297</v>
      </c>
    </row>
    <row r="296" spans="1:5">
      <c r="A296">
        <f>HYPERLINK("http://www.twitter.com/nyc311/status/802890007501565952", "802890007501565952")</f>
        <v>0</v>
      </c>
      <c r="B296" s="2">
        <v>42701.6257986111</v>
      </c>
      <c r="C296">
        <v>3</v>
      </c>
      <c r="D296">
        <v>2</v>
      </c>
      <c r="E296" t="s">
        <v>298</v>
      </c>
    </row>
    <row r="297" spans="1:5">
      <c r="A297">
        <f>HYPERLINK("http://www.twitter.com/nyc311/status/802618298278051840", "802618298278051840")</f>
        <v>0</v>
      </c>
      <c r="B297" s="2">
        <v>42700.8760185185</v>
      </c>
      <c r="C297">
        <v>1</v>
      </c>
      <c r="D297">
        <v>1</v>
      </c>
      <c r="E297" t="s">
        <v>299</v>
      </c>
    </row>
    <row r="298" spans="1:5">
      <c r="A298">
        <f>HYPERLINK("http://www.twitter.com/nyc311/status/802603111860801537", "802603111860801537")</f>
        <v>0</v>
      </c>
      <c r="B298" s="2">
        <v>42700.8341203704</v>
      </c>
      <c r="C298">
        <v>9</v>
      </c>
      <c r="D298">
        <v>9</v>
      </c>
      <c r="E298" t="s">
        <v>296</v>
      </c>
    </row>
    <row r="299" spans="1:5">
      <c r="A299">
        <f>HYPERLINK("http://www.twitter.com/nyc311/status/802588064891535361", "802588064891535361")</f>
        <v>0</v>
      </c>
      <c r="B299" s="2">
        <v>42700.7925925926</v>
      </c>
      <c r="C299">
        <v>0</v>
      </c>
      <c r="D299">
        <v>2</v>
      </c>
      <c r="E299" t="s">
        <v>300</v>
      </c>
    </row>
    <row r="300" spans="1:5">
      <c r="A300">
        <f>HYPERLINK("http://www.twitter.com/nyc311/status/802557947868020737", "802557947868020737")</f>
        <v>0</v>
      </c>
      <c r="B300" s="2">
        <v>42700.7094907407</v>
      </c>
      <c r="C300">
        <v>6</v>
      </c>
      <c r="D300">
        <v>12</v>
      </c>
      <c r="E300" t="s">
        <v>301</v>
      </c>
    </row>
    <row r="301" spans="1:5">
      <c r="A301">
        <f>HYPERLINK("http://www.twitter.com/nyc311/status/802527743606931456", "802527743606931456")</f>
        <v>0</v>
      </c>
      <c r="B301" s="2">
        <v>42700.6261342593</v>
      </c>
      <c r="C301">
        <v>0</v>
      </c>
      <c r="D301">
        <v>4</v>
      </c>
      <c r="E301" t="s">
        <v>302</v>
      </c>
    </row>
    <row r="302" spans="1:5">
      <c r="A302">
        <f>HYPERLINK("http://www.twitter.com/nyc311/status/802255943635533824", "802255943635533824")</f>
        <v>0</v>
      </c>
      <c r="B302" s="2">
        <v>42699.8761111111</v>
      </c>
      <c r="C302">
        <v>5</v>
      </c>
      <c r="D302">
        <v>2</v>
      </c>
      <c r="E302" t="s">
        <v>303</v>
      </c>
    </row>
    <row r="303" spans="1:5">
      <c r="A303">
        <f>HYPERLINK("http://www.twitter.com/nyc311/status/802240823391703040", "802240823391703040")</f>
        <v>0</v>
      </c>
      <c r="B303" s="2">
        <v>42699.8343865741</v>
      </c>
      <c r="C303">
        <v>6</v>
      </c>
      <c r="D303">
        <v>8</v>
      </c>
      <c r="E303" t="s">
        <v>304</v>
      </c>
    </row>
    <row r="304" spans="1:5">
      <c r="A304">
        <f>HYPERLINK("http://www.twitter.com/nyc311/status/802225782642933762", "802225782642933762")</f>
        <v>0</v>
      </c>
      <c r="B304" s="2">
        <v>42699.7928819444</v>
      </c>
      <c r="C304">
        <v>2</v>
      </c>
      <c r="D304">
        <v>2</v>
      </c>
      <c r="E304" t="s">
        <v>305</v>
      </c>
    </row>
    <row r="305" spans="1:5">
      <c r="A305">
        <f>HYPERLINK("http://www.twitter.com/nyc311/status/802216205159399424", "802216205159399424")</f>
        <v>0</v>
      </c>
      <c r="B305" s="2">
        <v>42699.7664583333</v>
      </c>
      <c r="C305">
        <v>0</v>
      </c>
      <c r="D305">
        <v>0</v>
      </c>
      <c r="E305" t="s">
        <v>306</v>
      </c>
    </row>
    <row r="306" spans="1:5">
      <c r="A306">
        <f>HYPERLINK("http://www.twitter.com/nyc311/status/802216159680626688", "802216159680626688")</f>
        <v>0</v>
      </c>
      <c r="B306" s="2">
        <v>42699.7663310185</v>
      </c>
      <c r="C306">
        <v>1</v>
      </c>
      <c r="D306">
        <v>0</v>
      </c>
      <c r="E306" t="s">
        <v>307</v>
      </c>
    </row>
    <row r="307" spans="1:5">
      <c r="A307">
        <f>HYPERLINK("http://www.twitter.com/nyc311/status/802216074255237122", "802216074255237122")</f>
        <v>0</v>
      </c>
      <c r="B307" s="2">
        <v>42699.766099537</v>
      </c>
      <c r="C307">
        <v>0</v>
      </c>
      <c r="D307">
        <v>0</v>
      </c>
      <c r="E307" t="s">
        <v>308</v>
      </c>
    </row>
    <row r="308" spans="1:5">
      <c r="A308">
        <f>HYPERLINK("http://www.twitter.com/nyc311/status/802195743050235904", "802195743050235904")</f>
        <v>0</v>
      </c>
      <c r="B308" s="2">
        <v>42699.7099884259</v>
      </c>
      <c r="C308">
        <v>0</v>
      </c>
      <c r="D308">
        <v>1</v>
      </c>
      <c r="E308" t="s">
        <v>309</v>
      </c>
    </row>
    <row r="309" spans="1:5">
      <c r="A309">
        <f>HYPERLINK("http://www.twitter.com/nyc311/status/802195010343071745", "802195010343071745")</f>
        <v>0</v>
      </c>
      <c r="B309" s="2">
        <v>42699.707974537</v>
      </c>
      <c r="C309">
        <v>1</v>
      </c>
      <c r="D309">
        <v>0</v>
      </c>
      <c r="E309" t="s">
        <v>310</v>
      </c>
    </row>
    <row r="310" spans="1:5">
      <c r="A310">
        <f>HYPERLINK("http://www.twitter.com/nyc311/status/802192438756515840", "802192438756515840")</f>
        <v>0</v>
      </c>
      <c r="B310" s="2">
        <v>42699.7008796296</v>
      </c>
      <c r="C310">
        <v>0</v>
      </c>
      <c r="D310">
        <v>0</v>
      </c>
      <c r="E310" t="s">
        <v>311</v>
      </c>
    </row>
    <row r="311" spans="1:5">
      <c r="A311">
        <f>HYPERLINK("http://www.twitter.com/nyc311/status/802191352511561728", "802191352511561728")</f>
        <v>0</v>
      </c>
      <c r="B311" s="2">
        <v>42699.6978819444</v>
      </c>
      <c r="C311">
        <v>0</v>
      </c>
      <c r="D311">
        <v>0</v>
      </c>
      <c r="E311" t="s">
        <v>312</v>
      </c>
    </row>
    <row r="312" spans="1:5">
      <c r="A312">
        <f>HYPERLINK("http://www.twitter.com/nyc311/status/802190689077522432", "802190689077522432")</f>
        <v>0</v>
      </c>
      <c r="B312" s="2">
        <v>42699.6960416667</v>
      </c>
      <c r="C312">
        <v>0</v>
      </c>
      <c r="D312">
        <v>0</v>
      </c>
      <c r="E312" t="s">
        <v>313</v>
      </c>
    </row>
    <row r="313" spans="1:5">
      <c r="A313">
        <f>HYPERLINK("http://www.twitter.com/nyc311/status/802181991609303040", "802181991609303040")</f>
        <v>0</v>
      </c>
      <c r="B313" s="2">
        <v>42699.6720486111</v>
      </c>
      <c r="C313">
        <v>0</v>
      </c>
      <c r="D313">
        <v>0</v>
      </c>
      <c r="E313" t="s">
        <v>314</v>
      </c>
    </row>
    <row r="314" spans="1:5">
      <c r="A314">
        <f>HYPERLINK("http://www.twitter.com/nyc311/status/802181721882001408", "802181721882001408")</f>
        <v>0</v>
      </c>
      <c r="B314" s="2">
        <v>42699.6712962963</v>
      </c>
      <c r="C314">
        <v>0</v>
      </c>
      <c r="D314">
        <v>0</v>
      </c>
      <c r="E314" t="s">
        <v>315</v>
      </c>
    </row>
    <row r="315" spans="1:5">
      <c r="A315">
        <f>HYPERLINK("http://www.twitter.com/nyc311/status/802181487332388864", "802181487332388864")</f>
        <v>0</v>
      </c>
      <c r="B315" s="2">
        <v>42699.6706597222</v>
      </c>
      <c r="C315">
        <v>0</v>
      </c>
      <c r="D315">
        <v>0</v>
      </c>
      <c r="E315" t="s">
        <v>316</v>
      </c>
    </row>
    <row r="316" spans="1:5">
      <c r="A316">
        <f>HYPERLINK("http://www.twitter.com/nyc311/status/802180764246962177", "802180764246962177")</f>
        <v>0</v>
      </c>
      <c r="B316" s="2">
        <v>42699.6686574074</v>
      </c>
      <c r="C316">
        <v>0</v>
      </c>
      <c r="D316">
        <v>0</v>
      </c>
      <c r="E316" t="s">
        <v>317</v>
      </c>
    </row>
    <row r="317" spans="1:5">
      <c r="A317">
        <f>HYPERLINK("http://www.twitter.com/nyc311/status/802173069230014469", "802173069230014469")</f>
        <v>0</v>
      </c>
      <c r="B317" s="2">
        <v>42699.6474305556</v>
      </c>
      <c r="C317">
        <v>0</v>
      </c>
      <c r="D317">
        <v>0</v>
      </c>
      <c r="E317" t="s">
        <v>318</v>
      </c>
    </row>
    <row r="318" spans="1:5">
      <c r="A318">
        <f>HYPERLINK("http://www.twitter.com/nyc311/status/802172738144190465", "802172738144190465")</f>
        <v>0</v>
      </c>
      <c r="B318" s="2">
        <v>42699.6465162037</v>
      </c>
      <c r="C318">
        <v>0</v>
      </c>
      <c r="D318">
        <v>0</v>
      </c>
      <c r="E318" t="s">
        <v>319</v>
      </c>
    </row>
    <row r="319" spans="1:5">
      <c r="A319">
        <f>HYPERLINK("http://www.twitter.com/nyc311/status/802172162316582912", "802172162316582912")</f>
        <v>0</v>
      </c>
      <c r="B319" s="2">
        <v>42699.6449189815</v>
      </c>
      <c r="C319">
        <v>0</v>
      </c>
      <c r="D319">
        <v>0</v>
      </c>
      <c r="E319" t="s">
        <v>320</v>
      </c>
    </row>
    <row r="320" spans="1:5">
      <c r="A320">
        <f>HYPERLINK("http://www.twitter.com/nyc311/status/802168875370549248", "802168875370549248")</f>
        <v>0</v>
      </c>
      <c r="B320" s="2">
        <v>42699.6358564815</v>
      </c>
      <c r="C320">
        <v>1</v>
      </c>
      <c r="D320">
        <v>1</v>
      </c>
      <c r="E320" t="s">
        <v>321</v>
      </c>
    </row>
    <row r="321" spans="1:5">
      <c r="A321">
        <f>HYPERLINK("http://www.twitter.com/nyc311/status/802165499635367936", "802165499635367936")</f>
        <v>0</v>
      </c>
      <c r="B321" s="2">
        <v>42699.6265393519</v>
      </c>
      <c r="C321">
        <v>0</v>
      </c>
      <c r="D321">
        <v>1</v>
      </c>
      <c r="E321" t="s">
        <v>322</v>
      </c>
    </row>
    <row r="322" spans="1:5">
      <c r="A322">
        <f>HYPERLINK("http://www.twitter.com/nyc311/status/802138639857778688", "802138639857778688")</f>
        <v>0</v>
      </c>
      <c r="B322" s="2">
        <v>42699.5524189815</v>
      </c>
      <c r="C322">
        <v>1</v>
      </c>
      <c r="D322">
        <v>0</v>
      </c>
      <c r="E322" t="s">
        <v>323</v>
      </c>
    </row>
    <row r="323" spans="1:5">
      <c r="A323">
        <f>HYPERLINK("http://www.twitter.com/nyc311/status/802135232036081664", "802135232036081664")</f>
        <v>0</v>
      </c>
      <c r="B323" s="2">
        <v>42699.5430092593</v>
      </c>
      <c r="C323">
        <v>1</v>
      </c>
      <c r="D323">
        <v>4</v>
      </c>
      <c r="E323" t="s">
        <v>324</v>
      </c>
    </row>
    <row r="324" spans="1:5">
      <c r="A324">
        <f>HYPERLINK("http://www.twitter.com/nyc311/status/802131066417008640", "802131066417008640")</f>
        <v>0</v>
      </c>
      <c r="B324" s="2">
        <v>42699.5315162037</v>
      </c>
      <c r="C324">
        <v>0</v>
      </c>
      <c r="D324">
        <v>0</v>
      </c>
      <c r="E324" t="s">
        <v>325</v>
      </c>
    </row>
    <row r="325" spans="1:5">
      <c r="A325">
        <f>HYPERLINK("http://www.twitter.com/nyc311/status/802127439271002113", "802127439271002113")</f>
        <v>0</v>
      </c>
      <c r="B325" s="2">
        <v>42699.5215046296</v>
      </c>
      <c r="C325">
        <v>3</v>
      </c>
      <c r="D325">
        <v>4</v>
      </c>
      <c r="E325" t="s">
        <v>326</v>
      </c>
    </row>
    <row r="326" spans="1:5">
      <c r="A326">
        <f>HYPERLINK("http://www.twitter.com/nyc311/status/801893584907673600", "801893584907673600")</f>
        <v>0</v>
      </c>
      <c r="B326" s="2">
        <v>42698.8761921296</v>
      </c>
      <c r="C326">
        <v>0</v>
      </c>
      <c r="D326">
        <v>1</v>
      </c>
      <c r="E326" t="s">
        <v>327</v>
      </c>
    </row>
    <row r="327" spans="1:5">
      <c r="A327">
        <f>HYPERLINK("http://www.twitter.com/nyc311/status/801878491713175552", "801878491713175552")</f>
        <v>0</v>
      </c>
      <c r="B327" s="2">
        <v>42698.8345486111</v>
      </c>
      <c r="C327">
        <v>4</v>
      </c>
      <c r="D327">
        <v>3</v>
      </c>
      <c r="E327" t="s">
        <v>328</v>
      </c>
    </row>
    <row r="328" spans="1:5">
      <c r="A328">
        <f>HYPERLINK("http://www.twitter.com/nyc311/status/801863415547494404", "801863415547494404")</f>
        <v>0</v>
      </c>
      <c r="B328" s="2">
        <v>42698.7929398148</v>
      </c>
      <c r="C328">
        <v>3</v>
      </c>
      <c r="D328">
        <v>5</v>
      </c>
      <c r="E328" t="s">
        <v>329</v>
      </c>
    </row>
    <row r="329" spans="1:5">
      <c r="A329">
        <f>HYPERLINK("http://www.twitter.com/nyc311/status/801833470834212865", "801833470834212865")</f>
        <v>0</v>
      </c>
      <c r="B329" s="2">
        <v>42698.7103125</v>
      </c>
      <c r="C329">
        <v>4</v>
      </c>
      <c r="D329">
        <v>1</v>
      </c>
      <c r="E329" t="s">
        <v>330</v>
      </c>
    </row>
    <row r="330" spans="1:5">
      <c r="A330">
        <f>HYPERLINK("http://www.twitter.com/nyc311/status/801806477895864320", "801806477895864320")</f>
        <v>0</v>
      </c>
      <c r="B330" s="2">
        <v>42698.6358217593</v>
      </c>
      <c r="C330">
        <v>1</v>
      </c>
      <c r="D330">
        <v>1</v>
      </c>
      <c r="E330" t="s">
        <v>331</v>
      </c>
    </row>
    <row r="331" spans="1:5">
      <c r="A331">
        <f>HYPERLINK("http://www.twitter.com/nyc311/status/801803236801998848", "801803236801998848")</f>
        <v>0</v>
      </c>
      <c r="B331" s="2">
        <v>42698.6268865741</v>
      </c>
      <c r="C331">
        <v>2</v>
      </c>
      <c r="D331">
        <v>1</v>
      </c>
      <c r="E331" t="s">
        <v>332</v>
      </c>
    </row>
    <row r="332" spans="1:5">
      <c r="A332">
        <f>HYPERLINK("http://www.twitter.com/nyc311/status/801780183405568000", "801780183405568000")</f>
        <v>0</v>
      </c>
      <c r="B332" s="2">
        <v>42698.5632638889</v>
      </c>
      <c r="C332">
        <v>7</v>
      </c>
      <c r="D332">
        <v>6</v>
      </c>
      <c r="E332" t="s">
        <v>333</v>
      </c>
    </row>
    <row r="333" spans="1:5">
      <c r="A333">
        <f>HYPERLINK("http://www.twitter.com/nyc311/status/801776249437847552", "801776249437847552")</f>
        <v>0</v>
      </c>
      <c r="B333" s="2">
        <v>42698.5524074074</v>
      </c>
      <c r="C333">
        <v>1</v>
      </c>
      <c r="D333">
        <v>0</v>
      </c>
      <c r="E333" t="s">
        <v>334</v>
      </c>
    </row>
    <row r="334" spans="1:5">
      <c r="A334">
        <f>HYPERLINK("http://www.twitter.com/nyc311/status/801772865033043968", "801772865033043968")</f>
        <v>0</v>
      </c>
      <c r="B334" s="2">
        <v>42698.5430671296</v>
      </c>
      <c r="C334">
        <v>3</v>
      </c>
      <c r="D334">
        <v>4</v>
      </c>
      <c r="E334" t="s">
        <v>335</v>
      </c>
    </row>
    <row r="335" spans="1:5">
      <c r="A335">
        <f>HYPERLINK("http://www.twitter.com/nyc311/status/801768699120193536", "801768699120193536")</f>
        <v>0</v>
      </c>
      <c r="B335" s="2">
        <v>42698.5315740741</v>
      </c>
      <c r="C335">
        <v>2</v>
      </c>
      <c r="D335">
        <v>1</v>
      </c>
      <c r="E335" t="s">
        <v>336</v>
      </c>
    </row>
    <row r="336" spans="1:5">
      <c r="A336">
        <f>HYPERLINK("http://www.twitter.com/nyc311/status/801765039610990592", "801765039610990592")</f>
        <v>0</v>
      </c>
      <c r="B336" s="2">
        <v>42698.5214814815</v>
      </c>
      <c r="C336">
        <v>2</v>
      </c>
      <c r="D336">
        <v>3</v>
      </c>
      <c r="E336" t="s">
        <v>337</v>
      </c>
    </row>
    <row r="337" spans="1:5">
      <c r="A337">
        <f>HYPERLINK("http://www.twitter.com/nyc311/status/801576139185651712", "801576139185651712")</f>
        <v>0</v>
      </c>
      <c r="B337" s="2">
        <v>42698.0002083333</v>
      </c>
      <c r="C337">
        <v>5</v>
      </c>
      <c r="D337">
        <v>3</v>
      </c>
      <c r="E337" t="s">
        <v>338</v>
      </c>
    </row>
    <row r="338" spans="1:5">
      <c r="A338">
        <f>HYPERLINK("http://www.twitter.com/nyc311/status/801556474472386560", "801556474472386560")</f>
        <v>0</v>
      </c>
      <c r="B338" s="2">
        <v>42697.9459490741</v>
      </c>
      <c r="C338">
        <v>0</v>
      </c>
      <c r="D338">
        <v>0</v>
      </c>
      <c r="E338" t="s">
        <v>339</v>
      </c>
    </row>
    <row r="339" spans="1:5">
      <c r="A339">
        <f>HYPERLINK("http://www.twitter.com/nyc311/status/801546219331977216", "801546219331977216")</f>
        <v>0</v>
      </c>
      <c r="B339" s="2">
        <v>42697.917650463</v>
      </c>
      <c r="C339">
        <v>1</v>
      </c>
      <c r="D339">
        <v>0</v>
      </c>
      <c r="E339" t="s">
        <v>340</v>
      </c>
    </row>
    <row r="340" spans="1:5">
      <c r="A340">
        <f>HYPERLINK("http://www.twitter.com/nyc311/status/801535902711513089", "801535902711513089")</f>
        <v>0</v>
      </c>
      <c r="B340" s="2">
        <v>42697.8891782407</v>
      </c>
      <c r="C340">
        <v>0</v>
      </c>
      <c r="D340">
        <v>28</v>
      </c>
      <c r="E340" t="s">
        <v>341</v>
      </c>
    </row>
    <row r="341" spans="1:5">
      <c r="A341">
        <f>HYPERLINK("http://www.twitter.com/nyc311/status/801531186401124352", "801531186401124352")</f>
        <v>0</v>
      </c>
      <c r="B341" s="2">
        <v>42697.8761689815</v>
      </c>
      <c r="C341">
        <v>0</v>
      </c>
      <c r="D341">
        <v>1</v>
      </c>
      <c r="E341" t="s">
        <v>342</v>
      </c>
    </row>
    <row r="342" spans="1:5">
      <c r="A342">
        <f>HYPERLINK("http://www.twitter.com/nyc311/status/801516190766137344", "801516190766137344")</f>
        <v>0</v>
      </c>
      <c r="B342" s="2">
        <v>42697.8347800926</v>
      </c>
      <c r="C342">
        <v>1</v>
      </c>
      <c r="D342">
        <v>0</v>
      </c>
      <c r="E342" t="s">
        <v>343</v>
      </c>
    </row>
    <row r="343" spans="1:5">
      <c r="A343">
        <f>HYPERLINK("http://www.twitter.com/nyc311/status/801516078358794240", "801516078358794240")</f>
        <v>0</v>
      </c>
      <c r="B343" s="2">
        <v>42697.8344791667</v>
      </c>
      <c r="C343">
        <v>3</v>
      </c>
      <c r="D343">
        <v>1</v>
      </c>
      <c r="E343" t="s">
        <v>296</v>
      </c>
    </row>
    <row r="344" spans="1:5">
      <c r="A344">
        <f>HYPERLINK("http://www.twitter.com/nyc311/status/801501038436028416", "801501038436028416")</f>
        <v>0</v>
      </c>
      <c r="B344" s="2">
        <v>42697.792974537</v>
      </c>
      <c r="C344">
        <v>3</v>
      </c>
      <c r="D344">
        <v>4</v>
      </c>
      <c r="E344" t="s">
        <v>344</v>
      </c>
    </row>
    <row r="345" spans="1:5">
      <c r="A345">
        <f>HYPERLINK("http://www.twitter.com/nyc311/status/801499097219923970", "801499097219923970")</f>
        <v>0</v>
      </c>
      <c r="B345" s="2">
        <v>42697.7876157407</v>
      </c>
      <c r="C345">
        <v>0</v>
      </c>
      <c r="D345">
        <v>0</v>
      </c>
      <c r="E345" t="s">
        <v>345</v>
      </c>
    </row>
    <row r="346" spans="1:5">
      <c r="A346">
        <f>HYPERLINK("http://www.twitter.com/nyc311/status/801487929692585985", "801487929692585985")</f>
        <v>0</v>
      </c>
      <c r="B346" s="2">
        <v>42697.7568055556</v>
      </c>
      <c r="C346">
        <v>0</v>
      </c>
      <c r="D346">
        <v>0</v>
      </c>
      <c r="E346" t="s">
        <v>346</v>
      </c>
    </row>
    <row r="347" spans="1:5">
      <c r="A347">
        <f>HYPERLINK("http://www.twitter.com/nyc311/status/801485979571912705", "801485979571912705")</f>
        <v>0</v>
      </c>
      <c r="B347" s="2">
        <v>42697.7514236111</v>
      </c>
      <c r="C347">
        <v>0</v>
      </c>
      <c r="D347">
        <v>0</v>
      </c>
      <c r="E347" t="s">
        <v>347</v>
      </c>
    </row>
    <row r="348" spans="1:5">
      <c r="A348">
        <f>HYPERLINK("http://www.twitter.com/nyc311/status/801474198354984960", "801474198354984960")</f>
        <v>0</v>
      </c>
      <c r="B348" s="2">
        <v>42697.718912037</v>
      </c>
      <c r="C348">
        <v>1</v>
      </c>
      <c r="D348">
        <v>0</v>
      </c>
      <c r="E348" t="s">
        <v>348</v>
      </c>
    </row>
    <row r="349" spans="1:5">
      <c r="A349">
        <f>HYPERLINK("http://www.twitter.com/nyc311/status/801473688822550528", "801473688822550528")</f>
        <v>0</v>
      </c>
      <c r="B349" s="2">
        <v>42697.7175</v>
      </c>
      <c r="C349">
        <v>1</v>
      </c>
      <c r="D349">
        <v>0</v>
      </c>
      <c r="E349" t="s">
        <v>349</v>
      </c>
    </row>
    <row r="350" spans="1:5">
      <c r="A350">
        <f>HYPERLINK("http://www.twitter.com/nyc311/status/801472839513739265", "801472839513739265")</f>
        <v>0</v>
      </c>
      <c r="B350" s="2">
        <v>42697.715162037</v>
      </c>
      <c r="C350">
        <v>0</v>
      </c>
      <c r="D350">
        <v>0</v>
      </c>
      <c r="E350" t="s">
        <v>350</v>
      </c>
    </row>
    <row r="351" spans="1:5">
      <c r="A351">
        <f>HYPERLINK("http://www.twitter.com/nyc311/status/801471008947507200", "801471008947507200")</f>
        <v>0</v>
      </c>
      <c r="B351" s="2">
        <v>42697.7101041667</v>
      </c>
      <c r="C351">
        <v>11</v>
      </c>
      <c r="D351">
        <v>4</v>
      </c>
      <c r="E351" t="s">
        <v>351</v>
      </c>
    </row>
    <row r="352" spans="1:5">
      <c r="A352">
        <f>HYPERLINK("http://www.twitter.com/nyc311/status/801457910559756288", "801457910559756288")</f>
        <v>0</v>
      </c>
      <c r="B352" s="2">
        <v>42697.6739583333</v>
      </c>
      <c r="C352">
        <v>0</v>
      </c>
      <c r="D352">
        <v>0</v>
      </c>
      <c r="E352" t="s">
        <v>352</v>
      </c>
    </row>
    <row r="353" spans="1:5">
      <c r="A353">
        <f>HYPERLINK("http://www.twitter.com/nyc311/status/801455788254433281", "801455788254433281")</f>
        <v>0</v>
      </c>
      <c r="B353" s="2">
        <v>42697.6681018519</v>
      </c>
      <c r="C353">
        <v>4</v>
      </c>
      <c r="D353">
        <v>2</v>
      </c>
      <c r="E353" t="s">
        <v>353</v>
      </c>
    </row>
    <row r="354" spans="1:5">
      <c r="A354">
        <f>HYPERLINK("http://www.twitter.com/nyc311/status/801454103088001025", "801454103088001025")</f>
        <v>0</v>
      </c>
      <c r="B354" s="2">
        <v>42697.6634606481</v>
      </c>
      <c r="C354">
        <v>0</v>
      </c>
      <c r="D354">
        <v>0</v>
      </c>
      <c r="E354" t="s">
        <v>354</v>
      </c>
    </row>
    <row r="355" spans="1:5">
      <c r="A355">
        <f>HYPERLINK("http://www.twitter.com/nyc311/status/801453816835096577", "801453816835096577")</f>
        <v>0</v>
      </c>
      <c r="B355" s="2">
        <v>42697.662662037</v>
      </c>
      <c r="C355">
        <v>0</v>
      </c>
      <c r="D355">
        <v>0</v>
      </c>
      <c r="E355" t="s">
        <v>355</v>
      </c>
    </row>
    <row r="356" spans="1:5">
      <c r="A356">
        <f>HYPERLINK("http://www.twitter.com/nyc311/status/801449437990154240", "801449437990154240")</f>
        <v>0</v>
      </c>
      <c r="B356" s="2">
        <v>42697.6505787037</v>
      </c>
      <c r="C356">
        <v>0</v>
      </c>
      <c r="D356">
        <v>10</v>
      </c>
      <c r="E356" t="s">
        <v>356</v>
      </c>
    </row>
    <row r="357" spans="1:5">
      <c r="A357">
        <f>HYPERLINK("http://www.twitter.com/nyc311/status/801440662025551873", "801440662025551873")</f>
        <v>0</v>
      </c>
      <c r="B357" s="2">
        <v>42697.6263657407</v>
      </c>
      <c r="C357">
        <v>1</v>
      </c>
      <c r="D357">
        <v>4</v>
      </c>
      <c r="E357" t="s">
        <v>357</v>
      </c>
    </row>
    <row r="358" spans="1:5">
      <c r="A358">
        <f>HYPERLINK("http://www.twitter.com/nyc311/status/801433553942806528", "801433553942806528")</f>
        <v>0</v>
      </c>
      <c r="B358" s="2">
        <v>42697.6067476852</v>
      </c>
      <c r="C358">
        <v>0</v>
      </c>
      <c r="D358">
        <v>0</v>
      </c>
      <c r="E358" t="s">
        <v>358</v>
      </c>
    </row>
    <row r="359" spans="1:5">
      <c r="A359">
        <f>HYPERLINK("http://www.twitter.com/nyc311/status/801433341459398656", "801433341459398656")</f>
        <v>0</v>
      </c>
      <c r="B359" s="2">
        <v>42697.6061689815</v>
      </c>
      <c r="C359">
        <v>0</v>
      </c>
      <c r="D359">
        <v>0</v>
      </c>
      <c r="E359" t="s">
        <v>359</v>
      </c>
    </row>
    <row r="360" spans="1:5">
      <c r="A360">
        <f>HYPERLINK("http://www.twitter.com/nyc311/status/801188992834076672", "801188992834076672")</f>
        <v>0</v>
      </c>
      <c r="B360" s="2">
        <v>42696.9318865741</v>
      </c>
      <c r="C360">
        <v>0</v>
      </c>
      <c r="D360">
        <v>0</v>
      </c>
      <c r="E360" t="s">
        <v>360</v>
      </c>
    </row>
    <row r="361" spans="1:5">
      <c r="A361">
        <f>HYPERLINK("http://www.twitter.com/nyc311/status/801168764528185344", "801168764528185344")</f>
        <v>0</v>
      </c>
      <c r="B361" s="2">
        <v>42696.8760763889</v>
      </c>
      <c r="C361">
        <v>0</v>
      </c>
      <c r="D361">
        <v>1</v>
      </c>
      <c r="E361" t="s">
        <v>361</v>
      </c>
    </row>
    <row r="362" spans="1:5">
      <c r="A362">
        <f>HYPERLINK("http://www.twitter.com/nyc311/status/801166071273295872", "801166071273295872")</f>
        <v>0</v>
      </c>
      <c r="B362" s="2">
        <v>42696.8686342593</v>
      </c>
      <c r="C362">
        <v>0</v>
      </c>
      <c r="D362">
        <v>0</v>
      </c>
      <c r="E362" t="s">
        <v>362</v>
      </c>
    </row>
    <row r="363" spans="1:5">
      <c r="A363">
        <f>HYPERLINK("http://www.twitter.com/nyc311/status/801159548815998976", "801159548815998976")</f>
        <v>0</v>
      </c>
      <c r="B363" s="2">
        <v>42696.8506365741</v>
      </c>
      <c r="C363">
        <v>0</v>
      </c>
      <c r="D363">
        <v>0</v>
      </c>
      <c r="E363" t="s">
        <v>363</v>
      </c>
    </row>
    <row r="364" spans="1:5">
      <c r="A364">
        <f>HYPERLINK("http://www.twitter.com/nyc311/status/801159041137471489", "801159041137471489")</f>
        <v>0</v>
      </c>
      <c r="B364" s="2">
        <v>42696.8492361111</v>
      </c>
      <c r="C364">
        <v>0</v>
      </c>
      <c r="D364">
        <v>0</v>
      </c>
      <c r="E364" t="s">
        <v>364</v>
      </c>
    </row>
    <row r="365" spans="1:5">
      <c r="A365">
        <f>HYPERLINK("http://www.twitter.com/nyc311/status/801158765592637441", "801158765592637441")</f>
        <v>0</v>
      </c>
      <c r="B365" s="2">
        <v>42696.8484837963</v>
      </c>
      <c r="C365">
        <v>0</v>
      </c>
      <c r="D365">
        <v>0</v>
      </c>
      <c r="E365" t="s">
        <v>365</v>
      </c>
    </row>
    <row r="366" spans="1:5">
      <c r="A366">
        <f>HYPERLINK("http://www.twitter.com/nyc311/status/801158356673171459", "801158356673171459")</f>
        <v>0</v>
      </c>
      <c r="B366" s="2">
        <v>42696.847349537</v>
      </c>
      <c r="C366">
        <v>0</v>
      </c>
      <c r="D366">
        <v>0</v>
      </c>
      <c r="E366" t="s">
        <v>366</v>
      </c>
    </row>
    <row r="367" spans="1:5">
      <c r="A367">
        <f>HYPERLINK("http://www.twitter.com/nyc311/status/801138654693433344", "801138654693433344")</f>
        <v>0</v>
      </c>
      <c r="B367" s="2">
        <v>42696.7929861111</v>
      </c>
      <c r="C367">
        <v>8</v>
      </c>
      <c r="D367">
        <v>8</v>
      </c>
      <c r="E367" t="s">
        <v>367</v>
      </c>
    </row>
    <row r="368" spans="1:5">
      <c r="A368">
        <f>HYPERLINK("http://www.twitter.com/nyc311/status/801135602217484288", "801135602217484288")</f>
        <v>0</v>
      </c>
      <c r="B368" s="2">
        <v>42696.7845601852</v>
      </c>
      <c r="C368">
        <v>0</v>
      </c>
      <c r="D368">
        <v>8</v>
      </c>
      <c r="E368" t="s">
        <v>368</v>
      </c>
    </row>
    <row r="369" spans="1:5">
      <c r="A369">
        <f>HYPERLINK("http://www.twitter.com/nyc311/status/801125410972921856", "801125410972921856")</f>
        <v>0</v>
      </c>
      <c r="B369" s="2">
        <v>42696.7564351852</v>
      </c>
      <c r="C369">
        <v>0</v>
      </c>
      <c r="D369">
        <v>0</v>
      </c>
      <c r="E369" t="s">
        <v>369</v>
      </c>
    </row>
    <row r="370" spans="1:5">
      <c r="A370">
        <f>HYPERLINK("http://www.twitter.com/nyc311/status/801123796904247296", "801123796904247296")</f>
        <v>0</v>
      </c>
      <c r="B370" s="2">
        <v>42696.7519791667</v>
      </c>
      <c r="C370">
        <v>2</v>
      </c>
      <c r="D370">
        <v>0</v>
      </c>
      <c r="E370" t="s">
        <v>370</v>
      </c>
    </row>
    <row r="371" spans="1:5">
      <c r="A371">
        <f>HYPERLINK("http://www.twitter.com/nyc311/status/801123722144972801", "801123722144972801")</f>
        <v>0</v>
      </c>
      <c r="B371" s="2">
        <v>42696.7517824074</v>
      </c>
      <c r="C371">
        <v>2</v>
      </c>
      <c r="D371">
        <v>0</v>
      </c>
      <c r="E371" t="s">
        <v>371</v>
      </c>
    </row>
    <row r="372" spans="1:5">
      <c r="A372">
        <f>HYPERLINK("http://www.twitter.com/nyc311/status/801123694324187137", "801123694324187137")</f>
        <v>0</v>
      </c>
      <c r="B372" s="2">
        <v>42696.7517013889</v>
      </c>
      <c r="C372">
        <v>0</v>
      </c>
      <c r="D372">
        <v>0</v>
      </c>
      <c r="E372" t="s">
        <v>372</v>
      </c>
    </row>
    <row r="373" spans="1:5">
      <c r="A373">
        <f>HYPERLINK("http://www.twitter.com/nyc311/status/801123293751341057", "801123293751341057")</f>
        <v>0</v>
      </c>
      <c r="B373" s="2">
        <v>42696.7506018519</v>
      </c>
      <c r="C373">
        <v>7</v>
      </c>
      <c r="D373">
        <v>7</v>
      </c>
      <c r="E373" t="s">
        <v>373</v>
      </c>
    </row>
    <row r="374" spans="1:5">
      <c r="A374">
        <f>HYPERLINK("http://www.twitter.com/nyc311/status/801121934671015936", "801121934671015936")</f>
        <v>0</v>
      </c>
      <c r="B374" s="2">
        <v>42696.7468518519</v>
      </c>
      <c r="C374">
        <v>0</v>
      </c>
      <c r="D374">
        <v>0</v>
      </c>
      <c r="E374" t="s">
        <v>374</v>
      </c>
    </row>
    <row r="375" spans="1:5">
      <c r="A375">
        <f>HYPERLINK("http://www.twitter.com/nyc311/status/801108566325207041", "801108566325207041")</f>
        <v>0</v>
      </c>
      <c r="B375" s="2">
        <v>42696.7099537037</v>
      </c>
      <c r="C375">
        <v>3</v>
      </c>
      <c r="D375">
        <v>3</v>
      </c>
      <c r="E375" t="s">
        <v>375</v>
      </c>
    </row>
    <row r="376" spans="1:5">
      <c r="A376">
        <f>HYPERLINK("http://www.twitter.com/nyc311/status/801103646431711232", "801103646431711232")</f>
        <v>0</v>
      </c>
      <c r="B376" s="2">
        <v>42696.6963773148</v>
      </c>
      <c r="C376">
        <v>0</v>
      </c>
      <c r="D376">
        <v>0</v>
      </c>
      <c r="E376" t="s">
        <v>376</v>
      </c>
    </row>
    <row r="377" spans="1:5">
      <c r="A377">
        <f>HYPERLINK("http://www.twitter.com/nyc311/status/801103215437684737", "801103215437684737")</f>
        <v>0</v>
      </c>
      <c r="B377" s="2">
        <v>42696.6951851852</v>
      </c>
      <c r="C377">
        <v>1</v>
      </c>
      <c r="D377">
        <v>0</v>
      </c>
      <c r="E377" t="s">
        <v>377</v>
      </c>
    </row>
    <row r="378" spans="1:5">
      <c r="A378">
        <f>HYPERLINK("http://www.twitter.com/nyc311/status/801103042301095937", "801103042301095937")</f>
        <v>0</v>
      </c>
      <c r="B378" s="2">
        <v>42696.6947106481</v>
      </c>
      <c r="C378">
        <v>0</v>
      </c>
      <c r="D378">
        <v>0</v>
      </c>
      <c r="E378" t="s">
        <v>378</v>
      </c>
    </row>
    <row r="379" spans="1:5">
      <c r="A379">
        <f>HYPERLINK("http://www.twitter.com/nyc311/status/801093047295549441", "801093047295549441")</f>
        <v>0</v>
      </c>
      <c r="B379" s="2">
        <v>42696.6671296296</v>
      </c>
      <c r="C379">
        <v>6</v>
      </c>
      <c r="D379">
        <v>6</v>
      </c>
      <c r="E379" t="s">
        <v>379</v>
      </c>
    </row>
    <row r="380" spans="1:5">
      <c r="A380">
        <f>HYPERLINK("http://www.twitter.com/nyc311/status/801081648687222784", "801081648687222784")</f>
        <v>0</v>
      </c>
      <c r="B380" s="2">
        <v>42696.6356828704</v>
      </c>
      <c r="C380">
        <v>0</v>
      </c>
      <c r="D380">
        <v>0</v>
      </c>
      <c r="E380" t="s">
        <v>380</v>
      </c>
    </row>
    <row r="381" spans="1:5">
      <c r="A381">
        <f>HYPERLINK("http://www.twitter.com/nyc311/status/801078947127492608", "801078947127492608")</f>
        <v>0</v>
      </c>
      <c r="B381" s="2">
        <v>42696.6282175926</v>
      </c>
      <c r="C381">
        <v>0</v>
      </c>
      <c r="D381">
        <v>0</v>
      </c>
      <c r="E381" t="s">
        <v>381</v>
      </c>
    </row>
    <row r="382" spans="1:5">
      <c r="A382">
        <f>HYPERLINK("http://www.twitter.com/nyc311/status/801078331106033669", "801078331106033669")</f>
        <v>0</v>
      </c>
      <c r="B382" s="2">
        <v>42696.6265277778</v>
      </c>
      <c r="C382">
        <v>8</v>
      </c>
      <c r="D382">
        <v>12</v>
      </c>
      <c r="E382" t="s">
        <v>382</v>
      </c>
    </row>
    <row r="383" spans="1:5">
      <c r="A383">
        <f>HYPERLINK("http://www.twitter.com/nyc311/status/801067299268595717", "801067299268595717")</f>
        <v>0</v>
      </c>
      <c r="B383" s="2">
        <v>42696.5960763889</v>
      </c>
      <c r="C383">
        <v>0</v>
      </c>
      <c r="D383">
        <v>0</v>
      </c>
      <c r="E383" t="s">
        <v>383</v>
      </c>
    </row>
    <row r="384" spans="1:5">
      <c r="A384">
        <f>HYPERLINK("http://www.twitter.com/nyc311/status/800810675970994177", "800810675970994177")</f>
        <v>0</v>
      </c>
      <c r="B384" s="2">
        <v>42695.8879398148</v>
      </c>
      <c r="C384">
        <v>1</v>
      </c>
      <c r="D384">
        <v>0</v>
      </c>
      <c r="E384" t="s">
        <v>384</v>
      </c>
    </row>
    <row r="385" spans="1:5">
      <c r="A385">
        <f>HYPERLINK("http://www.twitter.com/nyc311/status/800806364507492352", "800806364507492352")</f>
        <v>0</v>
      </c>
      <c r="B385" s="2">
        <v>42695.8760416667</v>
      </c>
      <c r="C385">
        <v>2</v>
      </c>
      <c r="D385">
        <v>1</v>
      </c>
      <c r="E385" t="s">
        <v>385</v>
      </c>
    </row>
    <row r="386" spans="1:5">
      <c r="A386">
        <f>HYPERLINK("http://www.twitter.com/nyc311/status/800805431480201217", "800805431480201217")</f>
        <v>0</v>
      </c>
      <c r="B386" s="2">
        <v>42695.8734606481</v>
      </c>
      <c r="C386">
        <v>1</v>
      </c>
      <c r="D386">
        <v>0</v>
      </c>
      <c r="E386" t="s">
        <v>386</v>
      </c>
    </row>
    <row r="387" spans="1:5">
      <c r="A387">
        <f>HYPERLINK("http://www.twitter.com/nyc311/status/800803128513875969", "800803128513875969")</f>
        <v>0</v>
      </c>
      <c r="B387" s="2">
        <v>42695.8671064815</v>
      </c>
      <c r="C387">
        <v>0</v>
      </c>
      <c r="D387">
        <v>0</v>
      </c>
      <c r="E387" t="s">
        <v>387</v>
      </c>
    </row>
    <row r="388" spans="1:5">
      <c r="A388">
        <f>HYPERLINK("http://www.twitter.com/nyc311/status/800794755932241922", "800794755932241922")</f>
        <v>0</v>
      </c>
      <c r="B388" s="2">
        <v>42695.8440046296</v>
      </c>
      <c r="C388">
        <v>0</v>
      </c>
      <c r="D388">
        <v>0</v>
      </c>
      <c r="E388" t="s">
        <v>388</v>
      </c>
    </row>
    <row r="389" spans="1:5">
      <c r="A389">
        <f>HYPERLINK("http://www.twitter.com/nyc311/status/800776291368706048", "800776291368706048")</f>
        <v>0</v>
      </c>
      <c r="B389" s="2">
        <v>42695.7930555556</v>
      </c>
      <c r="C389">
        <v>0</v>
      </c>
      <c r="D389">
        <v>2</v>
      </c>
      <c r="E389" t="s">
        <v>389</v>
      </c>
    </row>
    <row r="390" spans="1:5">
      <c r="A390">
        <f>HYPERLINK("http://www.twitter.com/nyc311/status/800761749947482112", "800761749947482112")</f>
        <v>0</v>
      </c>
      <c r="B390" s="2">
        <v>42695.7529282407</v>
      </c>
      <c r="C390">
        <v>0</v>
      </c>
      <c r="D390">
        <v>0</v>
      </c>
      <c r="E390" t="s">
        <v>390</v>
      </c>
    </row>
    <row r="391" spans="1:5">
      <c r="A391">
        <f>HYPERLINK("http://www.twitter.com/nyc311/status/800756923888963584", "800756923888963584")</f>
        <v>0</v>
      </c>
      <c r="B391" s="2">
        <v>42695.7396064815</v>
      </c>
      <c r="C391">
        <v>0</v>
      </c>
      <c r="D391">
        <v>0</v>
      </c>
      <c r="E391" t="s">
        <v>391</v>
      </c>
    </row>
    <row r="392" spans="1:5">
      <c r="A392">
        <f>HYPERLINK("http://www.twitter.com/nyc311/status/800756345087594496", "800756345087594496")</f>
        <v>0</v>
      </c>
      <c r="B392" s="2">
        <v>42695.7380092593</v>
      </c>
      <c r="C392">
        <v>0</v>
      </c>
      <c r="D392">
        <v>1</v>
      </c>
      <c r="E392" t="s">
        <v>392</v>
      </c>
    </row>
    <row r="393" spans="1:5">
      <c r="A393">
        <f>HYPERLINK("http://www.twitter.com/nyc311/status/800755625823117312", "800755625823117312")</f>
        <v>0</v>
      </c>
      <c r="B393" s="2">
        <v>42695.7360300926</v>
      </c>
      <c r="C393">
        <v>0</v>
      </c>
      <c r="D393">
        <v>0</v>
      </c>
      <c r="E393" t="s">
        <v>393</v>
      </c>
    </row>
    <row r="394" spans="1:5">
      <c r="A394">
        <f>HYPERLINK("http://www.twitter.com/nyc311/status/800754855362973696", "800754855362973696")</f>
        <v>0</v>
      </c>
      <c r="B394" s="2">
        <v>42695.733900463</v>
      </c>
      <c r="C394">
        <v>0</v>
      </c>
      <c r="D394">
        <v>0</v>
      </c>
      <c r="E394" t="s">
        <v>394</v>
      </c>
    </row>
    <row r="395" spans="1:5">
      <c r="A395">
        <f>HYPERLINK("http://www.twitter.com/nyc311/status/800754008453353472", "800754008453353472")</f>
        <v>0</v>
      </c>
      <c r="B395" s="2">
        <v>42695.7315625</v>
      </c>
      <c r="C395">
        <v>0</v>
      </c>
      <c r="D395">
        <v>0</v>
      </c>
      <c r="E395" t="s">
        <v>395</v>
      </c>
    </row>
    <row r="396" spans="1:5">
      <c r="A396">
        <f>HYPERLINK("http://www.twitter.com/nyc311/status/800753450577371136", "800753450577371136")</f>
        <v>0</v>
      </c>
      <c r="B396" s="2">
        <v>42695.7300231481</v>
      </c>
      <c r="C396">
        <v>0</v>
      </c>
      <c r="D396">
        <v>0</v>
      </c>
      <c r="E396" t="s">
        <v>396</v>
      </c>
    </row>
    <row r="397" spans="1:5">
      <c r="A397">
        <f>HYPERLINK("http://www.twitter.com/nyc311/status/800746228388601856", "800746228388601856")</f>
        <v>0</v>
      </c>
      <c r="B397" s="2">
        <v>42695.7100925926</v>
      </c>
      <c r="C397">
        <v>6</v>
      </c>
      <c r="D397">
        <v>4</v>
      </c>
      <c r="E397" t="s">
        <v>397</v>
      </c>
    </row>
    <row r="398" spans="1:5">
      <c r="A398">
        <f>HYPERLINK("http://www.twitter.com/nyc311/status/800739070448111616", "800739070448111616")</f>
        <v>0</v>
      </c>
      <c r="B398" s="2">
        <v>42695.6903472222</v>
      </c>
      <c r="C398">
        <v>1</v>
      </c>
      <c r="D398">
        <v>0</v>
      </c>
      <c r="E398" t="s">
        <v>398</v>
      </c>
    </row>
    <row r="399" spans="1:5">
      <c r="A399">
        <f>HYPERLINK("http://www.twitter.com/nyc311/status/800735077739048960", "800735077739048960")</f>
        <v>0</v>
      </c>
      <c r="B399" s="2">
        <v>42695.6793287037</v>
      </c>
      <c r="C399">
        <v>0</v>
      </c>
      <c r="D399">
        <v>0</v>
      </c>
      <c r="E399" t="s">
        <v>399</v>
      </c>
    </row>
    <row r="400" spans="1:5">
      <c r="A400">
        <f>HYPERLINK("http://www.twitter.com/nyc311/status/800734076877631489", "800734076877631489")</f>
        <v>0</v>
      </c>
      <c r="B400" s="2">
        <v>42695.6765625</v>
      </c>
      <c r="C400">
        <v>0</v>
      </c>
      <c r="D400">
        <v>0</v>
      </c>
      <c r="E400" t="s">
        <v>400</v>
      </c>
    </row>
    <row r="401" spans="1:5">
      <c r="A401">
        <f>HYPERLINK("http://www.twitter.com/nyc311/status/800731046337769473", "800731046337769473")</f>
        <v>0</v>
      </c>
      <c r="B401" s="2">
        <v>42695.6681944444</v>
      </c>
      <c r="C401">
        <v>3</v>
      </c>
      <c r="D401">
        <v>5</v>
      </c>
      <c r="E401" t="s">
        <v>401</v>
      </c>
    </row>
    <row r="402" spans="1:5">
      <c r="A402">
        <f>HYPERLINK("http://www.twitter.com/nyc311/status/800720249540771840", "800720249540771840")</f>
        <v>0</v>
      </c>
      <c r="B402" s="2">
        <v>42695.6384027778</v>
      </c>
      <c r="C402">
        <v>1</v>
      </c>
      <c r="D402">
        <v>1</v>
      </c>
      <c r="E402" t="s">
        <v>402</v>
      </c>
    </row>
    <row r="403" spans="1:5">
      <c r="A403">
        <f>HYPERLINK("http://www.twitter.com/nyc311/status/800719597036969984", "800719597036969984")</f>
        <v>0</v>
      </c>
      <c r="B403" s="2">
        <v>42695.6366087963</v>
      </c>
      <c r="C403">
        <v>1</v>
      </c>
      <c r="D403">
        <v>0</v>
      </c>
      <c r="E403" t="s">
        <v>403</v>
      </c>
    </row>
    <row r="404" spans="1:5">
      <c r="A404">
        <f>HYPERLINK("http://www.twitter.com/nyc311/status/800718953312043009", "800718953312043009")</f>
        <v>0</v>
      </c>
      <c r="B404" s="2">
        <v>42695.6348263889</v>
      </c>
      <c r="C404">
        <v>0</v>
      </c>
      <c r="D404">
        <v>0</v>
      </c>
      <c r="E404" t="s">
        <v>404</v>
      </c>
    </row>
    <row r="405" spans="1:5">
      <c r="A405">
        <f>HYPERLINK("http://www.twitter.com/nyc311/status/800718592207650816", "800718592207650816")</f>
        <v>0</v>
      </c>
      <c r="B405" s="2">
        <v>42695.6338310185</v>
      </c>
      <c r="C405">
        <v>0</v>
      </c>
      <c r="D405">
        <v>0</v>
      </c>
      <c r="E405" t="s">
        <v>405</v>
      </c>
    </row>
    <row r="406" spans="1:5">
      <c r="A406">
        <f>HYPERLINK("http://www.twitter.com/nyc311/status/800718547320246273", "800718547320246273")</f>
        <v>0</v>
      </c>
      <c r="B406" s="2">
        <v>42695.6337037037</v>
      </c>
      <c r="C406">
        <v>0</v>
      </c>
      <c r="D406">
        <v>0</v>
      </c>
      <c r="E406" t="s">
        <v>406</v>
      </c>
    </row>
    <row r="407" spans="1:5">
      <c r="A407">
        <f>HYPERLINK("http://www.twitter.com/nyc311/status/800718052463616000", "800718052463616000")</f>
        <v>0</v>
      </c>
      <c r="B407" s="2">
        <v>42695.632337963</v>
      </c>
      <c r="C407">
        <v>0</v>
      </c>
      <c r="D407">
        <v>0</v>
      </c>
      <c r="E407" t="s">
        <v>407</v>
      </c>
    </row>
    <row r="408" spans="1:5">
      <c r="A408">
        <f>HYPERLINK("http://www.twitter.com/nyc311/status/800716972375818240", "800716972375818240")</f>
        <v>0</v>
      </c>
      <c r="B408" s="2">
        <v>42695.6293634259</v>
      </c>
      <c r="C408">
        <v>1</v>
      </c>
      <c r="D408">
        <v>0</v>
      </c>
      <c r="E408" t="s">
        <v>408</v>
      </c>
    </row>
    <row r="409" spans="1:5">
      <c r="A409">
        <f>HYPERLINK("http://www.twitter.com/nyc311/status/800715524447440898", "800715524447440898")</f>
        <v>0</v>
      </c>
      <c r="B409" s="2">
        <v>42695.6253703704</v>
      </c>
      <c r="C409">
        <v>2</v>
      </c>
      <c r="D409">
        <v>5</v>
      </c>
      <c r="E409" t="s">
        <v>409</v>
      </c>
    </row>
    <row r="410" spans="1:5">
      <c r="A410">
        <f>HYPERLINK("http://www.twitter.com/nyc311/status/800443891728207872", "800443891728207872")</f>
        <v>0</v>
      </c>
      <c r="B410" s="2">
        <v>42694.8757986111</v>
      </c>
      <c r="C410">
        <v>0</v>
      </c>
      <c r="D410">
        <v>2</v>
      </c>
      <c r="E410" t="s">
        <v>410</v>
      </c>
    </row>
    <row r="411" spans="1:5">
      <c r="A411">
        <f>HYPERLINK("http://www.twitter.com/nyc311/status/800413715824775169", "800413715824775169")</f>
        <v>0</v>
      </c>
      <c r="B411" s="2">
        <v>42694.7925347222</v>
      </c>
      <c r="C411">
        <v>1</v>
      </c>
      <c r="D411">
        <v>0</v>
      </c>
      <c r="E411" t="s">
        <v>411</v>
      </c>
    </row>
    <row r="412" spans="1:5">
      <c r="A412">
        <f>HYPERLINK("http://www.twitter.com/nyc311/status/800383635174014977", "800383635174014977")</f>
        <v>0</v>
      </c>
      <c r="B412" s="2">
        <v>42694.709525463</v>
      </c>
      <c r="C412">
        <v>13</v>
      </c>
      <c r="D412">
        <v>6</v>
      </c>
      <c r="E412" t="s">
        <v>412</v>
      </c>
    </row>
    <row r="413" spans="1:5">
      <c r="A413">
        <f>HYPERLINK("http://www.twitter.com/nyc311/status/800368377403412480", "800368377403412480")</f>
        <v>0</v>
      </c>
      <c r="B413" s="2">
        <v>42694.6674189815</v>
      </c>
      <c r="C413">
        <v>2</v>
      </c>
      <c r="D413">
        <v>1</v>
      </c>
      <c r="E413" t="s">
        <v>413</v>
      </c>
    </row>
    <row r="414" spans="1:5">
      <c r="A414">
        <f>HYPERLINK("http://www.twitter.com/nyc311/status/800353354459119616", "800353354459119616")</f>
        <v>0</v>
      </c>
      <c r="B414" s="2">
        <v>42694.6259722222</v>
      </c>
      <c r="C414">
        <v>1</v>
      </c>
      <c r="D414">
        <v>0</v>
      </c>
      <c r="E414" t="s">
        <v>414</v>
      </c>
    </row>
    <row r="415" spans="1:5">
      <c r="A415">
        <f>HYPERLINK("http://www.twitter.com/nyc311/status/800081473109979136", "800081473109979136")</f>
        <v>0</v>
      </c>
      <c r="B415" s="2">
        <v>42693.8757175926</v>
      </c>
      <c r="C415">
        <v>1</v>
      </c>
      <c r="D415">
        <v>0</v>
      </c>
      <c r="E415" t="s">
        <v>415</v>
      </c>
    </row>
    <row r="416" spans="1:5">
      <c r="A416">
        <f>HYPERLINK("http://www.twitter.com/nyc311/status/800051306866085889", "800051306866085889")</f>
        <v>0</v>
      </c>
      <c r="B416" s="2">
        <v>42693.7924768518</v>
      </c>
      <c r="C416">
        <v>2</v>
      </c>
      <c r="D416">
        <v>3</v>
      </c>
      <c r="E416" t="s">
        <v>416</v>
      </c>
    </row>
    <row r="417" spans="1:5">
      <c r="A417">
        <f>HYPERLINK("http://www.twitter.com/nyc311/status/800021198113558528", "800021198113558528")</f>
        <v>0</v>
      </c>
      <c r="B417" s="2">
        <v>42693.7093865741</v>
      </c>
      <c r="C417">
        <v>3</v>
      </c>
      <c r="D417">
        <v>2</v>
      </c>
      <c r="E417" t="s">
        <v>417</v>
      </c>
    </row>
    <row r="418" spans="1:5">
      <c r="A418">
        <f>HYPERLINK("http://www.twitter.com/nyc311/status/799990993554644992", "799990993554644992")</f>
        <v>0</v>
      </c>
      <c r="B418" s="2">
        <v>42693.6260416667</v>
      </c>
      <c r="C418">
        <v>6</v>
      </c>
      <c r="D418">
        <v>6</v>
      </c>
      <c r="E418" t="s">
        <v>418</v>
      </c>
    </row>
    <row r="419" spans="1:5">
      <c r="A419">
        <f>HYPERLINK("http://www.twitter.com/nyc311/status/799719184393351168", "799719184393351168")</f>
        <v>0</v>
      </c>
      <c r="B419" s="2">
        <v>42692.8759953704</v>
      </c>
      <c r="C419">
        <v>1</v>
      </c>
      <c r="D419">
        <v>0</v>
      </c>
      <c r="E419" t="s">
        <v>419</v>
      </c>
    </row>
    <row r="420" spans="1:5">
      <c r="A420">
        <f>HYPERLINK("http://www.twitter.com/nyc311/status/799689098189488128", "799689098189488128")</f>
        <v>0</v>
      </c>
      <c r="B420" s="2">
        <v>42692.792974537</v>
      </c>
      <c r="C420">
        <v>3</v>
      </c>
      <c r="D420">
        <v>1</v>
      </c>
      <c r="E420" t="s">
        <v>420</v>
      </c>
    </row>
    <row r="421" spans="1:5">
      <c r="A421">
        <f>HYPERLINK("http://www.twitter.com/nyc311/status/799659158551298049", "799659158551298049")</f>
        <v>0</v>
      </c>
      <c r="B421" s="2">
        <v>42692.7103587963</v>
      </c>
      <c r="C421">
        <v>1</v>
      </c>
      <c r="D421">
        <v>2</v>
      </c>
      <c r="E421" t="s">
        <v>421</v>
      </c>
    </row>
    <row r="422" spans="1:5">
      <c r="A422">
        <f>HYPERLINK("http://www.twitter.com/nyc311/status/799633608688340992", "799633608688340992")</f>
        <v>0</v>
      </c>
      <c r="B422" s="2">
        <v>42692.639849537</v>
      </c>
      <c r="C422">
        <v>2</v>
      </c>
      <c r="D422">
        <v>0</v>
      </c>
      <c r="E422" t="s">
        <v>422</v>
      </c>
    </row>
    <row r="423" spans="1:5">
      <c r="A423">
        <f>HYPERLINK("http://www.twitter.com/nyc311/status/799629769163816960", "799629769163816960")</f>
        <v>0</v>
      </c>
      <c r="B423" s="2">
        <v>42692.6292592593</v>
      </c>
      <c r="C423">
        <v>0</v>
      </c>
      <c r="D423">
        <v>0</v>
      </c>
      <c r="E423" t="s">
        <v>423</v>
      </c>
    </row>
    <row r="424" spans="1:5">
      <c r="A424">
        <f>HYPERLINK("http://www.twitter.com/nyc311/status/799628762811920384", "799628762811920384")</f>
        <v>0</v>
      </c>
      <c r="B424" s="2">
        <v>42692.6264814815</v>
      </c>
      <c r="C424">
        <v>1</v>
      </c>
      <c r="D424">
        <v>2</v>
      </c>
      <c r="E424" t="s">
        <v>424</v>
      </c>
    </row>
    <row r="425" spans="1:5">
      <c r="A425">
        <f>HYPERLINK("http://www.twitter.com/nyc311/status/799628685175177216", "799628685175177216")</f>
        <v>0</v>
      </c>
      <c r="B425" s="2">
        <v>42692.6262615741</v>
      </c>
      <c r="C425">
        <v>1</v>
      </c>
      <c r="D425">
        <v>0</v>
      </c>
      <c r="E425" t="s">
        <v>425</v>
      </c>
    </row>
    <row r="426" spans="1:5">
      <c r="A426">
        <f>HYPERLINK("http://www.twitter.com/nyc311/status/799628093929508864", "799628093929508864")</f>
        <v>0</v>
      </c>
      <c r="B426" s="2">
        <v>42692.6246296296</v>
      </c>
      <c r="C426">
        <v>0</v>
      </c>
      <c r="D426">
        <v>0</v>
      </c>
      <c r="E426" t="s">
        <v>426</v>
      </c>
    </row>
    <row r="427" spans="1:5">
      <c r="A427">
        <f>HYPERLINK("http://www.twitter.com/nyc311/status/799621006860161024", "799621006860161024")</f>
        <v>0</v>
      </c>
      <c r="B427" s="2">
        <v>42692.6050694444</v>
      </c>
      <c r="C427">
        <v>1</v>
      </c>
      <c r="D427">
        <v>0</v>
      </c>
      <c r="E427" t="s">
        <v>427</v>
      </c>
    </row>
    <row r="428" spans="1:5">
      <c r="A428">
        <f>HYPERLINK("http://www.twitter.com/nyc311/status/799379041832857600", "799379041832857600")</f>
        <v>0</v>
      </c>
      <c r="B428" s="2">
        <v>42691.9373726852</v>
      </c>
      <c r="C428">
        <v>1</v>
      </c>
      <c r="D428">
        <v>0</v>
      </c>
      <c r="E428" t="s">
        <v>428</v>
      </c>
    </row>
    <row r="429" spans="1:5">
      <c r="A429">
        <f>HYPERLINK("http://www.twitter.com/nyc311/status/799356907416854528", "799356907416854528")</f>
        <v>0</v>
      </c>
      <c r="B429" s="2">
        <v>42691.8762962963</v>
      </c>
      <c r="C429">
        <v>1</v>
      </c>
      <c r="D429">
        <v>1</v>
      </c>
      <c r="E429" t="s">
        <v>429</v>
      </c>
    </row>
    <row r="430" spans="1:5">
      <c r="A430">
        <f>HYPERLINK("http://www.twitter.com/nyc311/status/799355198217060352", "799355198217060352")</f>
        <v>0</v>
      </c>
      <c r="B430" s="2">
        <v>42691.8715856482</v>
      </c>
      <c r="C430">
        <v>0</v>
      </c>
      <c r="D430">
        <v>0</v>
      </c>
      <c r="E430" t="s">
        <v>430</v>
      </c>
    </row>
    <row r="431" spans="1:5">
      <c r="A431">
        <f>HYPERLINK("http://www.twitter.com/nyc311/status/799342024143081472", "799342024143081472")</f>
        <v>0</v>
      </c>
      <c r="B431" s="2">
        <v>42691.8352314815</v>
      </c>
      <c r="C431">
        <v>0</v>
      </c>
      <c r="D431">
        <v>0</v>
      </c>
      <c r="E431" t="s">
        <v>431</v>
      </c>
    </row>
    <row r="432" spans="1:5">
      <c r="A432">
        <f>HYPERLINK("http://www.twitter.com/nyc311/status/799326760726839296", "799326760726839296")</f>
        <v>0</v>
      </c>
      <c r="B432" s="2">
        <v>42691.7931134259</v>
      </c>
      <c r="C432">
        <v>1</v>
      </c>
      <c r="D432">
        <v>2</v>
      </c>
      <c r="E432" t="s">
        <v>432</v>
      </c>
    </row>
    <row r="433" spans="1:5">
      <c r="A433">
        <f>HYPERLINK("http://www.twitter.com/nyc311/status/799296836787994625", "799296836787994625")</f>
        <v>0</v>
      </c>
      <c r="B433" s="2">
        <v>42691.7105324074</v>
      </c>
      <c r="C433">
        <v>0</v>
      </c>
      <c r="D433">
        <v>0</v>
      </c>
      <c r="E433" t="s">
        <v>294</v>
      </c>
    </row>
    <row r="434" spans="1:5">
      <c r="A434">
        <f>HYPERLINK("http://www.twitter.com/nyc311/status/799281572688097280", "799281572688097280")</f>
        <v>0</v>
      </c>
      <c r="B434" s="2">
        <v>42691.6684143519</v>
      </c>
      <c r="C434">
        <v>0</v>
      </c>
      <c r="D434">
        <v>0</v>
      </c>
      <c r="E434" t="s">
        <v>433</v>
      </c>
    </row>
    <row r="435" spans="1:5">
      <c r="A435">
        <f>HYPERLINK("http://www.twitter.com/nyc311/status/799271185590734849", "799271185590734849")</f>
        <v>0</v>
      </c>
      <c r="B435" s="2">
        <v>42691.6397569444</v>
      </c>
      <c r="C435">
        <v>1</v>
      </c>
      <c r="D435">
        <v>0</v>
      </c>
      <c r="E435" t="s">
        <v>434</v>
      </c>
    </row>
    <row r="436" spans="1:5">
      <c r="A436">
        <f>HYPERLINK("http://www.twitter.com/nyc311/status/799270071281459204", "799270071281459204")</f>
        <v>0</v>
      </c>
      <c r="B436" s="2">
        <v>42691.6366782407</v>
      </c>
      <c r="C436">
        <v>0</v>
      </c>
      <c r="D436">
        <v>0</v>
      </c>
      <c r="E436" t="s">
        <v>435</v>
      </c>
    </row>
    <row r="437" spans="1:5">
      <c r="A437">
        <f>HYPERLINK("http://www.twitter.com/nyc311/status/799269430689693696", "799269430689693696")</f>
        <v>0</v>
      </c>
      <c r="B437" s="2">
        <v>42691.6349074074</v>
      </c>
      <c r="C437">
        <v>0</v>
      </c>
      <c r="D437">
        <v>0</v>
      </c>
      <c r="E437" t="s">
        <v>436</v>
      </c>
    </row>
    <row r="438" spans="1:5">
      <c r="A438">
        <f>HYPERLINK("http://www.twitter.com/nyc311/status/799266411369598977", "799266411369598977")</f>
        <v>0</v>
      </c>
      <c r="B438" s="2">
        <v>42691.6265740741</v>
      </c>
      <c r="C438">
        <v>5</v>
      </c>
      <c r="D438">
        <v>6</v>
      </c>
      <c r="E438" t="s">
        <v>437</v>
      </c>
    </row>
    <row r="439" spans="1:5">
      <c r="A439">
        <f>HYPERLINK("http://www.twitter.com/nyc311/status/799266385947807744", "799266385947807744")</f>
        <v>0</v>
      </c>
      <c r="B439" s="2">
        <v>42691.6265046296</v>
      </c>
      <c r="C439">
        <v>0</v>
      </c>
      <c r="D439">
        <v>0</v>
      </c>
      <c r="E439" t="s">
        <v>438</v>
      </c>
    </row>
    <row r="440" spans="1:5">
      <c r="A440">
        <f>HYPERLINK("http://www.twitter.com/nyc311/status/798994552086405120", "798994552086405120")</f>
        <v>0</v>
      </c>
      <c r="B440" s="2">
        <v>42690.8763888889</v>
      </c>
      <c r="C440">
        <v>1</v>
      </c>
      <c r="D440">
        <v>0</v>
      </c>
      <c r="E440" t="s">
        <v>439</v>
      </c>
    </row>
    <row r="441" spans="1:5">
      <c r="A441">
        <f>HYPERLINK("http://www.twitter.com/nyc311/status/798982417331748864", "798982417331748864")</f>
        <v>0</v>
      </c>
      <c r="B441" s="2">
        <v>42690.8429050926</v>
      </c>
      <c r="C441">
        <v>0</v>
      </c>
      <c r="D441">
        <v>0</v>
      </c>
      <c r="E441" t="s">
        <v>440</v>
      </c>
    </row>
    <row r="442" spans="1:5">
      <c r="A442">
        <f>HYPERLINK("http://www.twitter.com/nyc311/status/798964264149123078", "798964264149123078")</f>
        <v>0</v>
      </c>
      <c r="B442" s="2">
        <v>42690.7928125</v>
      </c>
      <c r="C442">
        <v>0</v>
      </c>
      <c r="D442">
        <v>1</v>
      </c>
      <c r="E442" t="s">
        <v>441</v>
      </c>
    </row>
    <row r="443" spans="1:5">
      <c r="A443">
        <f>HYPERLINK("http://www.twitter.com/nyc311/status/798963166596186112", "798963166596186112")</f>
        <v>0</v>
      </c>
      <c r="B443" s="2">
        <v>42690.7897800926</v>
      </c>
      <c r="C443">
        <v>0</v>
      </c>
      <c r="D443">
        <v>0</v>
      </c>
      <c r="E443" t="s">
        <v>442</v>
      </c>
    </row>
    <row r="444" spans="1:5">
      <c r="A444">
        <f>HYPERLINK("http://www.twitter.com/nyc311/status/798934482220937216", "798934482220937216")</f>
        <v>0</v>
      </c>
      <c r="B444" s="2">
        <v>42690.710625</v>
      </c>
      <c r="C444">
        <v>10</v>
      </c>
      <c r="D444">
        <v>7</v>
      </c>
      <c r="E444" t="s">
        <v>443</v>
      </c>
    </row>
    <row r="445" spans="1:5">
      <c r="A445">
        <f>HYPERLINK("http://www.twitter.com/nyc311/status/798915052354969600", "798915052354969600")</f>
        <v>0</v>
      </c>
      <c r="B445" s="2">
        <v>42690.6570138889</v>
      </c>
      <c r="C445">
        <v>1</v>
      </c>
      <c r="D445">
        <v>0</v>
      </c>
      <c r="E445" t="s">
        <v>444</v>
      </c>
    </row>
    <row r="446" spans="1:5">
      <c r="A446">
        <f>HYPERLINK("http://www.twitter.com/nyc311/status/798914085903470593", "798914085903470593")</f>
        <v>0</v>
      </c>
      <c r="B446" s="2">
        <v>42690.6543402778</v>
      </c>
      <c r="C446">
        <v>0</v>
      </c>
      <c r="D446">
        <v>0</v>
      </c>
      <c r="E446" t="s">
        <v>445</v>
      </c>
    </row>
    <row r="447" spans="1:5">
      <c r="A447">
        <f>HYPERLINK("http://www.twitter.com/nyc311/status/798904414312468481", "798904414312468481")</f>
        <v>0</v>
      </c>
      <c r="B447" s="2">
        <v>42690.627650463</v>
      </c>
      <c r="C447">
        <v>0</v>
      </c>
      <c r="D447">
        <v>1</v>
      </c>
      <c r="E447" t="s">
        <v>446</v>
      </c>
    </row>
    <row r="448" spans="1:5">
      <c r="A448">
        <f>HYPERLINK("http://www.twitter.com/nyc311/status/798901786602065920", "798901786602065920")</f>
        <v>0</v>
      </c>
      <c r="B448" s="2">
        <v>42690.6204050926</v>
      </c>
      <c r="C448">
        <v>0</v>
      </c>
      <c r="D448">
        <v>0</v>
      </c>
      <c r="E448" t="s">
        <v>447</v>
      </c>
    </row>
    <row r="449" spans="1:5">
      <c r="A449">
        <f>HYPERLINK("http://www.twitter.com/nyc311/status/798900672594898944", "798900672594898944")</f>
        <v>0</v>
      </c>
      <c r="B449" s="2">
        <v>42690.6173263889</v>
      </c>
      <c r="C449">
        <v>0</v>
      </c>
      <c r="D449">
        <v>0</v>
      </c>
      <c r="E449" t="s">
        <v>448</v>
      </c>
    </row>
    <row r="450" spans="1:5">
      <c r="A450">
        <f>HYPERLINK("http://www.twitter.com/nyc311/status/798897592717418496", "798897592717418496")</f>
        <v>0</v>
      </c>
      <c r="B450" s="2">
        <v>42690.6088310185</v>
      </c>
      <c r="C450">
        <v>0</v>
      </c>
      <c r="D450">
        <v>0</v>
      </c>
      <c r="E450" t="s">
        <v>449</v>
      </c>
    </row>
    <row r="451" spans="1:5">
      <c r="A451">
        <f>HYPERLINK("http://www.twitter.com/nyc311/status/798896641768124416", "798896641768124416")</f>
        <v>0</v>
      </c>
      <c r="B451" s="2">
        <v>42690.6062037037</v>
      </c>
      <c r="C451">
        <v>0</v>
      </c>
      <c r="D451">
        <v>0</v>
      </c>
      <c r="E451" t="s">
        <v>450</v>
      </c>
    </row>
    <row r="452" spans="1:5">
      <c r="A452">
        <f>HYPERLINK("http://www.twitter.com/nyc311/status/798896356576399360", "798896356576399360")</f>
        <v>0</v>
      </c>
      <c r="B452" s="2">
        <v>42690.6054166667</v>
      </c>
      <c r="C452">
        <v>0</v>
      </c>
      <c r="D452">
        <v>0</v>
      </c>
      <c r="E452" t="s">
        <v>451</v>
      </c>
    </row>
    <row r="453" spans="1:5">
      <c r="A453">
        <f>HYPERLINK("http://www.twitter.com/nyc311/status/798632005730783233", "798632005730783233")</f>
        <v>0</v>
      </c>
      <c r="B453" s="2">
        <v>42689.8759490741</v>
      </c>
      <c r="C453">
        <v>3</v>
      </c>
      <c r="D453">
        <v>1</v>
      </c>
      <c r="E453" t="s">
        <v>452</v>
      </c>
    </row>
    <row r="454" spans="1:5">
      <c r="A454">
        <f>HYPERLINK("http://www.twitter.com/nyc311/status/798625248157388800", "798625248157388800")</f>
        <v>0</v>
      </c>
      <c r="B454" s="2">
        <v>42689.8573032407</v>
      </c>
      <c r="C454">
        <v>1</v>
      </c>
      <c r="D454">
        <v>0</v>
      </c>
      <c r="E454" t="s">
        <v>453</v>
      </c>
    </row>
    <row r="455" spans="1:5">
      <c r="A455">
        <f>HYPERLINK("http://www.twitter.com/nyc311/status/798620003872440320", "798620003872440320")</f>
        <v>0</v>
      </c>
      <c r="B455" s="2">
        <v>42689.8428356481</v>
      </c>
      <c r="C455">
        <v>0</v>
      </c>
      <c r="D455">
        <v>0</v>
      </c>
      <c r="E455" t="s">
        <v>454</v>
      </c>
    </row>
    <row r="456" spans="1:5">
      <c r="A456">
        <f>HYPERLINK("http://www.twitter.com/nyc311/status/798602021628624896", "798602021628624896")</f>
        <v>0</v>
      </c>
      <c r="B456" s="2">
        <v>42689.7932060185</v>
      </c>
      <c r="C456">
        <v>4</v>
      </c>
      <c r="D456">
        <v>1</v>
      </c>
      <c r="E456" t="s">
        <v>455</v>
      </c>
    </row>
    <row r="457" spans="1:5">
      <c r="A457">
        <f>HYPERLINK("http://www.twitter.com/nyc311/status/798598220821643265", "798598220821643265")</f>
        <v>0</v>
      </c>
      <c r="B457" s="2">
        <v>42689.7827199074</v>
      </c>
      <c r="C457">
        <v>0</v>
      </c>
      <c r="D457">
        <v>0</v>
      </c>
      <c r="E457" t="s">
        <v>456</v>
      </c>
    </row>
    <row r="458" spans="1:5">
      <c r="A458">
        <f>HYPERLINK("http://www.twitter.com/nyc311/status/798597603797725184", "798597603797725184")</f>
        <v>0</v>
      </c>
      <c r="B458" s="2">
        <v>42689.7810185185</v>
      </c>
      <c r="C458">
        <v>0</v>
      </c>
      <c r="D458">
        <v>0</v>
      </c>
      <c r="E458" t="s">
        <v>457</v>
      </c>
    </row>
    <row r="459" spans="1:5">
      <c r="A459">
        <f>HYPERLINK("http://www.twitter.com/nyc311/status/798587285902127104", "798587285902127104")</f>
        <v>0</v>
      </c>
      <c r="B459" s="2">
        <v>42689.7525462963</v>
      </c>
      <c r="C459">
        <v>0</v>
      </c>
      <c r="D459">
        <v>0</v>
      </c>
      <c r="E459" t="s">
        <v>458</v>
      </c>
    </row>
    <row r="460" spans="1:5">
      <c r="A460">
        <f>HYPERLINK("http://www.twitter.com/nyc311/status/798581624472555520", "798581624472555520")</f>
        <v>0</v>
      </c>
      <c r="B460" s="2">
        <v>42689.7369212963</v>
      </c>
      <c r="C460">
        <v>0</v>
      </c>
      <c r="D460">
        <v>0</v>
      </c>
      <c r="E460" t="s">
        <v>459</v>
      </c>
    </row>
    <row r="461" spans="1:5">
      <c r="A461">
        <f>HYPERLINK("http://www.twitter.com/nyc311/status/798571838720868352", "798571838720868352")</f>
        <v>0</v>
      </c>
      <c r="B461" s="2">
        <v>42689.7099189815</v>
      </c>
      <c r="C461">
        <v>20</v>
      </c>
      <c r="D461">
        <v>28</v>
      </c>
      <c r="E461" t="s">
        <v>460</v>
      </c>
    </row>
    <row r="462" spans="1:5">
      <c r="A462">
        <f>HYPERLINK("http://www.twitter.com/nyc311/status/798564152176418816", "798564152176418816")</f>
        <v>0</v>
      </c>
      <c r="B462" s="2">
        <v>42689.6887152778</v>
      </c>
      <c r="C462">
        <v>0</v>
      </c>
      <c r="D462">
        <v>0</v>
      </c>
      <c r="E462" t="s">
        <v>461</v>
      </c>
    </row>
    <row r="463" spans="1:5">
      <c r="A463">
        <f>HYPERLINK("http://www.twitter.com/nyc311/status/798563224346095616", "798563224346095616")</f>
        <v>0</v>
      </c>
      <c r="B463" s="2">
        <v>42689.6861458333</v>
      </c>
      <c r="C463">
        <v>0</v>
      </c>
      <c r="D463">
        <v>0</v>
      </c>
      <c r="E463" t="s">
        <v>462</v>
      </c>
    </row>
    <row r="464" spans="1:5">
      <c r="A464">
        <f>HYPERLINK("http://www.twitter.com/nyc311/status/798556641809473536", "798556641809473536")</f>
        <v>0</v>
      </c>
      <c r="B464" s="2">
        <v>42689.6679861111</v>
      </c>
      <c r="C464">
        <v>0</v>
      </c>
      <c r="D464">
        <v>0</v>
      </c>
      <c r="E464" t="s">
        <v>463</v>
      </c>
    </row>
    <row r="465" spans="1:5">
      <c r="A465">
        <f>HYPERLINK("http://www.twitter.com/nyc311/status/798545064188182528", "798545064188182528")</f>
        <v>0</v>
      </c>
      <c r="B465" s="2">
        <v>42689.6360416667</v>
      </c>
      <c r="C465">
        <v>0</v>
      </c>
      <c r="D465">
        <v>0</v>
      </c>
      <c r="E465" t="s">
        <v>464</v>
      </c>
    </row>
    <row r="466" spans="1:5">
      <c r="A466">
        <f>HYPERLINK("http://www.twitter.com/nyc311/status/798542448104525824", "798542448104525824")</f>
        <v>0</v>
      </c>
      <c r="B466" s="2">
        <v>42689.6288194444</v>
      </c>
      <c r="C466">
        <v>0</v>
      </c>
      <c r="D466">
        <v>0</v>
      </c>
      <c r="E466" t="s">
        <v>465</v>
      </c>
    </row>
    <row r="467" spans="1:5">
      <c r="A467">
        <f>HYPERLINK("http://www.twitter.com/nyc311/status/798541184822112256", "798541184822112256")</f>
        <v>0</v>
      </c>
      <c r="B467" s="2">
        <v>42689.6253356481</v>
      </c>
      <c r="C467">
        <v>4</v>
      </c>
      <c r="D467">
        <v>13</v>
      </c>
      <c r="E467" t="s">
        <v>466</v>
      </c>
    </row>
    <row r="468" spans="1:5">
      <c r="A468">
        <f>HYPERLINK("http://www.twitter.com/nyc311/status/798537178976370688", "798537178976370688")</f>
        <v>0</v>
      </c>
      <c r="B468" s="2">
        <v>42689.6142824074</v>
      </c>
      <c r="C468">
        <v>0</v>
      </c>
      <c r="D468">
        <v>0</v>
      </c>
      <c r="E468" t="s">
        <v>467</v>
      </c>
    </row>
    <row r="469" spans="1:5">
      <c r="A469">
        <f>HYPERLINK("http://www.twitter.com/nyc311/status/798536489684660225", "798536489684660225")</f>
        <v>0</v>
      </c>
      <c r="B469" s="2">
        <v>42689.6123726852</v>
      </c>
      <c r="C469">
        <v>0</v>
      </c>
      <c r="D469">
        <v>0</v>
      </c>
      <c r="E469" t="s">
        <v>468</v>
      </c>
    </row>
    <row r="470" spans="1:5">
      <c r="A470">
        <f>HYPERLINK("http://www.twitter.com/nyc311/status/798283398410358788", "798283398410358788")</f>
        <v>0</v>
      </c>
      <c r="B470" s="2">
        <v>42688.9139814815</v>
      </c>
      <c r="C470">
        <v>0</v>
      </c>
      <c r="D470">
        <v>0</v>
      </c>
      <c r="E470" t="s">
        <v>469</v>
      </c>
    </row>
    <row r="471" spans="1:5">
      <c r="A471">
        <f>HYPERLINK("http://www.twitter.com/nyc311/status/798283029261254657", "798283029261254657")</f>
        <v>0</v>
      </c>
      <c r="B471" s="2">
        <v>42688.912962963</v>
      </c>
      <c r="C471">
        <v>0</v>
      </c>
      <c r="D471">
        <v>0</v>
      </c>
      <c r="E471" t="s">
        <v>470</v>
      </c>
    </row>
    <row r="472" spans="1:5">
      <c r="A472">
        <f>HYPERLINK("http://www.twitter.com/nyc311/status/798281560285937664", "798281560285937664")</f>
        <v>0</v>
      </c>
      <c r="B472" s="2">
        <v>42688.908900463</v>
      </c>
      <c r="C472">
        <v>0</v>
      </c>
      <c r="D472">
        <v>0</v>
      </c>
      <c r="E472" t="s">
        <v>471</v>
      </c>
    </row>
    <row r="473" spans="1:5">
      <c r="A473">
        <f>HYPERLINK("http://www.twitter.com/nyc311/status/798280086155890688", "798280086155890688")</f>
        <v>0</v>
      </c>
      <c r="B473" s="2">
        <v>42688.904837963</v>
      </c>
      <c r="C473">
        <v>0</v>
      </c>
      <c r="D473">
        <v>0</v>
      </c>
      <c r="E473" t="s">
        <v>472</v>
      </c>
    </row>
    <row r="474" spans="1:5">
      <c r="A474">
        <f>HYPERLINK("http://www.twitter.com/nyc311/status/798269413568843776", "798269413568843776")</f>
        <v>0</v>
      </c>
      <c r="B474" s="2">
        <v>42688.8753819444</v>
      </c>
      <c r="C474">
        <v>0</v>
      </c>
      <c r="D474">
        <v>1</v>
      </c>
      <c r="E474" t="s">
        <v>473</v>
      </c>
    </row>
    <row r="475" spans="1:5">
      <c r="A475">
        <f>HYPERLINK("http://www.twitter.com/nyc311/status/798251699462926336", "798251699462926336")</f>
        <v>0</v>
      </c>
      <c r="B475" s="2">
        <v>42688.8265046296</v>
      </c>
      <c r="C475">
        <v>1</v>
      </c>
      <c r="D475">
        <v>0</v>
      </c>
      <c r="E475" t="s">
        <v>474</v>
      </c>
    </row>
    <row r="476" spans="1:5">
      <c r="A476">
        <f>HYPERLINK("http://www.twitter.com/nyc311/status/798239729594597377", "798239729594597377")</f>
        <v>0</v>
      </c>
      <c r="B476" s="2">
        <v>42688.7934722222</v>
      </c>
      <c r="C476">
        <v>0</v>
      </c>
      <c r="D476">
        <v>1</v>
      </c>
      <c r="E476" t="s">
        <v>475</v>
      </c>
    </row>
    <row r="477" spans="1:5">
      <c r="A477">
        <f>HYPERLINK("http://www.twitter.com/nyc311/status/798239416040955904", "798239416040955904")</f>
        <v>0</v>
      </c>
      <c r="B477" s="2">
        <v>42688.7926157407</v>
      </c>
      <c r="C477">
        <v>0</v>
      </c>
      <c r="D477">
        <v>1</v>
      </c>
      <c r="E477" t="s">
        <v>476</v>
      </c>
    </row>
    <row r="478" spans="1:5">
      <c r="A478">
        <f>HYPERLINK("http://www.twitter.com/nyc311/status/798238472255442944", "798238472255442944")</f>
        <v>0</v>
      </c>
      <c r="B478" s="2">
        <v>42688.79</v>
      </c>
      <c r="C478">
        <v>0</v>
      </c>
      <c r="D478">
        <v>0</v>
      </c>
      <c r="E478" t="s">
        <v>477</v>
      </c>
    </row>
    <row r="479" spans="1:5">
      <c r="A479">
        <f>HYPERLINK("http://www.twitter.com/nyc311/status/798229929993244672", "798229929993244672")</f>
        <v>0</v>
      </c>
      <c r="B479" s="2">
        <v>42688.7664351852</v>
      </c>
      <c r="C479">
        <v>0</v>
      </c>
      <c r="D479">
        <v>0</v>
      </c>
      <c r="E479" t="s">
        <v>478</v>
      </c>
    </row>
    <row r="480" spans="1:5">
      <c r="A480">
        <f>HYPERLINK("http://www.twitter.com/nyc311/status/798224780142977024", "798224780142977024")</f>
        <v>0</v>
      </c>
      <c r="B480" s="2">
        <v>42688.7522222222</v>
      </c>
      <c r="C480">
        <v>0</v>
      </c>
      <c r="D480">
        <v>0</v>
      </c>
      <c r="E480" t="s">
        <v>479</v>
      </c>
    </row>
    <row r="481" spans="1:5">
      <c r="A481">
        <f>HYPERLINK("http://www.twitter.com/nyc311/status/798224209356931073", "798224209356931073")</f>
        <v>0</v>
      </c>
      <c r="B481" s="2">
        <v>42688.7506481481</v>
      </c>
      <c r="C481">
        <v>2</v>
      </c>
      <c r="D481">
        <v>1</v>
      </c>
      <c r="E481" t="s">
        <v>480</v>
      </c>
    </row>
    <row r="482" spans="1:5">
      <c r="A482">
        <f>HYPERLINK("http://www.twitter.com/nyc311/status/798218537668149248", "798218537668149248")</f>
        <v>0</v>
      </c>
      <c r="B482" s="2">
        <v>42688.735</v>
      </c>
      <c r="C482">
        <v>0</v>
      </c>
      <c r="D482">
        <v>0</v>
      </c>
      <c r="E482" t="s">
        <v>481</v>
      </c>
    </row>
    <row r="483" spans="1:5">
      <c r="A483">
        <f>HYPERLINK("http://www.twitter.com/nyc311/status/798217840511873024", "798217840511873024")</f>
        <v>0</v>
      </c>
      <c r="B483" s="2">
        <v>42688.7330787037</v>
      </c>
      <c r="C483">
        <v>0</v>
      </c>
      <c r="D483">
        <v>0</v>
      </c>
      <c r="E483" t="s">
        <v>482</v>
      </c>
    </row>
    <row r="484" spans="1:5">
      <c r="A484">
        <f>HYPERLINK("http://www.twitter.com/nyc311/status/798217445538459648", "798217445538459648")</f>
        <v>0</v>
      </c>
      <c r="B484" s="2">
        <v>42688.7319791667</v>
      </c>
      <c r="C484">
        <v>1</v>
      </c>
      <c r="D484">
        <v>0</v>
      </c>
      <c r="E484" t="s">
        <v>483</v>
      </c>
    </row>
    <row r="485" spans="1:5">
      <c r="A485">
        <f>HYPERLINK("http://www.twitter.com/nyc311/status/798215316602060800", "798215316602060800")</f>
        <v>0</v>
      </c>
      <c r="B485" s="2">
        <v>42688.7261111111</v>
      </c>
      <c r="C485">
        <v>0</v>
      </c>
      <c r="D485">
        <v>0</v>
      </c>
      <c r="E485" t="s">
        <v>484</v>
      </c>
    </row>
    <row r="486" spans="1:5">
      <c r="A486">
        <f>HYPERLINK("http://www.twitter.com/nyc311/status/798212571731927040", "798212571731927040")</f>
        <v>0</v>
      </c>
      <c r="B486" s="2">
        <v>42688.7185300926</v>
      </c>
      <c r="C486">
        <v>0</v>
      </c>
      <c r="D486">
        <v>0</v>
      </c>
      <c r="E486" t="s">
        <v>485</v>
      </c>
    </row>
    <row r="487" spans="1:5">
      <c r="A487">
        <f>HYPERLINK("http://www.twitter.com/nyc311/status/798209751687409664", "798209751687409664")</f>
        <v>0</v>
      </c>
      <c r="B487" s="2">
        <v>42688.7107523148</v>
      </c>
      <c r="C487">
        <v>1</v>
      </c>
      <c r="D487">
        <v>1</v>
      </c>
      <c r="E487" t="s">
        <v>50</v>
      </c>
    </row>
    <row r="488" spans="1:5">
      <c r="A488">
        <f>HYPERLINK("http://www.twitter.com/nyc311/status/798206349146517505", "798206349146517505")</f>
        <v>0</v>
      </c>
      <c r="B488" s="2">
        <v>42688.7013657407</v>
      </c>
      <c r="C488">
        <v>0</v>
      </c>
      <c r="D488">
        <v>1</v>
      </c>
      <c r="E488" t="s">
        <v>486</v>
      </c>
    </row>
    <row r="489" spans="1:5">
      <c r="A489">
        <f>HYPERLINK("http://www.twitter.com/nyc311/status/798205703081050112", "798205703081050112")</f>
        <v>0</v>
      </c>
      <c r="B489" s="2">
        <v>42688.6995833333</v>
      </c>
      <c r="C489">
        <v>1</v>
      </c>
      <c r="D489">
        <v>0</v>
      </c>
      <c r="E489" t="s">
        <v>487</v>
      </c>
    </row>
    <row r="490" spans="1:5">
      <c r="A490">
        <f>HYPERLINK("http://www.twitter.com/nyc311/status/798202639720783872", "798202639720783872")</f>
        <v>0</v>
      </c>
      <c r="B490" s="2">
        <v>42688.6911226852</v>
      </c>
      <c r="C490">
        <v>0</v>
      </c>
      <c r="D490">
        <v>0</v>
      </c>
      <c r="E490" t="s">
        <v>488</v>
      </c>
    </row>
    <row r="491" spans="1:5">
      <c r="A491">
        <f>HYPERLINK("http://www.twitter.com/nyc311/status/798201947551596544", "798201947551596544")</f>
        <v>0</v>
      </c>
      <c r="B491" s="2">
        <v>42688.689212963</v>
      </c>
      <c r="C491">
        <v>0</v>
      </c>
      <c r="D491">
        <v>0</v>
      </c>
      <c r="E491" t="s">
        <v>489</v>
      </c>
    </row>
    <row r="492" spans="1:5">
      <c r="A492">
        <f>HYPERLINK("http://www.twitter.com/nyc311/status/798201631523373056", "798201631523373056")</f>
        <v>0</v>
      </c>
      <c r="B492" s="2">
        <v>42688.6883449074</v>
      </c>
      <c r="C492">
        <v>0</v>
      </c>
      <c r="D492">
        <v>0</v>
      </c>
      <c r="E492" t="s">
        <v>490</v>
      </c>
    </row>
    <row r="493" spans="1:5">
      <c r="A493">
        <f>HYPERLINK("http://www.twitter.com/nyc311/status/798200103341199361", "798200103341199361")</f>
        <v>0</v>
      </c>
      <c r="B493" s="2">
        <v>42688.6841319444</v>
      </c>
      <c r="C493">
        <v>0</v>
      </c>
      <c r="D493">
        <v>0</v>
      </c>
      <c r="E493" t="s">
        <v>491</v>
      </c>
    </row>
    <row r="494" spans="1:5">
      <c r="A494">
        <f>HYPERLINK("http://www.twitter.com/nyc311/status/798198814108741632", "798198814108741632")</f>
        <v>0</v>
      </c>
      <c r="B494" s="2">
        <v>42688.6805671296</v>
      </c>
      <c r="C494">
        <v>0</v>
      </c>
      <c r="D494">
        <v>0</v>
      </c>
      <c r="E494" t="s">
        <v>492</v>
      </c>
    </row>
    <row r="495" spans="1:5">
      <c r="A495">
        <f>HYPERLINK("http://www.twitter.com/nyc311/status/798197164593778692", "798197164593778692")</f>
        <v>0</v>
      </c>
      <c r="B495" s="2">
        <v>42688.6760185185</v>
      </c>
      <c r="C495">
        <v>1</v>
      </c>
      <c r="D495">
        <v>0</v>
      </c>
      <c r="E495" t="s">
        <v>493</v>
      </c>
    </row>
    <row r="496" spans="1:5">
      <c r="A496">
        <f>HYPERLINK("http://www.twitter.com/nyc311/status/798194425159647232", "798194425159647232")</f>
        <v>0</v>
      </c>
      <c r="B496" s="2">
        <v>42688.6684606482</v>
      </c>
      <c r="C496">
        <v>2</v>
      </c>
      <c r="D496">
        <v>2</v>
      </c>
      <c r="E496" t="s">
        <v>494</v>
      </c>
    </row>
    <row r="497" spans="1:5">
      <c r="A497">
        <f>HYPERLINK("http://www.twitter.com/nyc311/status/798194155323158528", "798194155323158528")</f>
        <v>0</v>
      </c>
      <c r="B497" s="2">
        <v>42688.6677199074</v>
      </c>
      <c r="C497">
        <v>0</v>
      </c>
      <c r="D497">
        <v>0</v>
      </c>
      <c r="E497" t="s">
        <v>495</v>
      </c>
    </row>
    <row r="498" spans="1:5">
      <c r="A498">
        <f>HYPERLINK("http://www.twitter.com/nyc311/status/798192028664340484", "798192028664340484")</f>
        <v>0</v>
      </c>
      <c r="B498" s="2">
        <v>42688.6618402778</v>
      </c>
      <c r="C498">
        <v>0</v>
      </c>
      <c r="D498">
        <v>0</v>
      </c>
      <c r="E498" t="s">
        <v>496</v>
      </c>
    </row>
    <row r="499" spans="1:5">
      <c r="A499">
        <f>HYPERLINK("http://www.twitter.com/nyc311/status/798190282386722817", "798190282386722817")</f>
        <v>0</v>
      </c>
      <c r="B499" s="2">
        <v>42688.657025463</v>
      </c>
      <c r="C499">
        <v>0</v>
      </c>
      <c r="D499">
        <v>0</v>
      </c>
      <c r="E499" t="s">
        <v>497</v>
      </c>
    </row>
    <row r="500" spans="1:5">
      <c r="A500">
        <f>HYPERLINK("http://www.twitter.com/nyc311/status/798189920397430784", "798189920397430784")</f>
        <v>0</v>
      </c>
      <c r="B500" s="2">
        <v>42688.6560300926</v>
      </c>
      <c r="C500">
        <v>0</v>
      </c>
      <c r="D500">
        <v>0</v>
      </c>
      <c r="E500" t="s">
        <v>498</v>
      </c>
    </row>
    <row r="501" spans="1:5">
      <c r="A501">
        <f>HYPERLINK("http://www.twitter.com/nyc311/status/798189786884403200", "798189786884403200")</f>
        <v>0</v>
      </c>
      <c r="B501" s="2">
        <v>42688.6556597222</v>
      </c>
      <c r="C501">
        <v>0</v>
      </c>
      <c r="D501">
        <v>0</v>
      </c>
      <c r="E501" t="s">
        <v>499</v>
      </c>
    </row>
    <row r="502" spans="1:5">
      <c r="A502">
        <f>HYPERLINK("http://www.twitter.com/nyc311/status/798189245743693824", "798189245743693824")</f>
        <v>0</v>
      </c>
      <c r="B502" s="2">
        <v>42688.6541666667</v>
      </c>
      <c r="C502">
        <v>0</v>
      </c>
      <c r="D502">
        <v>0</v>
      </c>
      <c r="E502" t="s">
        <v>500</v>
      </c>
    </row>
    <row r="503" spans="1:5">
      <c r="A503">
        <f>HYPERLINK("http://www.twitter.com/nyc311/status/798188493528854528", "798188493528854528")</f>
        <v>0</v>
      </c>
      <c r="B503" s="2">
        <v>42688.6520949074</v>
      </c>
      <c r="C503">
        <v>1</v>
      </c>
      <c r="D503">
        <v>0</v>
      </c>
      <c r="E503" t="s">
        <v>501</v>
      </c>
    </row>
    <row r="504" spans="1:5">
      <c r="A504">
        <f>HYPERLINK("http://www.twitter.com/nyc311/status/798188385701597184", "798188385701597184")</f>
        <v>0</v>
      </c>
      <c r="B504" s="2">
        <v>42688.6517939815</v>
      </c>
      <c r="C504">
        <v>1</v>
      </c>
      <c r="D504">
        <v>0</v>
      </c>
      <c r="E504" t="s">
        <v>502</v>
      </c>
    </row>
    <row r="505" spans="1:5">
      <c r="A505">
        <f>HYPERLINK("http://www.twitter.com/nyc311/status/798188278319120384", "798188278319120384")</f>
        <v>0</v>
      </c>
      <c r="B505" s="2">
        <v>42688.6514930556</v>
      </c>
      <c r="C505">
        <v>0</v>
      </c>
      <c r="D505">
        <v>0</v>
      </c>
      <c r="E505" t="s">
        <v>503</v>
      </c>
    </row>
    <row r="506" spans="1:5">
      <c r="A506">
        <f>HYPERLINK("http://www.twitter.com/nyc311/status/798187630580137984", "798187630580137984")</f>
        <v>0</v>
      </c>
      <c r="B506" s="2">
        <v>42688.6497106481</v>
      </c>
      <c r="C506">
        <v>0</v>
      </c>
      <c r="D506">
        <v>0</v>
      </c>
      <c r="E506" t="s">
        <v>504</v>
      </c>
    </row>
    <row r="507" spans="1:5">
      <c r="A507">
        <f>HYPERLINK("http://www.twitter.com/nyc311/status/798185421607993344", "798185421607993344")</f>
        <v>0</v>
      </c>
      <c r="B507" s="2">
        <v>42688.6436111111</v>
      </c>
      <c r="C507">
        <v>0</v>
      </c>
      <c r="D507">
        <v>0</v>
      </c>
      <c r="E507" t="s">
        <v>505</v>
      </c>
    </row>
    <row r="508" spans="1:5">
      <c r="A508">
        <f>HYPERLINK("http://www.twitter.com/nyc311/status/798184902352982016", "798184902352982016")</f>
        <v>0</v>
      </c>
      <c r="B508" s="2">
        <v>42688.6421759259</v>
      </c>
      <c r="C508">
        <v>0</v>
      </c>
      <c r="D508">
        <v>0</v>
      </c>
      <c r="E508" t="s">
        <v>506</v>
      </c>
    </row>
    <row r="509" spans="1:5">
      <c r="A509">
        <f>HYPERLINK("http://www.twitter.com/nyc311/status/798184115820380160", "798184115820380160")</f>
        <v>0</v>
      </c>
      <c r="B509" s="2">
        <v>42688.6400115741</v>
      </c>
      <c r="C509">
        <v>0</v>
      </c>
      <c r="D509">
        <v>0</v>
      </c>
      <c r="E509" t="s">
        <v>507</v>
      </c>
    </row>
    <row r="510" spans="1:5">
      <c r="A510">
        <f>HYPERLINK("http://www.twitter.com/nyc311/status/798182814680223745", "798182814680223745")</f>
        <v>0</v>
      </c>
      <c r="B510" s="2">
        <v>42688.6364236111</v>
      </c>
      <c r="C510">
        <v>0</v>
      </c>
      <c r="D510">
        <v>0</v>
      </c>
      <c r="E510" t="s">
        <v>508</v>
      </c>
    </row>
    <row r="511" spans="1:5">
      <c r="A511">
        <f>HYPERLINK("http://www.twitter.com/nyc311/status/798181651419308032", "798181651419308032")</f>
        <v>0</v>
      </c>
      <c r="B511" s="2">
        <v>42688.6332060185</v>
      </c>
      <c r="C511">
        <v>0</v>
      </c>
      <c r="D511">
        <v>0</v>
      </c>
      <c r="E511" t="s">
        <v>509</v>
      </c>
    </row>
    <row r="512" spans="1:5">
      <c r="A512">
        <f>HYPERLINK("http://www.twitter.com/nyc311/status/798181232857255936", "798181232857255936")</f>
        <v>0</v>
      </c>
      <c r="B512" s="2">
        <v>42688.6320601852</v>
      </c>
      <c r="C512">
        <v>0</v>
      </c>
      <c r="D512">
        <v>0</v>
      </c>
      <c r="E512" t="s">
        <v>510</v>
      </c>
    </row>
    <row r="513" spans="1:5">
      <c r="A513">
        <f>HYPERLINK("http://www.twitter.com/nyc311/status/798180882142134272", "798180882142134272")</f>
        <v>0</v>
      </c>
      <c r="B513" s="2">
        <v>42688.631087963</v>
      </c>
      <c r="C513">
        <v>1</v>
      </c>
      <c r="D513">
        <v>0</v>
      </c>
      <c r="E513" t="s">
        <v>511</v>
      </c>
    </row>
    <row r="514" spans="1:5">
      <c r="A514">
        <f>HYPERLINK("http://www.twitter.com/nyc311/status/798180726093049856", "798180726093049856")</f>
        <v>0</v>
      </c>
      <c r="B514" s="2">
        <v>42688.6306597222</v>
      </c>
      <c r="C514">
        <v>0</v>
      </c>
      <c r="D514">
        <v>0</v>
      </c>
      <c r="E514" t="s">
        <v>512</v>
      </c>
    </row>
    <row r="515" spans="1:5">
      <c r="A515">
        <f>HYPERLINK("http://www.twitter.com/nyc311/status/798180356927221760", "798180356927221760")</f>
        <v>0</v>
      </c>
      <c r="B515" s="2">
        <v>42688.6296412037</v>
      </c>
      <c r="C515">
        <v>0</v>
      </c>
      <c r="D515">
        <v>0</v>
      </c>
      <c r="E515" t="s">
        <v>513</v>
      </c>
    </row>
    <row r="516" spans="1:5">
      <c r="A516">
        <f>HYPERLINK("http://www.twitter.com/nyc311/status/798179649331150848", "798179649331150848")</f>
        <v>0</v>
      </c>
      <c r="B516" s="2">
        <v>42688.6276851852</v>
      </c>
      <c r="C516">
        <v>2</v>
      </c>
      <c r="D516">
        <v>0</v>
      </c>
      <c r="E516" t="s">
        <v>514</v>
      </c>
    </row>
    <row r="517" spans="1:5">
      <c r="A517">
        <f>HYPERLINK("http://www.twitter.com/nyc311/status/798179176373243904", "798179176373243904")</f>
        <v>0</v>
      </c>
      <c r="B517" s="2">
        <v>42688.6263773148</v>
      </c>
      <c r="C517">
        <v>0</v>
      </c>
      <c r="D517">
        <v>0</v>
      </c>
      <c r="E517" t="s">
        <v>515</v>
      </c>
    </row>
    <row r="518" spans="1:5">
      <c r="A518">
        <f>HYPERLINK("http://www.twitter.com/nyc311/status/798178987986059264", "798178987986059264")</f>
        <v>0</v>
      </c>
      <c r="B518" s="2">
        <v>42688.6258564815</v>
      </c>
      <c r="C518">
        <v>11</v>
      </c>
      <c r="D518">
        <v>9</v>
      </c>
      <c r="E518" t="s">
        <v>516</v>
      </c>
    </row>
    <row r="519" spans="1:5">
      <c r="A519">
        <f>HYPERLINK("http://www.twitter.com/nyc311/status/798178801368842242", "798178801368842242")</f>
        <v>0</v>
      </c>
      <c r="B519" s="2">
        <v>42688.6253472222</v>
      </c>
      <c r="C519">
        <v>0</v>
      </c>
      <c r="D519">
        <v>0</v>
      </c>
      <c r="E519" t="s">
        <v>517</v>
      </c>
    </row>
    <row r="520" spans="1:5">
      <c r="A520">
        <f>HYPERLINK("http://www.twitter.com/nyc311/status/798178692660924416", "798178692660924416")</f>
        <v>0</v>
      </c>
      <c r="B520" s="2">
        <v>42688.6250462963</v>
      </c>
      <c r="C520">
        <v>0</v>
      </c>
      <c r="D520">
        <v>0</v>
      </c>
      <c r="E520" t="s">
        <v>518</v>
      </c>
    </row>
    <row r="521" spans="1:5">
      <c r="A521">
        <f>HYPERLINK("http://www.twitter.com/nyc311/status/798174739055476736", "798174739055476736")</f>
        <v>0</v>
      </c>
      <c r="B521" s="2">
        <v>42688.6141319444</v>
      </c>
      <c r="C521">
        <v>0</v>
      </c>
      <c r="D521">
        <v>0</v>
      </c>
      <c r="E521" t="s">
        <v>519</v>
      </c>
    </row>
    <row r="522" spans="1:5">
      <c r="A522">
        <f>HYPERLINK("http://www.twitter.com/nyc311/status/797907135107657728", "797907135107657728")</f>
        <v>0</v>
      </c>
      <c r="B522" s="2">
        <v>42687.8756944444</v>
      </c>
      <c r="C522">
        <v>3</v>
      </c>
      <c r="D522">
        <v>2</v>
      </c>
      <c r="E522" t="s">
        <v>520</v>
      </c>
    </row>
    <row r="523" spans="1:5">
      <c r="A523">
        <f>HYPERLINK("http://www.twitter.com/nyc311/status/797877033510535173", "797877033510535173")</f>
        <v>0</v>
      </c>
      <c r="B523" s="2">
        <v>42687.7926273148</v>
      </c>
      <c r="C523">
        <v>3</v>
      </c>
      <c r="D523">
        <v>1</v>
      </c>
      <c r="E523" t="s">
        <v>521</v>
      </c>
    </row>
    <row r="524" spans="1:5">
      <c r="A524">
        <f>HYPERLINK("http://www.twitter.com/nyc311/status/797846904977653760", "797846904977653760")</f>
        <v>0</v>
      </c>
      <c r="B524" s="2">
        <v>42687.7094907407</v>
      </c>
      <c r="C524">
        <v>4</v>
      </c>
      <c r="D524">
        <v>7</v>
      </c>
      <c r="E524" t="s">
        <v>522</v>
      </c>
    </row>
    <row r="525" spans="1:5">
      <c r="A525">
        <f>HYPERLINK("http://www.twitter.com/nyc311/status/797816668126904320", "797816668126904320")</f>
        <v>0</v>
      </c>
      <c r="B525" s="2">
        <v>42687.6260532407</v>
      </c>
      <c r="C525">
        <v>1</v>
      </c>
      <c r="D525">
        <v>3</v>
      </c>
      <c r="E525" t="s">
        <v>523</v>
      </c>
    </row>
    <row r="526" spans="1:5">
      <c r="A526">
        <f>HYPERLINK("http://www.twitter.com/nyc311/status/797544800711036930", "797544800711036930")</f>
        <v>0</v>
      </c>
      <c r="B526" s="2">
        <v>42686.8758333333</v>
      </c>
      <c r="C526">
        <v>3</v>
      </c>
      <c r="D526">
        <v>3</v>
      </c>
      <c r="E526" t="s">
        <v>524</v>
      </c>
    </row>
    <row r="527" spans="1:5">
      <c r="A527">
        <f>HYPERLINK("http://www.twitter.com/nyc311/status/797514681275609089", "797514681275609089")</f>
        <v>0</v>
      </c>
      <c r="B527" s="2">
        <v>42686.7927199074</v>
      </c>
      <c r="C527">
        <v>2</v>
      </c>
      <c r="D527">
        <v>3</v>
      </c>
      <c r="E527" t="s">
        <v>525</v>
      </c>
    </row>
    <row r="528" spans="1:5">
      <c r="A528">
        <f>HYPERLINK("http://www.twitter.com/nyc311/status/797484625346039813", "797484625346039813")</f>
        <v>0</v>
      </c>
      <c r="B528" s="2">
        <v>42686.7097800926</v>
      </c>
      <c r="C528">
        <v>6</v>
      </c>
      <c r="D528">
        <v>3</v>
      </c>
      <c r="E528" t="s">
        <v>526</v>
      </c>
    </row>
    <row r="529" spans="1:5">
      <c r="A529">
        <f>HYPERLINK("http://www.twitter.com/nyc311/status/797454345432399877", "797454345432399877")</f>
        <v>0</v>
      </c>
      <c r="B529" s="2">
        <v>42686.6262268519</v>
      </c>
      <c r="C529">
        <v>2</v>
      </c>
      <c r="D529">
        <v>13</v>
      </c>
      <c r="E529" t="s">
        <v>527</v>
      </c>
    </row>
    <row r="530" spans="1:5">
      <c r="A530">
        <f>HYPERLINK("http://www.twitter.com/nyc311/status/797182586351190016", "797182586351190016")</f>
        <v>0</v>
      </c>
      <c r="B530" s="2">
        <v>42685.8763194444</v>
      </c>
      <c r="C530">
        <v>3</v>
      </c>
      <c r="D530">
        <v>1</v>
      </c>
      <c r="E530" t="s">
        <v>528</v>
      </c>
    </row>
    <row r="531" spans="1:5">
      <c r="A531">
        <f>HYPERLINK("http://www.twitter.com/nyc311/status/797167438018310144", "797167438018310144")</f>
        <v>0</v>
      </c>
      <c r="B531" s="2">
        <v>42685.8345138889</v>
      </c>
      <c r="C531">
        <v>6</v>
      </c>
      <c r="D531">
        <v>5</v>
      </c>
      <c r="E531" t="s">
        <v>529</v>
      </c>
    </row>
    <row r="532" spans="1:5">
      <c r="A532">
        <f>HYPERLINK("http://www.twitter.com/nyc311/status/797122597095936000", "797122597095936000")</f>
        <v>0</v>
      </c>
      <c r="B532" s="2">
        <v>42685.710775463</v>
      </c>
      <c r="C532">
        <v>4</v>
      </c>
      <c r="D532">
        <v>1</v>
      </c>
      <c r="E532" t="s">
        <v>530</v>
      </c>
    </row>
    <row r="533" spans="1:5">
      <c r="A533">
        <f>HYPERLINK("http://www.twitter.com/nyc311/status/797095412196904960", "797095412196904960")</f>
        <v>0</v>
      </c>
      <c r="B533" s="2">
        <v>42685.6357638889</v>
      </c>
      <c r="C533">
        <v>1</v>
      </c>
      <c r="D533">
        <v>0</v>
      </c>
      <c r="E533" t="s">
        <v>531</v>
      </c>
    </row>
    <row r="534" spans="1:5">
      <c r="A534">
        <f>HYPERLINK("http://www.twitter.com/nyc311/status/797092148353110016", "797092148353110016")</f>
        <v>0</v>
      </c>
      <c r="B534" s="2">
        <v>42685.6267592593</v>
      </c>
      <c r="C534">
        <v>5</v>
      </c>
      <c r="D534">
        <v>3</v>
      </c>
      <c r="E534" t="s">
        <v>532</v>
      </c>
    </row>
    <row r="535" spans="1:5">
      <c r="A535">
        <f>HYPERLINK("http://www.twitter.com/nyc311/status/797077045847199744", "797077045847199744")</f>
        <v>0</v>
      </c>
      <c r="B535" s="2">
        <v>42685.5850810185</v>
      </c>
      <c r="C535">
        <v>7</v>
      </c>
      <c r="D535">
        <v>6</v>
      </c>
      <c r="E535" t="s">
        <v>533</v>
      </c>
    </row>
    <row r="536" spans="1:5">
      <c r="A536">
        <f>HYPERLINK("http://www.twitter.com/nyc311/status/797065213480730625", "797065213480730625")</f>
        <v>0</v>
      </c>
      <c r="B536" s="2">
        <v>42685.5524305556</v>
      </c>
      <c r="C536">
        <v>5</v>
      </c>
      <c r="D536">
        <v>2</v>
      </c>
      <c r="E536" t="s">
        <v>534</v>
      </c>
    </row>
    <row r="537" spans="1:5">
      <c r="A537">
        <f>HYPERLINK("http://www.twitter.com/nyc311/status/797061956767248384", "797061956767248384")</f>
        <v>0</v>
      </c>
      <c r="B537" s="2">
        <v>42685.5434375</v>
      </c>
      <c r="C537">
        <v>1</v>
      </c>
      <c r="D537">
        <v>3</v>
      </c>
      <c r="E537" t="s">
        <v>535</v>
      </c>
    </row>
    <row r="538" spans="1:5">
      <c r="A538">
        <f>HYPERLINK("http://www.twitter.com/nyc311/status/797057682133975040", "797057682133975040")</f>
        <v>0</v>
      </c>
      <c r="B538" s="2">
        <v>42685.5316435185</v>
      </c>
      <c r="C538">
        <v>0</v>
      </c>
      <c r="D538">
        <v>1</v>
      </c>
      <c r="E538" t="s">
        <v>536</v>
      </c>
    </row>
    <row r="539" spans="1:5">
      <c r="A539">
        <f>HYPERLINK("http://www.twitter.com/nyc311/status/797054016991719424", "797054016991719424")</f>
        <v>0</v>
      </c>
      <c r="B539" s="2">
        <v>42685.5215277778</v>
      </c>
      <c r="C539">
        <v>2</v>
      </c>
      <c r="D539">
        <v>2</v>
      </c>
      <c r="E539" t="s">
        <v>537</v>
      </c>
    </row>
    <row r="540" spans="1:5">
      <c r="A540">
        <f>HYPERLINK("http://www.twitter.com/nyc311/status/796844383635116032", "796844383635116032")</f>
        <v>0</v>
      </c>
      <c r="B540" s="2">
        <v>42684.9430555556</v>
      </c>
      <c r="C540">
        <v>1</v>
      </c>
      <c r="D540">
        <v>0</v>
      </c>
      <c r="E540" t="s">
        <v>538</v>
      </c>
    </row>
    <row r="541" spans="1:5">
      <c r="A541">
        <f>HYPERLINK("http://www.twitter.com/nyc311/status/796838613740875776", "796838613740875776")</f>
        <v>0</v>
      </c>
      <c r="B541" s="2">
        <v>42684.9271296296</v>
      </c>
      <c r="C541">
        <v>0</v>
      </c>
      <c r="D541">
        <v>0</v>
      </c>
      <c r="E541" t="s">
        <v>539</v>
      </c>
    </row>
    <row r="542" spans="1:5">
      <c r="A542">
        <f>HYPERLINK("http://www.twitter.com/nyc311/status/796836933217517570", "796836933217517570")</f>
        <v>0</v>
      </c>
      <c r="B542" s="2">
        <v>42684.9225</v>
      </c>
      <c r="C542">
        <v>0</v>
      </c>
      <c r="D542">
        <v>0</v>
      </c>
      <c r="E542" t="s">
        <v>540</v>
      </c>
    </row>
    <row r="543" spans="1:5">
      <c r="A543">
        <f>HYPERLINK("http://www.twitter.com/nyc311/status/796822685997264898", "796822685997264898")</f>
        <v>0</v>
      </c>
      <c r="B543" s="2">
        <v>42684.8831828704</v>
      </c>
      <c r="C543">
        <v>1</v>
      </c>
      <c r="D543">
        <v>0</v>
      </c>
      <c r="E543" t="s">
        <v>541</v>
      </c>
    </row>
    <row r="544" spans="1:5">
      <c r="A544">
        <f>HYPERLINK("http://www.twitter.com/nyc311/status/796820267091853312", "796820267091853312")</f>
        <v>0</v>
      </c>
      <c r="B544" s="2">
        <v>42684.8765046296</v>
      </c>
      <c r="C544">
        <v>2</v>
      </c>
      <c r="D544">
        <v>0</v>
      </c>
      <c r="E544" t="s">
        <v>542</v>
      </c>
    </row>
    <row r="545" spans="1:5">
      <c r="A545">
        <f>HYPERLINK("http://www.twitter.com/nyc311/status/796816716449935360", "796816716449935360")</f>
        <v>0</v>
      </c>
      <c r="B545" s="2">
        <v>42684.8667013889</v>
      </c>
      <c r="C545">
        <v>0</v>
      </c>
      <c r="D545">
        <v>0</v>
      </c>
      <c r="E545" t="s">
        <v>543</v>
      </c>
    </row>
    <row r="546" spans="1:5">
      <c r="A546">
        <f>HYPERLINK("http://www.twitter.com/nyc311/status/796794650178813953", "796794650178813953")</f>
        <v>0</v>
      </c>
      <c r="B546" s="2">
        <v>42684.8058101852</v>
      </c>
      <c r="C546">
        <v>0</v>
      </c>
      <c r="D546">
        <v>0</v>
      </c>
      <c r="E546" t="s">
        <v>544</v>
      </c>
    </row>
    <row r="547" spans="1:5">
      <c r="A547">
        <f>HYPERLINK("http://www.twitter.com/nyc311/status/796790888005570560", "796790888005570560")</f>
        <v>0</v>
      </c>
      <c r="B547" s="2">
        <v>42684.7954398148</v>
      </c>
      <c r="C547">
        <v>3</v>
      </c>
      <c r="D547">
        <v>2</v>
      </c>
      <c r="E547" t="s">
        <v>545</v>
      </c>
    </row>
    <row r="548" spans="1:5">
      <c r="A548">
        <f>HYPERLINK("http://www.twitter.com/nyc311/status/796784002199855105", "796784002199855105")</f>
        <v>0</v>
      </c>
      <c r="B548" s="2">
        <v>42684.7764351852</v>
      </c>
      <c r="C548">
        <v>0</v>
      </c>
      <c r="D548">
        <v>0</v>
      </c>
      <c r="E548" t="s">
        <v>546</v>
      </c>
    </row>
    <row r="549" spans="1:5">
      <c r="A549">
        <f>HYPERLINK("http://www.twitter.com/nyc311/status/796783758867361792", "796783758867361792")</f>
        <v>0</v>
      </c>
      <c r="B549" s="2">
        <v>42684.7757638889</v>
      </c>
      <c r="C549">
        <v>0</v>
      </c>
      <c r="D549">
        <v>0</v>
      </c>
      <c r="E549" t="s">
        <v>547</v>
      </c>
    </row>
    <row r="550" spans="1:5">
      <c r="A550">
        <f>HYPERLINK("http://www.twitter.com/nyc311/status/796774891378933760", "796774891378933760")</f>
        <v>0</v>
      </c>
      <c r="B550" s="2">
        <v>42684.7512962963</v>
      </c>
      <c r="C550">
        <v>1</v>
      </c>
      <c r="D550">
        <v>4</v>
      </c>
      <c r="E550" t="s">
        <v>548</v>
      </c>
    </row>
    <row r="551" spans="1:5">
      <c r="A551">
        <f>HYPERLINK("http://www.twitter.com/nyc311/status/796760056507301889", "796760056507301889")</f>
        <v>0</v>
      </c>
      <c r="B551" s="2">
        <v>42684.7103587963</v>
      </c>
      <c r="C551">
        <v>0</v>
      </c>
      <c r="D551">
        <v>4</v>
      </c>
      <c r="E551" t="s">
        <v>549</v>
      </c>
    </row>
    <row r="552" spans="1:5">
      <c r="A552">
        <f>HYPERLINK("http://www.twitter.com/nyc311/status/796757875972571136", "796757875972571136")</f>
        <v>0</v>
      </c>
      <c r="B552" s="2">
        <v>42684.7043402778</v>
      </c>
      <c r="C552">
        <v>0</v>
      </c>
      <c r="D552">
        <v>0</v>
      </c>
      <c r="E552" t="s">
        <v>550</v>
      </c>
    </row>
    <row r="553" spans="1:5">
      <c r="A553">
        <f>HYPERLINK("http://www.twitter.com/nyc311/status/796741729055600640", "796741729055600640")</f>
        <v>0</v>
      </c>
      <c r="B553" s="2">
        <v>42684.6597800926</v>
      </c>
      <c r="C553">
        <v>0</v>
      </c>
      <c r="D553">
        <v>0</v>
      </c>
      <c r="E553" t="s">
        <v>551</v>
      </c>
    </row>
    <row r="554" spans="1:5">
      <c r="A554">
        <f>HYPERLINK("http://www.twitter.com/nyc311/status/796741073280389120", "796741073280389120")</f>
        <v>0</v>
      </c>
      <c r="B554" s="2">
        <v>42684.657974537</v>
      </c>
      <c r="C554">
        <v>0</v>
      </c>
      <c r="D554">
        <v>0</v>
      </c>
      <c r="E554" t="s">
        <v>552</v>
      </c>
    </row>
    <row r="555" spans="1:5">
      <c r="A555">
        <f>HYPERLINK("http://www.twitter.com/nyc311/status/796739000518250496", "796739000518250496")</f>
        <v>0</v>
      </c>
      <c r="B555" s="2">
        <v>42684.6522569444</v>
      </c>
      <c r="C555">
        <v>0</v>
      </c>
      <c r="D555">
        <v>0</v>
      </c>
      <c r="E555" t="s">
        <v>553</v>
      </c>
    </row>
    <row r="556" spans="1:5">
      <c r="A556">
        <f>HYPERLINK("http://www.twitter.com/nyc311/status/796738668710993921", "796738668710993921")</f>
        <v>0</v>
      </c>
      <c r="B556" s="2">
        <v>42684.6513310185</v>
      </c>
      <c r="C556">
        <v>0</v>
      </c>
      <c r="D556">
        <v>0</v>
      </c>
      <c r="E556" t="s">
        <v>554</v>
      </c>
    </row>
    <row r="557" spans="1:5">
      <c r="A557">
        <f>HYPERLINK("http://www.twitter.com/nyc311/status/796736633575981057", "796736633575981057")</f>
        <v>0</v>
      </c>
      <c r="B557" s="2">
        <v>42684.6457175926</v>
      </c>
      <c r="C557">
        <v>2</v>
      </c>
      <c r="D557">
        <v>0</v>
      </c>
      <c r="E557" t="s">
        <v>555</v>
      </c>
    </row>
    <row r="558" spans="1:5">
      <c r="A558">
        <f>HYPERLINK("http://www.twitter.com/nyc311/status/796734448867962880", "796734448867962880")</f>
        <v>0</v>
      </c>
      <c r="B558" s="2">
        <v>42684.6396875</v>
      </c>
      <c r="C558">
        <v>0</v>
      </c>
      <c r="D558">
        <v>0</v>
      </c>
      <c r="E558" t="s">
        <v>556</v>
      </c>
    </row>
    <row r="559" spans="1:5">
      <c r="A559">
        <f>HYPERLINK("http://www.twitter.com/nyc311/status/796729695538737152", "796729695538737152")</f>
        <v>0</v>
      </c>
      <c r="B559" s="2">
        <v>42684.6265740741</v>
      </c>
      <c r="C559">
        <v>7</v>
      </c>
      <c r="D559">
        <v>4</v>
      </c>
      <c r="E559" t="s">
        <v>557</v>
      </c>
    </row>
    <row r="560" spans="1:5">
      <c r="A560">
        <f>HYPERLINK("http://www.twitter.com/nyc311/status/796469752583614464", "796469752583614464")</f>
        <v>0</v>
      </c>
      <c r="B560" s="2">
        <v>42683.9092708333</v>
      </c>
      <c r="C560">
        <v>0</v>
      </c>
      <c r="D560">
        <v>0</v>
      </c>
      <c r="E560" t="s">
        <v>558</v>
      </c>
    </row>
    <row r="561" spans="1:5">
      <c r="A561">
        <f>HYPERLINK("http://www.twitter.com/nyc311/status/796457801656782850", "796457801656782850")</f>
        <v>0</v>
      </c>
      <c r="B561" s="2">
        <v>42683.8762962963</v>
      </c>
      <c r="C561">
        <v>0</v>
      </c>
      <c r="D561">
        <v>0</v>
      </c>
      <c r="E561" t="s">
        <v>559</v>
      </c>
    </row>
    <row r="562" spans="1:5">
      <c r="A562">
        <f>HYPERLINK("http://www.twitter.com/nyc311/status/796427765402791936", "796427765402791936")</f>
        <v>0</v>
      </c>
      <c r="B562" s="2">
        <v>42683.7934027778</v>
      </c>
      <c r="C562">
        <v>11</v>
      </c>
      <c r="D562">
        <v>13</v>
      </c>
      <c r="E562" t="s">
        <v>560</v>
      </c>
    </row>
    <row r="563" spans="1:5">
      <c r="A563">
        <f>HYPERLINK("http://www.twitter.com/nyc311/status/796421367700787202", "796421367700787202")</f>
        <v>0</v>
      </c>
      <c r="B563" s="2">
        <v>42683.7757523148</v>
      </c>
      <c r="C563">
        <v>0</v>
      </c>
      <c r="D563">
        <v>0</v>
      </c>
      <c r="E563" t="s">
        <v>561</v>
      </c>
    </row>
    <row r="564" spans="1:5">
      <c r="A564">
        <f>HYPERLINK("http://www.twitter.com/nyc311/status/796418968588320772", "796418968588320772")</f>
        <v>0</v>
      </c>
      <c r="B564" s="2">
        <v>42683.7691319444</v>
      </c>
      <c r="C564">
        <v>0</v>
      </c>
      <c r="D564">
        <v>0</v>
      </c>
      <c r="E564" t="s">
        <v>562</v>
      </c>
    </row>
    <row r="565" spans="1:5">
      <c r="A565">
        <f>HYPERLINK("http://www.twitter.com/nyc311/status/796418844415950869", "796418844415950869")</f>
        <v>0</v>
      </c>
      <c r="B565" s="2">
        <v>42683.7687847222</v>
      </c>
      <c r="C565">
        <v>1</v>
      </c>
      <c r="D565">
        <v>0</v>
      </c>
      <c r="E565" t="s">
        <v>563</v>
      </c>
    </row>
    <row r="566" spans="1:5">
      <c r="A566">
        <f>HYPERLINK("http://www.twitter.com/nyc311/status/796412554457317377", "796412554457317377")</f>
        <v>0</v>
      </c>
      <c r="B566" s="2">
        <v>42683.7514351852</v>
      </c>
      <c r="C566">
        <v>5</v>
      </c>
      <c r="D566">
        <v>3</v>
      </c>
      <c r="E566" t="s">
        <v>564</v>
      </c>
    </row>
    <row r="567" spans="1:5">
      <c r="A567">
        <f>HYPERLINK("http://www.twitter.com/nyc311/status/796411220790222848", "796411220790222848")</f>
        <v>0</v>
      </c>
      <c r="B567" s="2">
        <v>42683.7477546296</v>
      </c>
      <c r="C567">
        <v>0</v>
      </c>
      <c r="D567">
        <v>0</v>
      </c>
      <c r="E567" t="s">
        <v>565</v>
      </c>
    </row>
    <row r="568" spans="1:5">
      <c r="A568">
        <f>HYPERLINK("http://www.twitter.com/nyc311/status/796410814748098560", "796410814748098560")</f>
        <v>0</v>
      </c>
      <c r="B568" s="2">
        <v>42683.7466319444</v>
      </c>
      <c r="C568">
        <v>0</v>
      </c>
      <c r="D568">
        <v>0</v>
      </c>
      <c r="E568" t="s">
        <v>566</v>
      </c>
    </row>
    <row r="569" spans="1:5">
      <c r="A569">
        <f>HYPERLINK("http://www.twitter.com/nyc311/status/796398531225485313", "796398531225485313")</f>
        <v>0</v>
      </c>
      <c r="B569" s="2">
        <v>42683.7127314815</v>
      </c>
      <c r="C569">
        <v>0</v>
      </c>
      <c r="D569">
        <v>0</v>
      </c>
      <c r="E569" t="s">
        <v>567</v>
      </c>
    </row>
    <row r="570" spans="1:5">
      <c r="A570">
        <f>HYPERLINK("http://www.twitter.com/nyc311/status/796397756139110400", "796397756139110400")</f>
        <v>0</v>
      </c>
      <c r="B570" s="2">
        <v>42683.7106018519</v>
      </c>
      <c r="C570">
        <v>3</v>
      </c>
      <c r="D570">
        <v>6</v>
      </c>
      <c r="E570" t="s">
        <v>568</v>
      </c>
    </row>
    <row r="571" spans="1:5">
      <c r="A571">
        <f>HYPERLINK("http://www.twitter.com/nyc311/status/796394753696952320", "796394753696952320")</f>
        <v>0</v>
      </c>
      <c r="B571" s="2">
        <v>42683.7023148148</v>
      </c>
      <c r="C571">
        <v>0</v>
      </c>
      <c r="D571">
        <v>0</v>
      </c>
      <c r="E571" t="s">
        <v>569</v>
      </c>
    </row>
    <row r="572" spans="1:5">
      <c r="A572">
        <f>HYPERLINK("http://www.twitter.com/nyc311/status/796394617486839808", "796394617486839808")</f>
        <v>0</v>
      </c>
      <c r="B572" s="2">
        <v>42683.7019328704</v>
      </c>
      <c r="C572">
        <v>0</v>
      </c>
      <c r="D572">
        <v>0</v>
      </c>
      <c r="E572" t="s">
        <v>570</v>
      </c>
    </row>
    <row r="573" spans="1:5">
      <c r="A573">
        <f>HYPERLINK("http://www.twitter.com/nyc311/status/796393530101039108", "796393530101039108")</f>
        <v>0</v>
      </c>
      <c r="B573" s="2">
        <v>42683.6989351852</v>
      </c>
      <c r="C573">
        <v>0</v>
      </c>
      <c r="D573">
        <v>0</v>
      </c>
      <c r="E573" t="s">
        <v>571</v>
      </c>
    </row>
    <row r="574" spans="1:5">
      <c r="A574">
        <f>HYPERLINK("http://www.twitter.com/nyc311/status/796387122366283776", "796387122366283776")</f>
        <v>0</v>
      </c>
      <c r="B574" s="2">
        <v>42683.68125</v>
      </c>
      <c r="C574">
        <v>0</v>
      </c>
      <c r="D574">
        <v>0</v>
      </c>
      <c r="E574" t="s">
        <v>572</v>
      </c>
    </row>
    <row r="575" spans="1:5">
      <c r="A575">
        <f>HYPERLINK("http://www.twitter.com/nyc311/status/796386187023974401", "796386187023974401")</f>
        <v>0</v>
      </c>
      <c r="B575" s="2">
        <v>42683.6786689815</v>
      </c>
      <c r="C575">
        <v>1</v>
      </c>
      <c r="D575">
        <v>0</v>
      </c>
      <c r="E575" t="s">
        <v>573</v>
      </c>
    </row>
    <row r="576" spans="1:5">
      <c r="A576">
        <f>HYPERLINK("http://www.twitter.com/nyc311/status/796385656176046082", "796385656176046082")</f>
        <v>0</v>
      </c>
      <c r="B576" s="2">
        <v>42683.6772106482</v>
      </c>
      <c r="C576">
        <v>0</v>
      </c>
      <c r="D576">
        <v>0</v>
      </c>
      <c r="E576" t="s">
        <v>574</v>
      </c>
    </row>
    <row r="577" spans="1:5">
      <c r="A577">
        <f>HYPERLINK("http://www.twitter.com/nyc311/status/796385293108645888", "796385293108645888")</f>
        <v>0</v>
      </c>
      <c r="B577" s="2">
        <v>42683.6762037037</v>
      </c>
      <c r="C577">
        <v>0</v>
      </c>
      <c r="D577">
        <v>0</v>
      </c>
      <c r="E577" t="s">
        <v>575</v>
      </c>
    </row>
    <row r="578" spans="1:5">
      <c r="A578">
        <f>HYPERLINK("http://www.twitter.com/nyc311/status/796381865099874304", "796381865099874304")</f>
        <v>0</v>
      </c>
      <c r="B578" s="2">
        <v>42683.6667476852</v>
      </c>
      <c r="C578">
        <v>0</v>
      </c>
      <c r="D578">
        <v>0</v>
      </c>
      <c r="E578" t="s">
        <v>576</v>
      </c>
    </row>
    <row r="579" spans="1:5">
      <c r="A579">
        <f>HYPERLINK("http://www.twitter.com/nyc311/status/796381687529799684", "796381687529799684")</f>
        <v>0</v>
      </c>
      <c r="B579" s="2">
        <v>42683.6662615741</v>
      </c>
      <c r="C579">
        <v>0</v>
      </c>
      <c r="D579">
        <v>0</v>
      </c>
      <c r="E579" t="s">
        <v>577</v>
      </c>
    </row>
    <row r="580" spans="1:5">
      <c r="A580">
        <f>HYPERLINK("http://www.twitter.com/nyc311/status/796381262445428736", "796381262445428736")</f>
        <v>0</v>
      </c>
      <c r="B580" s="2">
        <v>42683.6650810185</v>
      </c>
      <c r="C580">
        <v>0</v>
      </c>
      <c r="D580">
        <v>0</v>
      </c>
      <c r="E580" t="s">
        <v>578</v>
      </c>
    </row>
    <row r="581" spans="1:5">
      <c r="A581">
        <f>HYPERLINK("http://www.twitter.com/nyc311/status/796380739965173760", "796380739965173760")</f>
        <v>0</v>
      </c>
      <c r="B581" s="2">
        <v>42683.6636458333</v>
      </c>
      <c r="C581">
        <v>0</v>
      </c>
      <c r="D581">
        <v>0</v>
      </c>
      <c r="E581" t="s">
        <v>579</v>
      </c>
    </row>
    <row r="582" spans="1:5">
      <c r="A582">
        <f>HYPERLINK("http://www.twitter.com/nyc311/status/796380311919718400", "796380311919718400")</f>
        <v>0</v>
      </c>
      <c r="B582" s="2">
        <v>42683.6624652778</v>
      </c>
      <c r="C582">
        <v>0</v>
      </c>
      <c r="D582">
        <v>0</v>
      </c>
      <c r="E582" t="s">
        <v>580</v>
      </c>
    </row>
    <row r="583" spans="1:5">
      <c r="A583">
        <f>HYPERLINK("http://www.twitter.com/nyc311/status/796377459549736961", "796377459549736961")</f>
        <v>0</v>
      </c>
      <c r="B583" s="2">
        <v>42683.6545833333</v>
      </c>
      <c r="C583">
        <v>0</v>
      </c>
      <c r="D583">
        <v>0</v>
      </c>
      <c r="E583" t="s">
        <v>581</v>
      </c>
    </row>
    <row r="584" spans="1:5">
      <c r="A584">
        <f>HYPERLINK("http://www.twitter.com/nyc311/status/796377137431400448", "796377137431400448")</f>
        <v>0</v>
      </c>
      <c r="B584" s="2">
        <v>42683.6537037037</v>
      </c>
      <c r="C584">
        <v>0</v>
      </c>
      <c r="D584">
        <v>0</v>
      </c>
      <c r="E584" t="s">
        <v>582</v>
      </c>
    </row>
    <row r="585" spans="1:5">
      <c r="A585">
        <f>HYPERLINK("http://www.twitter.com/nyc311/status/796375919510388737", "796375919510388737")</f>
        <v>0</v>
      </c>
      <c r="B585" s="2">
        <v>42683.6503356481</v>
      </c>
      <c r="C585">
        <v>0</v>
      </c>
      <c r="D585">
        <v>0</v>
      </c>
      <c r="E585" t="s">
        <v>583</v>
      </c>
    </row>
    <row r="586" spans="1:5">
      <c r="A586">
        <f>HYPERLINK("http://www.twitter.com/nyc311/status/796374723902996481", "796374723902996481")</f>
        <v>0</v>
      </c>
      <c r="B586" s="2">
        <v>42683.647037037</v>
      </c>
      <c r="C586">
        <v>0</v>
      </c>
      <c r="D586">
        <v>0</v>
      </c>
      <c r="E586" t="s">
        <v>584</v>
      </c>
    </row>
    <row r="587" spans="1:5">
      <c r="A587">
        <f>HYPERLINK("http://www.twitter.com/nyc311/status/796373922145071104", "796373922145071104")</f>
        <v>0</v>
      </c>
      <c r="B587" s="2">
        <v>42683.6448263889</v>
      </c>
      <c r="C587">
        <v>1</v>
      </c>
      <c r="D587">
        <v>0</v>
      </c>
      <c r="E587" t="s">
        <v>585</v>
      </c>
    </row>
    <row r="588" spans="1:5">
      <c r="A588">
        <f>HYPERLINK("http://www.twitter.com/nyc311/status/796371670688743424", "796371670688743424")</f>
        <v>0</v>
      </c>
      <c r="B588" s="2">
        <v>42683.6386111111</v>
      </c>
      <c r="C588">
        <v>0</v>
      </c>
      <c r="D588">
        <v>0</v>
      </c>
      <c r="E588" t="s">
        <v>586</v>
      </c>
    </row>
    <row r="589" spans="1:5">
      <c r="A589">
        <f>HYPERLINK("http://www.twitter.com/nyc311/status/796370604211503104", "796370604211503104")</f>
        <v>0</v>
      </c>
      <c r="B589" s="2">
        <v>42683.6356712963</v>
      </c>
      <c r="C589">
        <v>0</v>
      </c>
      <c r="D589">
        <v>0</v>
      </c>
      <c r="E589" t="s">
        <v>587</v>
      </c>
    </row>
    <row r="590" spans="1:5">
      <c r="A590">
        <f>HYPERLINK("http://www.twitter.com/nyc311/status/796370027410767872", "796370027410767872")</f>
        <v>0</v>
      </c>
      <c r="B590" s="2">
        <v>42683.6340856481</v>
      </c>
      <c r="C590">
        <v>0</v>
      </c>
      <c r="D590">
        <v>0</v>
      </c>
      <c r="E590" t="s">
        <v>588</v>
      </c>
    </row>
    <row r="591" spans="1:5">
      <c r="A591">
        <f>HYPERLINK("http://www.twitter.com/nyc311/status/796367495842201600", "796367495842201600")</f>
        <v>0</v>
      </c>
      <c r="B591" s="2">
        <v>42683.6270949074</v>
      </c>
      <c r="C591">
        <v>3</v>
      </c>
      <c r="D591">
        <v>4</v>
      </c>
      <c r="E591" t="s">
        <v>589</v>
      </c>
    </row>
    <row r="592" spans="1:5">
      <c r="A592">
        <f>HYPERLINK("http://www.twitter.com/nyc311/status/796364876079919104", "796364876079919104")</f>
        <v>0</v>
      </c>
      <c r="B592" s="2">
        <v>42683.6198611111</v>
      </c>
      <c r="C592">
        <v>0</v>
      </c>
      <c r="D592">
        <v>0</v>
      </c>
      <c r="E592" t="s">
        <v>590</v>
      </c>
    </row>
    <row r="593" spans="1:5">
      <c r="A593">
        <f>HYPERLINK("http://www.twitter.com/nyc311/status/796364835474866180", "796364835474866180")</f>
        <v>0</v>
      </c>
      <c r="B593" s="2">
        <v>42683.6197569444</v>
      </c>
      <c r="C593">
        <v>0</v>
      </c>
      <c r="D593">
        <v>0</v>
      </c>
      <c r="E593" t="s">
        <v>591</v>
      </c>
    </row>
    <row r="594" spans="1:5">
      <c r="A594">
        <f>HYPERLINK("http://www.twitter.com/nyc311/status/796364788494467072", "796364788494467072")</f>
        <v>0</v>
      </c>
      <c r="B594" s="2">
        <v>42683.6196180556</v>
      </c>
      <c r="C594">
        <v>0</v>
      </c>
      <c r="D594">
        <v>0</v>
      </c>
      <c r="E594" t="s">
        <v>592</v>
      </c>
    </row>
    <row r="595" spans="1:5">
      <c r="A595">
        <f>HYPERLINK("http://www.twitter.com/nyc311/status/796364352714604544", "796364352714604544")</f>
        <v>0</v>
      </c>
      <c r="B595" s="2">
        <v>42683.6184259259</v>
      </c>
      <c r="C595">
        <v>0</v>
      </c>
      <c r="D595">
        <v>0</v>
      </c>
      <c r="E595" t="s">
        <v>593</v>
      </c>
    </row>
    <row r="596" spans="1:5">
      <c r="A596">
        <f>HYPERLINK("http://www.twitter.com/nyc311/status/796358332143505408", "796358332143505408")</f>
        <v>0</v>
      </c>
      <c r="B596" s="2">
        <v>42683.6018055556</v>
      </c>
      <c r="C596">
        <v>1</v>
      </c>
      <c r="D596">
        <v>0</v>
      </c>
      <c r="E596" t="s">
        <v>594</v>
      </c>
    </row>
    <row r="597" spans="1:5">
      <c r="A597">
        <f>HYPERLINK("http://www.twitter.com/nyc311/status/796125332172578816", "796125332172578816")</f>
        <v>0</v>
      </c>
      <c r="B597" s="2">
        <v>42682.9588541667</v>
      </c>
      <c r="C597">
        <v>9</v>
      </c>
      <c r="D597">
        <v>14</v>
      </c>
      <c r="E597" t="s">
        <v>595</v>
      </c>
    </row>
    <row r="598" spans="1:5">
      <c r="A598">
        <f>HYPERLINK("http://www.twitter.com/nyc311/status/796110248138379264", "796110248138379264")</f>
        <v>0</v>
      </c>
      <c r="B598" s="2">
        <v>42682.9172222222</v>
      </c>
      <c r="C598">
        <v>1</v>
      </c>
      <c r="D598">
        <v>3</v>
      </c>
      <c r="E598" t="s">
        <v>596</v>
      </c>
    </row>
    <row r="599" spans="1:5">
      <c r="A599">
        <f>HYPERLINK("http://www.twitter.com/nyc311/status/796095455671238656", "796095455671238656")</f>
        <v>0</v>
      </c>
      <c r="B599" s="2">
        <v>42682.876412037</v>
      </c>
      <c r="C599">
        <v>6</v>
      </c>
      <c r="D599">
        <v>10</v>
      </c>
      <c r="E599" t="s">
        <v>597</v>
      </c>
    </row>
    <row r="600" spans="1:5">
      <c r="A600">
        <f>HYPERLINK("http://www.twitter.com/nyc311/status/796065278392209409", "796065278392209409")</f>
        <v>0</v>
      </c>
      <c r="B600" s="2">
        <v>42682.7931365741</v>
      </c>
      <c r="C600">
        <v>3</v>
      </c>
      <c r="D600">
        <v>1</v>
      </c>
      <c r="E600" t="s">
        <v>598</v>
      </c>
    </row>
    <row r="601" spans="1:5">
      <c r="A601">
        <f>HYPERLINK("http://www.twitter.com/nyc311/status/796057316940533760", "796057316940533760")</f>
        <v>0</v>
      </c>
      <c r="B601" s="2">
        <v>42682.7711689815</v>
      </c>
      <c r="C601">
        <v>0</v>
      </c>
      <c r="D601">
        <v>2</v>
      </c>
      <c r="E601" t="s">
        <v>599</v>
      </c>
    </row>
    <row r="602" spans="1:5">
      <c r="A602">
        <f>HYPERLINK("http://www.twitter.com/nyc311/status/796035211851087872", "796035211851087872")</f>
        <v>0</v>
      </c>
      <c r="B602" s="2">
        <v>42682.710162037</v>
      </c>
      <c r="C602">
        <v>7</v>
      </c>
      <c r="D602">
        <v>11</v>
      </c>
      <c r="E602" t="s">
        <v>600</v>
      </c>
    </row>
    <row r="603" spans="1:5">
      <c r="A603">
        <f>HYPERLINK("http://www.twitter.com/nyc311/status/796008268963479552", "796008268963479552")</f>
        <v>0</v>
      </c>
      <c r="B603" s="2">
        <v>42682.6358217593</v>
      </c>
      <c r="C603">
        <v>3</v>
      </c>
      <c r="D603">
        <v>3</v>
      </c>
      <c r="E603" t="s">
        <v>601</v>
      </c>
    </row>
    <row r="604" spans="1:5">
      <c r="A604">
        <f>HYPERLINK("http://www.twitter.com/nyc311/status/796005021485768705", "796005021485768705")</f>
        <v>0</v>
      </c>
      <c r="B604" s="2">
        <v>42682.6268518519</v>
      </c>
      <c r="C604">
        <v>8</v>
      </c>
      <c r="D604">
        <v>10</v>
      </c>
      <c r="E604" t="s">
        <v>602</v>
      </c>
    </row>
    <row r="605" spans="1:5">
      <c r="A605">
        <f>HYPERLINK("http://www.twitter.com/nyc311/status/795978070415048705", "795978070415048705")</f>
        <v>0</v>
      </c>
      <c r="B605" s="2">
        <v>42682.5524884259</v>
      </c>
      <c r="C605">
        <v>2</v>
      </c>
      <c r="D605">
        <v>1</v>
      </c>
      <c r="E605" t="s">
        <v>603</v>
      </c>
    </row>
    <row r="606" spans="1:5">
      <c r="A606">
        <f>HYPERLINK("http://www.twitter.com/nyc311/status/795974770680614912", "795974770680614912")</f>
        <v>0</v>
      </c>
      <c r="B606" s="2">
        <v>42682.5433796296</v>
      </c>
      <c r="C606">
        <v>0</v>
      </c>
      <c r="D606">
        <v>3</v>
      </c>
      <c r="E606" t="s">
        <v>604</v>
      </c>
    </row>
    <row r="607" spans="1:5">
      <c r="A607">
        <f>HYPERLINK("http://www.twitter.com/nyc311/status/795970479861460992", "795970479861460992")</f>
        <v>0</v>
      </c>
      <c r="B607" s="2">
        <v>42682.5315393519</v>
      </c>
      <c r="C607">
        <v>0</v>
      </c>
      <c r="D607">
        <v>0</v>
      </c>
      <c r="E607" t="s">
        <v>605</v>
      </c>
    </row>
    <row r="608" spans="1:5">
      <c r="A608">
        <f>HYPERLINK("http://www.twitter.com/nyc311/status/795966892695580672", "795966892695580672")</f>
        <v>0</v>
      </c>
      <c r="B608" s="2">
        <v>42682.5216435185</v>
      </c>
      <c r="C608">
        <v>2</v>
      </c>
      <c r="D608">
        <v>3</v>
      </c>
      <c r="E608" t="s">
        <v>606</v>
      </c>
    </row>
    <row r="609" spans="1:5">
      <c r="A609">
        <f>HYPERLINK("http://www.twitter.com/nyc311/status/795947828552077312", "795947828552077312")</f>
        <v>0</v>
      </c>
      <c r="B609" s="2">
        <v>42682.4690277778</v>
      </c>
      <c r="C609">
        <v>2</v>
      </c>
      <c r="D609">
        <v>2</v>
      </c>
      <c r="E609" t="s">
        <v>607</v>
      </c>
    </row>
    <row r="610" spans="1:5">
      <c r="A610">
        <f>HYPERLINK("http://www.twitter.com/nyc311/status/795944336244572160", "795944336244572160")</f>
        <v>0</v>
      </c>
      <c r="B610" s="2">
        <v>42682.4593981481</v>
      </c>
      <c r="C610">
        <v>7</v>
      </c>
      <c r="D610">
        <v>10</v>
      </c>
      <c r="E610" t="s">
        <v>608</v>
      </c>
    </row>
    <row r="611" spans="1:5">
      <c r="A611">
        <f>HYPERLINK("http://www.twitter.com/nyc311/status/795748075608436736", "795748075608436736")</f>
        <v>0</v>
      </c>
      <c r="B611" s="2">
        <v>42681.9178240741</v>
      </c>
      <c r="C611">
        <v>3</v>
      </c>
      <c r="D611">
        <v>3</v>
      </c>
      <c r="E611" t="s">
        <v>609</v>
      </c>
    </row>
    <row r="612" spans="1:5">
      <c r="A612">
        <f>HYPERLINK("http://www.twitter.com/nyc311/status/795742527458512897", "795742527458512897")</f>
        <v>0</v>
      </c>
      <c r="B612" s="2">
        <v>42681.9025115741</v>
      </c>
      <c r="C612">
        <v>0</v>
      </c>
      <c r="D612">
        <v>0</v>
      </c>
      <c r="E612" t="s">
        <v>610</v>
      </c>
    </row>
    <row r="613" spans="1:5">
      <c r="A613">
        <f>HYPERLINK("http://www.twitter.com/nyc311/status/795741950196547584", "795741950196547584")</f>
        <v>0</v>
      </c>
      <c r="B613" s="2">
        <v>42681.9009143518</v>
      </c>
      <c r="C613">
        <v>1</v>
      </c>
      <c r="D613">
        <v>1</v>
      </c>
      <c r="E613" t="s">
        <v>611</v>
      </c>
    </row>
    <row r="614" spans="1:5">
      <c r="A614">
        <f>HYPERLINK("http://www.twitter.com/nyc311/status/795736455314337792", "795736455314337792")</f>
        <v>0</v>
      </c>
      <c r="B614" s="2">
        <v>42681.8857523148</v>
      </c>
      <c r="C614">
        <v>0</v>
      </c>
      <c r="D614">
        <v>0</v>
      </c>
      <c r="E614" t="s">
        <v>612</v>
      </c>
    </row>
    <row r="615" spans="1:5">
      <c r="A615">
        <f>HYPERLINK("http://www.twitter.com/nyc311/status/795732943687876608", "795732943687876608")</f>
        <v>0</v>
      </c>
      <c r="B615" s="2">
        <v>42681.8760648148</v>
      </c>
      <c r="C615">
        <v>0</v>
      </c>
      <c r="D615">
        <v>1</v>
      </c>
      <c r="E615" t="s">
        <v>613</v>
      </c>
    </row>
    <row r="616" spans="1:5">
      <c r="A616">
        <f>HYPERLINK("http://www.twitter.com/nyc311/status/795718133852016644", "795718133852016644")</f>
        <v>0</v>
      </c>
      <c r="B616" s="2">
        <v>42681.8351967593</v>
      </c>
      <c r="C616">
        <v>0</v>
      </c>
      <c r="D616">
        <v>1</v>
      </c>
      <c r="E616" t="s">
        <v>614</v>
      </c>
    </row>
    <row r="617" spans="1:5">
      <c r="A617">
        <f>HYPERLINK("http://www.twitter.com/nyc311/status/795702944679202816", "795702944679202816")</f>
        <v>0</v>
      </c>
      <c r="B617" s="2">
        <v>42681.793287037</v>
      </c>
      <c r="C617">
        <v>6</v>
      </c>
      <c r="D617">
        <v>2</v>
      </c>
      <c r="E617" t="s">
        <v>615</v>
      </c>
    </row>
    <row r="618" spans="1:5">
      <c r="A618">
        <f>HYPERLINK("http://www.twitter.com/nyc311/status/795687716977594370", "795687716977594370")</f>
        <v>0</v>
      </c>
      <c r="B618" s="2">
        <v>42681.7512615741</v>
      </c>
      <c r="C618">
        <v>4</v>
      </c>
      <c r="D618">
        <v>2</v>
      </c>
      <c r="E618" t="s">
        <v>616</v>
      </c>
    </row>
    <row r="619" spans="1:5">
      <c r="A619">
        <f>HYPERLINK("http://www.twitter.com/nyc311/status/795677795456323584", "795677795456323584")</f>
        <v>0</v>
      </c>
      <c r="B619" s="2">
        <v>42681.7238888889</v>
      </c>
      <c r="C619">
        <v>0</v>
      </c>
      <c r="D619">
        <v>0</v>
      </c>
      <c r="E619" t="s">
        <v>617</v>
      </c>
    </row>
    <row r="620" spans="1:5">
      <c r="A620">
        <f>HYPERLINK("http://www.twitter.com/nyc311/status/795675549976985601", "795675549976985601")</f>
        <v>0</v>
      </c>
      <c r="B620" s="2">
        <v>42681.7176851852</v>
      </c>
      <c r="C620">
        <v>0</v>
      </c>
      <c r="D620">
        <v>0</v>
      </c>
      <c r="E620" t="s">
        <v>618</v>
      </c>
    </row>
    <row r="621" spans="1:5">
      <c r="A621">
        <f>HYPERLINK("http://www.twitter.com/nyc311/status/795675036287954944", "795675036287954944")</f>
        <v>0</v>
      </c>
      <c r="B621" s="2">
        <v>42681.7162731482</v>
      </c>
      <c r="C621">
        <v>0</v>
      </c>
      <c r="D621">
        <v>0</v>
      </c>
      <c r="E621" t="s">
        <v>619</v>
      </c>
    </row>
    <row r="622" spans="1:5">
      <c r="A622">
        <f>HYPERLINK("http://www.twitter.com/nyc311/status/795673986407481344", "795673986407481344")</f>
        <v>0</v>
      </c>
      <c r="B622" s="2">
        <v>42681.7133680556</v>
      </c>
      <c r="C622">
        <v>0</v>
      </c>
      <c r="D622">
        <v>0</v>
      </c>
      <c r="E622" t="s">
        <v>620</v>
      </c>
    </row>
    <row r="623" spans="1:5">
      <c r="A623">
        <f>HYPERLINK("http://www.twitter.com/nyc311/status/795672725427724292", "795672725427724292")</f>
        <v>0</v>
      </c>
      <c r="B623" s="2">
        <v>42681.7098958333</v>
      </c>
      <c r="C623">
        <v>8</v>
      </c>
      <c r="D623">
        <v>20</v>
      </c>
      <c r="E623" t="s">
        <v>621</v>
      </c>
    </row>
    <row r="624" spans="1:5">
      <c r="A624">
        <f>HYPERLINK("http://www.twitter.com/nyc311/status/795671340783194112", "795671340783194112")</f>
        <v>0</v>
      </c>
      <c r="B624" s="2">
        <v>42681.7060763889</v>
      </c>
      <c r="C624">
        <v>0</v>
      </c>
      <c r="D624">
        <v>0</v>
      </c>
      <c r="E624" t="s">
        <v>622</v>
      </c>
    </row>
    <row r="625" spans="1:5">
      <c r="A625">
        <f>HYPERLINK("http://www.twitter.com/nyc311/status/795669661337681920", "795669661337681920")</f>
        <v>0</v>
      </c>
      <c r="B625" s="2">
        <v>42681.7014351852</v>
      </c>
      <c r="C625">
        <v>2</v>
      </c>
      <c r="D625">
        <v>1</v>
      </c>
      <c r="E625" t="s">
        <v>623</v>
      </c>
    </row>
    <row r="626" spans="1:5">
      <c r="A626">
        <f>HYPERLINK("http://www.twitter.com/nyc311/status/795669207107117056", "795669207107117056")</f>
        <v>0</v>
      </c>
      <c r="B626" s="2">
        <v>42681.7001851852</v>
      </c>
      <c r="C626">
        <v>0</v>
      </c>
      <c r="D626">
        <v>0</v>
      </c>
      <c r="E626" t="s">
        <v>624</v>
      </c>
    </row>
    <row r="627" spans="1:5">
      <c r="A627">
        <f>HYPERLINK("http://www.twitter.com/nyc311/status/795669066178498560", "795669066178498560")</f>
        <v>0</v>
      </c>
      <c r="B627" s="2">
        <v>42681.6997916667</v>
      </c>
      <c r="C627">
        <v>0</v>
      </c>
      <c r="D627">
        <v>0</v>
      </c>
      <c r="E627" t="s">
        <v>625</v>
      </c>
    </row>
    <row r="628" spans="1:5">
      <c r="A628">
        <f>HYPERLINK("http://www.twitter.com/nyc311/status/795668297417101312", "795668297417101312")</f>
        <v>0</v>
      </c>
      <c r="B628" s="2">
        <v>42681.6976736111</v>
      </c>
      <c r="C628">
        <v>0</v>
      </c>
      <c r="D628">
        <v>0</v>
      </c>
      <c r="E628" t="s">
        <v>626</v>
      </c>
    </row>
    <row r="629" spans="1:5">
      <c r="A629">
        <f>HYPERLINK("http://www.twitter.com/nyc311/status/795667458560499712", "795667458560499712")</f>
        <v>0</v>
      </c>
      <c r="B629" s="2">
        <v>42681.6953587963</v>
      </c>
      <c r="C629">
        <v>2</v>
      </c>
      <c r="D629">
        <v>0</v>
      </c>
      <c r="E629" t="s">
        <v>627</v>
      </c>
    </row>
    <row r="630" spans="1:5">
      <c r="A630">
        <f>HYPERLINK("http://www.twitter.com/nyc311/status/795667430047621120", "795667430047621120")</f>
        <v>0</v>
      </c>
      <c r="B630" s="2">
        <v>42681.6952777778</v>
      </c>
      <c r="C630">
        <v>0</v>
      </c>
      <c r="D630">
        <v>0</v>
      </c>
      <c r="E630" t="s">
        <v>628</v>
      </c>
    </row>
    <row r="631" spans="1:5">
      <c r="A631">
        <f>HYPERLINK("http://www.twitter.com/nyc311/status/795667012697649152", "795667012697649152")</f>
        <v>0</v>
      </c>
      <c r="B631" s="2">
        <v>42681.6941319444</v>
      </c>
      <c r="C631">
        <v>0</v>
      </c>
      <c r="D631">
        <v>0</v>
      </c>
      <c r="E631" t="s">
        <v>629</v>
      </c>
    </row>
    <row r="632" spans="1:5">
      <c r="A632">
        <f>HYPERLINK("http://www.twitter.com/nyc311/status/795666994754416640", "795666994754416640")</f>
        <v>0</v>
      </c>
      <c r="B632" s="2">
        <v>42681.6940740741</v>
      </c>
      <c r="C632">
        <v>0</v>
      </c>
      <c r="D632">
        <v>0</v>
      </c>
      <c r="E632" t="s">
        <v>630</v>
      </c>
    </row>
    <row r="633" spans="1:5">
      <c r="A633">
        <f>HYPERLINK("http://www.twitter.com/nyc311/status/795666387897356288", "795666387897356288")</f>
        <v>0</v>
      </c>
      <c r="B633" s="2">
        <v>42681.6924074074</v>
      </c>
      <c r="C633">
        <v>0</v>
      </c>
      <c r="D633">
        <v>0</v>
      </c>
      <c r="E633" t="s">
        <v>631</v>
      </c>
    </row>
    <row r="634" spans="1:5">
      <c r="A634">
        <f>HYPERLINK("http://www.twitter.com/nyc311/status/795665272011182084", "795665272011182084")</f>
        <v>0</v>
      </c>
      <c r="B634" s="2">
        <v>42681.6893287037</v>
      </c>
      <c r="C634">
        <v>0</v>
      </c>
      <c r="D634">
        <v>0</v>
      </c>
      <c r="E634" t="s">
        <v>632</v>
      </c>
    </row>
    <row r="635" spans="1:5">
      <c r="A635">
        <f>HYPERLINK("http://www.twitter.com/nyc311/status/795663770454528000", "795663770454528000")</f>
        <v>0</v>
      </c>
      <c r="B635" s="2">
        <v>42681.6851851852</v>
      </c>
      <c r="C635">
        <v>0</v>
      </c>
      <c r="D635">
        <v>0</v>
      </c>
      <c r="E635" t="s">
        <v>633</v>
      </c>
    </row>
    <row r="636" spans="1:5">
      <c r="A636">
        <f>HYPERLINK("http://www.twitter.com/nyc311/status/795661396801363968", "795661396801363968")</f>
        <v>0</v>
      </c>
      <c r="B636" s="2">
        <v>42681.6786342593</v>
      </c>
      <c r="C636">
        <v>0</v>
      </c>
      <c r="D636">
        <v>0</v>
      </c>
      <c r="E636" t="s">
        <v>634</v>
      </c>
    </row>
    <row r="637" spans="1:5">
      <c r="A637">
        <f>HYPERLINK("http://www.twitter.com/nyc311/status/795658276931334145", "795658276931334145")</f>
        <v>0</v>
      </c>
      <c r="B637" s="2">
        <v>42681.6700231481</v>
      </c>
      <c r="C637">
        <v>0</v>
      </c>
      <c r="D637">
        <v>0</v>
      </c>
      <c r="E637" t="s">
        <v>635</v>
      </c>
    </row>
    <row r="638" spans="1:5">
      <c r="A638">
        <f>HYPERLINK("http://www.twitter.com/nyc311/status/795657609781067776", "795657609781067776")</f>
        <v>0</v>
      </c>
      <c r="B638" s="2">
        <v>42681.6681828704</v>
      </c>
      <c r="C638">
        <v>3</v>
      </c>
      <c r="D638">
        <v>1</v>
      </c>
      <c r="E638" t="s">
        <v>636</v>
      </c>
    </row>
    <row r="639" spans="1:5">
      <c r="A639">
        <f>HYPERLINK("http://www.twitter.com/nyc311/status/795655020914024448", "795655020914024448")</f>
        <v>0</v>
      </c>
      <c r="B639" s="2">
        <v>42681.6610416667</v>
      </c>
      <c r="C639">
        <v>0</v>
      </c>
      <c r="D639">
        <v>0</v>
      </c>
      <c r="E639" t="s">
        <v>637</v>
      </c>
    </row>
    <row r="640" spans="1:5">
      <c r="A640">
        <f>HYPERLINK("http://www.twitter.com/nyc311/status/795654263695360001", "795654263695360001")</f>
        <v>0</v>
      </c>
      <c r="B640" s="2">
        <v>42681.6589467593</v>
      </c>
      <c r="C640">
        <v>0</v>
      </c>
      <c r="D640">
        <v>0</v>
      </c>
      <c r="E640" t="s">
        <v>638</v>
      </c>
    </row>
    <row r="641" spans="1:5">
      <c r="A641">
        <f>HYPERLINK("http://www.twitter.com/nyc311/status/795653803039133704", "795653803039133704")</f>
        <v>0</v>
      </c>
      <c r="B641" s="2">
        <v>42681.6576736111</v>
      </c>
      <c r="C641">
        <v>0</v>
      </c>
      <c r="D641">
        <v>0</v>
      </c>
      <c r="E641" t="s">
        <v>639</v>
      </c>
    </row>
    <row r="642" spans="1:5">
      <c r="A642">
        <f>HYPERLINK("http://www.twitter.com/nyc311/status/795653179790786561", "795653179790786561")</f>
        <v>0</v>
      </c>
      <c r="B642" s="2">
        <v>42681.6559606481</v>
      </c>
      <c r="C642">
        <v>0</v>
      </c>
      <c r="D642">
        <v>0</v>
      </c>
      <c r="E642" t="s">
        <v>640</v>
      </c>
    </row>
    <row r="643" spans="1:5">
      <c r="A643">
        <f>HYPERLINK("http://www.twitter.com/nyc311/status/795648593600413696", "795648593600413696")</f>
        <v>0</v>
      </c>
      <c r="B643" s="2">
        <v>42681.6432986111</v>
      </c>
      <c r="C643">
        <v>0</v>
      </c>
      <c r="D643">
        <v>0</v>
      </c>
      <c r="E643" t="s">
        <v>641</v>
      </c>
    </row>
    <row r="644" spans="1:5">
      <c r="A644">
        <f>HYPERLINK("http://www.twitter.com/nyc311/status/795642456347971586", "795642456347971586")</f>
        <v>0</v>
      </c>
      <c r="B644" s="2">
        <v>42681.6263657407</v>
      </c>
      <c r="C644">
        <v>1</v>
      </c>
      <c r="D644">
        <v>5</v>
      </c>
      <c r="E644" t="s">
        <v>642</v>
      </c>
    </row>
    <row r="645" spans="1:5">
      <c r="A645">
        <f>HYPERLINK("http://www.twitter.com/nyc311/status/795408048659595264", "795408048659595264")</f>
        <v>0</v>
      </c>
      <c r="B645" s="2">
        <v>42680.979525463</v>
      </c>
      <c r="C645">
        <v>9</v>
      </c>
      <c r="D645">
        <v>2</v>
      </c>
      <c r="E645" t="s">
        <v>643</v>
      </c>
    </row>
    <row r="646" spans="1:5">
      <c r="A646">
        <f>HYPERLINK("http://www.twitter.com/nyc311/status/795370512109228032", "795370512109228032")</f>
        <v>0</v>
      </c>
      <c r="B646" s="2">
        <v>42680.8759490741</v>
      </c>
      <c r="C646">
        <v>5</v>
      </c>
      <c r="D646">
        <v>11</v>
      </c>
      <c r="E646" t="s">
        <v>644</v>
      </c>
    </row>
    <row r="647" spans="1:5">
      <c r="A647">
        <f>HYPERLINK("http://www.twitter.com/nyc311/status/795340310025031680", "795340310025031680")</f>
        <v>0</v>
      </c>
      <c r="B647" s="2">
        <v>42680.7926041667</v>
      </c>
      <c r="C647">
        <v>2</v>
      </c>
      <c r="D647">
        <v>3</v>
      </c>
      <c r="E647" t="s">
        <v>645</v>
      </c>
    </row>
    <row r="648" spans="1:5">
      <c r="A648">
        <f>HYPERLINK("http://www.twitter.com/nyc311/status/795310073933340673", "795310073933340673")</f>
        <v>0</v>
      </c>
      <c r="B648" s="2">
        <v>42680.7091666667</v>
      </c>
      <c r="C648">
        <v>2</v>
      </c>
      <c r="D648">
        <v>4</v>
      </c>
      <c r="E648" t="s">
        <v>646</v>
      </c>
    </row>
    <row r="649" spans="1:5">
      <c r="A649">
        <f>HYPERLINK("http://www.twitter.com/nyc311/status/795280018305912834", "795280018305912834")</f>
        <v>0</v>
      </c>
      <c r="B649" s="2">
        <v>42680.6262268519</v>
      </c>
      <c r="C649">
        <v>9</v>
      </c>
      <c r="D649">
        <v>12</v>
      </c>
      <c r="E649" t="s">
        <v>647</v>
      </c>
    </row>
    <row r="650" spans="1:5">
      <c r="A650">
        <f>HYPERLINK("http://www.twitter.com/nyc311/status/795258226971410432", "795258226971410432")</f>
        <v>0</v>
      </c>
      <c r="B650" s="2">
        <v>42680.566099537</v>
      </c>
      <c r="C650">
        <v>0</v>
      </c>
      <c r="D650">
        <v>2</v>
      </c>
      <c r="E650" t="s">
        <v>648</v>
      </c>
    </row>
    <row r="651" spans="1:5">
      <c r="A651">
        <f>HYPERLINK("http://www.twitter.com/nyc311/status/795257112897130496", "795257112897130496")</f>
        <v>0</v>
      </c>
      <c r="B651" s="2">
        <v>42680.5630208333</v>
      </c>
      <c r="C651">
        <v>3</v>
      </c>
      <c r="D651">
        <v>2</v>
      </c>
      <c r="E651" t="s">
        <v>649</v>
      </c>
    </row>
    <row r="652" spans="1:5">
      <c r="A652">
        <f>HYPERLINK("http://www.twitter.com/nyc311/status/794993033716625409", "794993033716625409")</f>
        <v>0</v>
      </c>
      <c r="B652" s="2">
        <v>42679.8343055556</v>
      </c>
      <c r="C652">
        <v>2</v>
      </c>
      <c r="D652">
        <v>2</v>
      </c>
      <c r="E652" t="s">
        <v>650</v>
      </c>
    </row>
    <row r="653" spans="1:5">
      <c r="A653">
        <f>HYPERLINK("http://www.twitter.com/nyc311/status/794977956414324740", "794977956414324740")</f>
        <v>0</v>
      </c>
      <c r="B653" s="2">
        <v>42679.7926967593</v>
      </c>
      <c r="C653">
        <v>2</v>
      </c>
      <c r="D653">
        <v>2</v>
      </c>
      <c r="E653" t="s">
        <v>651</v>
      </c>
    </row>
    <row r="654" spans="1:5">
      <c r="A654">
        <f>HYPERLINK("http://www.twitter.com/nyc311/status/794962902222565376", "794962902222565376")</f>
        <v>0</v>
      </c>
      <c r="B654" s="2">
        <v>42679.7511574074</v>
      </c>
      <c r="C654">
        <v>2</v>
      </c>
      <c r="D654">
        <v>2</v>
      </c>
      <c r="E654" t="s">
        <v>652</v>
      </c>
    </row>
    <row r="655" spans="1:5">
      <c r="A655">
        <f>HYPERLINK("http://www.twitter.com/nyc311/status/794947819618660352", "794947819618660352")</f>
        <v>0</v>
      </c>
      <c r="B655" s="2">
        <v>42679.709537037</v>
      </c>
      <c r="C655">
        <v>3</v>
      </c>
      <c r="D655">
        <v>2</v>
      </c>
      <c r="E655" t="s">
        <v>653</v>
      </c>
    </row>
    <row r="656" spans="1:5">
      <c r="A656">
        <f>HYPERLINK("http://www.twitter.com/nyc311/status/794932771957440513", "794932771957440513")</f>
        <v>0</v>
      </c>
      <c r="B656" s="2">
        <v>42679.6680092593</v>
      </c>
      <c r="C656">
        <v>4</v>
      </c>
      <c r="D656">
        <v>8</v>
      </c>
      <c r="E656" t="s">
        <v>654</v>
      </c>
    </row>
    <row r="657" spans="1:5">
      <c r="A657">
        <f>HYPERLINK("http://www.twitter.com/nyc311/status/794917569178337281", "794917569178337281")</f>
        <v>0</v>
      </c>
      <c r="B657" s="2">
        <v>42679.6260648148</v>
      </c>
      <c r="C657">
        <v>2</v>
      </c>
      <c r="D657">
        <v>3</v>
      </c>
      <c r="E657" t="s">
        <v>655</v>
      </c>
    </row>
    <row r="658" spans="1:5">
      <c r="A658">
        <f>HYPERLINK("http://www.twitter.com/nyc311/status/794611625579913216", "794611625579913216")</f>
        <v>0</v>
      </c>
      <c r="B658" s="2">
        <v>42678.7818171296</v>
      </c>
      <c r="C658">
        <v>0</v>
      </c>
      <c r="D658">
        <v>0</v>
      </c>
      <c r="E658" t="s">
        <v>656</v>
      </c>
    </row>
    <row r="659" spans="1:5">
      <c r="A659">
        <f>HYPERLINK("http://www.twitter.com/nyc311/status/794607748147249152", "794607748147249152")</f>
        <v>0</v>
      </c>
      <c r="B659" s="2">
        <v>42678.7711111111</v>
      </c>
      <c r="C659">
        <v>26</v>
      </c>
      <c r="D659">
        <v>5</v>
      </c>
      <c r="E659" t="s">
        <v>657</v>
      </c>
    </row>
    <row r="660" spans="1:5">
      <c r="A660">
        <f>HYPERLINK("http://www.twitter.com/nyc311/status/794600573341470724", "794600573341470724")</f>
        <v>0</v>
      </c>
      <c r="B660" s="2">
        <v>42678.7513194444</v>
      </c>
      <c r="C660">
        <v>2</v>
      </c>
      <c r="D660">
        <v>3</v>
      </c>
      <c r="E660" t="s">
        <v>658</v>
      </c>
    </row>
    <row r="661" spans="1:5">
      <c r="A661">
        <f>HYPERLINK("http://www.twitter.com/nyc311/status/794585612598870016", "794585612598870016")</f>
        <v>0</v>
      </c>
      <c r="B661" s="2">
        <v>42678.7100347222</v>
      </c>
      <c r="C661">
        <v>2</v>
      </c>
      <c r="D661">
        <v>4</v>
      </c>
      <c r="E661" t="s">
        <v>659</v>
      </c>
    </row>
    <row r="662" spans="1:5">
      <c r="A662">
        <f>HYPERLINK("http://www.twitter.com/nyc311/status/794583876043739137", "794583876043739137")</f>
        <v>0</v>
      </c>
      <c r="B662" s="2">
        <v>42678.7052430556</v>
      </c>
      <c r="C662">
        <v>0</v>
      </c>
      <c r="D662">
        <v>0</v>
      </c>
      <c r="E662" t="s">
        <v>660</v>
      </c>
    </row>
    <row r="663" spans="1:5">
      <c r="A663">
        <f>HYPERLINK("http://www.twitter.com/nyc311/status/794582851295571968", "794582851295571968")</f>
        <v>0</v>
      </c>
      <c r="B663" s="2">
        <v>42678.7024189815</v>
      </c>
      <c r="C663">
        <v>0</v>
      </c>
      <c r="D663">
        <v>0</v>
      </c>
      <c r="E663" t="s">
        <v>661</v>
      </c>
    </row>
    <row r="664" spans="1:5">
      <c r="A664">
        <f>HYPERLINK("http://www.twitter.com/nyc311/status/794570571623366657", "794570571623366657")</f>
        <v>0</v>
      </c>
      <c r="B664" s="2">
        <v>42678.6685300926</v>
      </c>
      <c r="C664">
        <v>2</v>
      </c>
      <c r="D664">
        <v>7</v>
      </c>
      <c r="E664" t="s">
        <v>662</v>
      </c>
    </row>
    <row r="665" spans="1:5">
      <c r="A665">
        <f>HYPERLINK("http://www.twitter.com/nyc311/status/794553842725748736", "794553842725748736")</f>
        <v>0</v>
      </c>
      <c r="B665" s="2">
        <v>42678.6223611111</v>
      </c>
      <c r="C665">
        <v>0</v>
      </c>
      <c r="D665">
        <v>0</v>
      </c>
      <c r="E665" t="s">
        <v>663</v>
      </c>
    </row>
    <row r="666" spans="1:5">
      <c r="A666">
        <f>HYPERLINK("http://www.twitter.com/nyc311/status/794553676530597888", "794553676530597888")</f>
        <v>0</v>
      </c>
      <c r="B666" s="2">
        <v>42678.6219097222</v>
      </c>
      <c r="C666">
        <v>0</v>
      </c>
      <c r="D666">
        <v>0</v>
      </c>
      <c r="E666" t="s">
        <v>664</v>
      </c>
    </row>
    <row r="667" spans="1:5">
      <c r="A667">
        <f>HYPERLINK("http://www.twitter.com/nyc311/status/794551738871255041", "794551738871255041")</f>
        <v>0</v>
      </c>
      <c r="B667" s="2">
        <v>42678.6165625</v>
      </c>
      <c r="C667">
        <v>0</v>
      </c>
      <c r="D667">
        <v>0</v>
      </c>
      <c r="E667" t="s">
        <v>665</v>
      </c>
    </row>
    <row r="668" spans="1:5">
      <c r="A668">
        <f>HYPERLINK("http://www.twitter.com/nyc311/status/794551577566650370", "794551577566650370")</f>
        <v>0</v>
      </c>
      <c r="B668" s="2">
        <v>42678.6161111111</v>
      </c>
      <c r="C668">
        <v>0</v>
      </c>
      <c r="D668">
        <v>0</v>
      </c>
      <c r="E668" t="s">
        <v>666</v>
      </c>
    </row>
    <row r="669" spans="1:5">
      <c r="A669">
        <f>HYPERLINK("http://www.twitter.com/nyc311/status/794549807880798208", "794549807880798208")</f>
        <v>0</v>
      </c>
      <c r="B669" s="2">
        <v>42678.6112268519</v>
      </c>
      <c r="C669">
        <v>0</v>
      </c>
      <c r="D669">
        <v>0</v>
      </c>
      <c r="E669" t="s">
        <v>667</v>
      </c>
    </row>
    <row r="670" spans="1:5">
      <c r="A670">
        <f>HYPERLINK("http://www.twitter.com/nyc311/status/794549627701886976", "794549627701886976")</f>
        <v>0</v>
      </c>
      <c r="B670" s="2">
        <v>42678.6107291667</v>
      </c>
      <c r="C670">
        <v>1</v>
      </c>
      <c r="D670">
        <v>0</v>
      </c>
      <c r="E670" t="s">
        <v>668</v>
      </c>
    </row>
    <row r="671" spans="1:5">
      <c r="A671">
        <f>HYPERLINK("http://www.twitter.com/nyc311/status/794549080081002497", "794549080081002497")</f>
        <v>0</v>
      </c>
      <c r="B671" s="2">
        <v>42678.609224537</v>
      </c>
      <c r="C671">
        <v>0</v>
      </c>
      <c r="D671">
        <v>0</v>
      </c>
      <c r="E671" t="s">
        <v>669</v>
      </c>
    </row>
    <row r="672" spans="1:5">
      <c r="A672">
        <f>HYPERLINK("http://www.twitter.com/nyc311/status/794546354286628866", "794546354286628866")</f>
        <v>0</v>
      </c>
      <c r="B672" s="2">
        <v>42678.6017013889</v>
      </c>
      <c r="C672">
        <v>0</v>
      </c>
      <c r="D672">
        <v>1</v>
      </c>
      <c r="E672" t="s">
        <v>670</v>
      </c>
    </row>
    <row r="673" spans="1:5">
      <c r="A673">
        <f>HYPERLINK("http://www.twitter.com/nyc311/status/794544026208927744", "794544026208927744")</f>
        <v>0</v>
      </c>
      <c r="B673" s="2">
        <v>42678.5952777778</v>
      </c>
      <c r="C673">
        <v>1</v>
      </c>
      <c r="D673">
        <v>0</v>
      </c>
      <c r="E673" t="s">
        <v>671</v>
      </c>
    </row>
    <row r="674" spans="1:5">
      <c r="A674">
        <f>HYPERLINK("http://www.twitter.com/nyc311/status/794540391961915392", "794540391961915392")</f>
        <v>0</v>
      </c>
      <c r="B674" s="2">
        <v>42678.5852430556</v>
      </c>
      <c r="C674">
        <v>2</v>
      </c>
      <c r="D674">
        <v>0</v>
      </c>
      <c r="E674" t="s">
        <v>672</v>
      </c>
    </row>
    <row r="675" spans="1:5">
      <c r="A675">
        <f>HYPERLINK("http://www.twitter.com/nyc311/status/794540301163569152", "794540301163569152")</f>
        <v>0</v>
      </c>
      <c r="B675" s="2">
        <v>42678.585</v>
      </c>
      <c r="C675">
        <v>1</v>
      </c>
      <c r="D675">
        <v>0</v>
      </c>
      <c r="E675" t="s">
        <v>673</v>
      </c>
    </row>
    <row r="676" spans="1:5">
      <c r="A676">
        <f>HYPERLINK("http://www.twitter.com/nyc311/status/794309174461140992", "794309174461140992")</f>
        <v>0</v>
      </c>
      <c r="B676" s="2">
        <v>42677.9472106481</v>
      </c>
      <c r="C676">
        <v>50</v>
      </c>
      <c r="D676">
        <v>12</v>
      </c>
      <c r="E676" t="s">
        <v>674</v>
      </c>
    </row>
    <row r="677" spans="1:5">
      <c r="A677">
        <f>HYPERLINK("http://www.twitter.com/nyc311/status/794283116559003648", "794283116559003648")</f>
        <v>0</v>
      </c>
      <c r="B677" s="2">
        <v>42677.8753009259</v>
      </c>
      <c r="C677">
        <v>0</v>
      </c>
      <c r="D677">
        <v>0</v>
      </c>
      <c r="E677" t="s">
        <v>675</v>
      </c>
    </row>
    <row r="678" spans="1:5">
      <c r="A678">
        <f>HYPERLINK("http://www.twitter.com/nyc311/status/794268368924770309", "794268368924770309")</f>
        <v>0</v>
      </c>
      <c r="B678" s="2">
        <v>42677.8346064815</v>
      </c>
      <c r="C678">
        <v>0</v>
      </c>
      <c r="D678">
        <v>0</v>
      </c>
      <c r="E678" t="s">
        <v>676</v>
      </c>
    </row>
    <row r="679" spans="1:5">
      <c r="A679">
        <f>HYPERLINK("http://www.twitter.com/nyc311/status/794255944133865474", "794255944133865474")</f>
        <v>0</v>
      </c>
      <c r="B679" s="2">
        <v>42677.8003240741</v>
      </c>
      <c r="C679">
        <v>0</v>
      </c>
      <c r="D679">
        <v>1</v>
      </c>
      <c r="E679" t="s">
        <v>677</v>
      </c>
    </row>
    <row r="680" spans="1:5">
      <c r="A680">
        <f>HYPERLINK("http://www.twitter.com/nyc311/status/794253264804052992", "794253264804052992")</f>
        <v>0</v>
      </c>
      <c r="B680" s="2">
        <v>42677.7929282407</v>
      </c>
      <c r="C680">
        <v>7</v>
      </c>
      <c r="D680">
        <v>7</v>
      </c>
      <c r="E680" t="s">
        <v>678</v>
      </c>
    </row>
    <row r="681" spans="1:5">
      <c r="A681">
        <f>HYPERLINK("http://www.twitter.com/nyc311/status/794249637750304768", "794249637750304768")</f>
        <v>0</v>
      </c>
      <c r="B681" s="2">
        <v>42677.7829166667</v>
      </c>
      <c r="C681">
        <v>1</v>
      </c>
      <c r="D681">
        <v>0</v>
      </c>
      <c r="E681" t="s">
        <v>679</v>
      </c>
    </row>
    <row r="682" spans="1:5">
      <c r="A682">
        <f>HYPERLINK("http://www.twitter.com/nyc311/status/794238252085641217", "794238252085641217")</f>
        <v>0</v>
      </c>
      <c r="B682" s="2">
        <v>42677.7515046296</v>
      </c>
      <c r="C682">
        <v>0</v>
      </c>
      <c r="D682">
        <v>1</v>
      </c>
      <c r="E682" t="s">
        <v>680</v>
      </c>
    </row>
    <row r="683" spans="1:5">
      <c r="A683">
        <f>HYPERLINK("http://www.twitter.com/nyc311/status/794230541633679360", "794230541633679360")</f>
        <v>0</v>
      </c>
      <c r="B683" s="2">
        <v>42677.7302199074</v>
      </c>
      <c r="C683">
        <v>0</v>
      </c>
      <c r="D683">
        <v>0</v>
      </c>
      <c r="E683" t="s">
        <v>681</v>
      </c>
    </row>
    <row r="684" spans="1:5">
      <c r="A684">
        <f>HYPERLINK("http://www.twitter.com/nyc311/status/794230262121066496", "794230262121066496")</f>
        <v>0</v>
      </c>
      <c r="B684" s="2">
        <v>42677.7294560185</v>
      </c>
      <c r="C684">
        <v>0</v>
      </c>
      <c r="D684">
        <v>0</v>
      </c>
      <c r="E684" t="s">
        <v>682</v>
      </c>
    </row>
    <row r="685" spans="1:5">
      <c r="A685">
        <f>HYPERLINK("http://www.twitter.com/nyc311/status/794227976011481089", "794227976011481089")</f>
        <v>0</v>
      </c>
      <c r="B685" s="2">
        <v>42677.7231481482</v>
      </c>
      <c r="C685">
        <v>1</v>
      </c>
      <c r="D685">
        <v>0</v>
      </c>
      <c r="E685" t="s">
        <v>683</v>
      </c>
    </row>
    <row r="686" spans="1:5">
      <c r="A686">
        <f>HYPERLINK("http://www.twitter.com/nyc311/status/794225316378144768", "794225316378144768")</f>
        <v>0</v>
      </c>
      <c r="B686" s="2">
        <v>42677.7158101852</v>
      </c>
      <c r="C686">
        <v>0</v>
      </c>
      <c r="D686">
        <v>0</v>
      </c>
      <c r="E686" t="s">
        <v>684</v>
      </c>
    </row>
    <row r="687" spans="1:5">
      <c r="A687">
        <f>HYPERLINK("http://www.twitter.com/nyc311/status/794224337435971584", "794224337435971584")</f>
        <v>0</v>
      </c>
      <c r="B687" s="2">
        <v>42677.7131018518</v>
      </c>
      <c r="C687">
        <v>1</v>
      </c>
      <c r="D687">
        <v>0</v>
      </c>
      <c r="E687" t="s">
        <v>685</v>
      </c>
    </row>
    <row r="688" spans="1:5">
      <c r="A688">
        <f>HYPERLINK("http://www.twitter.com/nyc311/status/794223195180175360", "794223195180175360")</f>
        <v>0</v>
      </c>
      <c r="B688" s="2">
        <v>42677.7099537037</v>
      </c>
      <c r="C688">
        <v>4</v>
      </c>
      <c r="D688">
        <v>4</v>
      </c>
      <c r="E688" t="s">
        <v>686</v>
      </c>
    </row>
    <row r="689" spans="1:5">
      <c r="A689">
        <f>HYPERLINK("http://www.twitter.com/nyc311/status/794208163411230721", "794208163411230721")</f>
        <v>0</v>
      </c>
      <c r="B689" s="2">
        <v>42677.6684722222</v>
      </c>
      <c r="C689">
        <v>45</v>
      </c>
      <c r="D689">
        <v>20</v>
      </c>
      <c r="E689" t="s">
        <v>687</v>
      </c>
    </row>
    <row r="690" spans="1:5">
      <c r="A690">
        <f>HYPERLINK("http://www.twitter.com/nyc311/status/794203849489838080", "794203849489838080")</f>
        <v>0</v>
      </c>
      <c r="B690" s="2">
        <v>42677.6565625</v>
      </c>
      <c r="C690">
        <v>0</v>
      </c>
      <c r="D690">
        <v>0</v>
      </c>
      <c r="E690" t="s">
        <v>688</v>
      </c>
    </row>
    <row r="691" spans="1:5">
      <c r="A691">
        <f>HYPERLINK("http://www.twitter.com/nyc311/status/794203772562116608", "794203772562116608")</f>
        <v>0</v>
      </c>
      <c r="B691" s="2">
        <v>42677.6563541667</v>
      </c>
      <c r="C691">
        <v>0</v>
      </c>
      <c r="D691">
        <v>0</v>
      </c>
      <c r="E691" t="s">
        <v>689</v>
      </c>
    </row>
    <row r="692" spans="1:5">
      <c r="A692">
        <f>HYPERLINK("http://www.twitter.com/nyc311/status/794202665974632448", "794202665974632448")</f>
        <v>0</v>
      </c>
      <c r="B692" s="2">
        <v>42677.6532986111</v>
      </c>
      <c r="C692">
        <v>0</v>
      </c>
      <c r="D692">
        <v>0</v>
      </c>
      <c r="E692" t="s">
        <v>690</v>
      </c>
    </row>
    <row r="693" spans="1:5">
      <c r="A693">
        <f>HYPERLINK("http://www.twitter.com/nyc311/status/794202206274600961", "794202206274600961")</f>
        <v>0</v>
      </c>
      <c r="B693" s="2">
        <v>42677.652037037</v>
      </c>
      <c r="C693">
        <v>1</v>
      </c>
      <c r="D693">
        <v>0</v>
      </c>
      <c r="E693" t="s">
        <v>691</v>
      </c>
    </row>
    <row r="694" spans="1:5">
      <c r="A694">
        <f>HYPERLINK("http://www.twitter.com/nyc311/status/794201999487205376", "794201999487205376")</f>
        <v>0</v>
      </c>
      <c r="B694" s="2">
        <v>42677.6514583333</v>
      </c>
      <c r="C694">
        <v>2</v>
      </c>
      <c r="D694">
        <v>2</v>
      </c>
      <c r="E694" t="s">
        <v>692</v>
      </c>
    </row>
    <row r="695" spans="1:5">
      <c r="A695">
        <f>HYPERLINK("http://www.twitter.com/nyc311/status/794201127315247104", "794201127315247104")</f>
        <v>0</v>
      </c>
      <c r="B695" s="2">
        <v>42677.6490509259</v>
      </c>
      <c r="C695">
        <v>0</v>
      </c>
      <c r="D695">
        <v>0</v>
      </c>
      <c r="E695" t="s">
        <v>693</v>
      </c>
    </row>
    <row r="696" spans="1:5">
      <c r="A696">
        <f>HYPERLINK("http://www.twitter.com/nyc311/status/794200022862675968", "794200022862675968")</f>
        <v>0</v>
      </c>
      <c r="B696" s="2">
        <v>42677.6460069444</v>
      </c>
      <c r="C696">
        <v>0</v>
      </c>
      <c r="D696">
        <v>0</v>
      </c>
      <c r="E696" t="s">
        <v>694</v>
      </c>
    </row>
    <row r="697" spans="1:5">
      <c r="A697">
        <f>HYPERLINK("http://www.twitter.com/nyc311/status/794199918567112704", "794199918567112704")</f>
        <v>0</v>
      </c>
      <c r="B697" s="2">
        <v>42677.6457175926</v>
      </c>
      <c r="C697">
        <v>0</v>
      </c>
      <c r="D697">
        <v>0</v>
      </c>
      <c r="E697" t="s">
        <v>695</v>
      </c>
    </row>
    <row r="698" spans="1:5">
      <c r="A698">
        <f>HYPERLINK("http://www.twitter.com/nyc311/status/794199286208745478", "794199286208745478")</f>
        <v>0</v>
      </c>
      <c r="B698" s="2">
        <v>42677.6439699074</v>
      </c>
      <c r="C698">
        <v>0</v>
      </c>
      <c r="D698">
        <v>0</v>
      </c>
      <c r="E698" t="s">
        <v>696</v>
      </c>
    </row>
    <row r="699" spans="1:5">
      <c r="A699">
        <f>HYPERLINK("http://www.twitter.com/nyc311/status/794195008517771264", "794195008517771264")</f>
        <v>0</v>
      </c>
      <c r="B699" s="2">
        <v>42677.6321759259</v>
      </c>
      <c r="C699">
        <v>1</v>
      </c>
      <c r="D699">
        <v>0</v>
      </c>
      <c r="E699" t="s">
        <v>697</v>
      </c>
    </row>
    <row r="700" spans="1:5">
      <c r="A700">
        <f>HYPERLINK("http://www.twitter.com/nyc311/status/794194125885214720", "794194125885214720")</f>
        <v>0</v>
      </c>
      <c r="B700" s="2">
        <v>42677.6297337963</v>
      </c>
      <c r="C700">
        <v>0</v>
      </c>
      <c r="D700">
        <v>0</v>
      </c>
      <c r="E700" t="s">
        <v>698</v>
      </c>
    </row>
    <row r="701" spans="1:5">
      <c r="A701">
        <f>HYPERLINK("http://www.twitter.com/nyc311/status/794193171844624385", "794193171844624385")</f>
        <v>0</v>
      </c>
      <c r="B701" s="2">
        <v>42677.6271064815</v>
      </c>
      <c r="C701">
        <v>0</v>
      </c>
      <c r="D701">
        <v>0</v>
      </c>
      <c r="E701" t="s">
        <v>699</v>
      </c>
    </row>
    <row r="702" spans="1:5">
      <c r="A702">
        <f>HYPERLINK("http://www.twitter.com/nyc311/status/794192838170906624", "794192838170906624")</f>
        <v>0</v>
      </c>
      <c r="B702" s="2">
        <v>42677.6261805556</v>
      </c>
      <c r="C702">
        <v>7</v>
      </c>
      <c r="D702">
        <v>3</v>
      </c>
      <c r="E702" t="s">
        <v>700</v>
      </c>
    </row>
    <row r="703" spans="1:5">
      <c r="A703">
        <f>HYPERLINK("http://www.twitter.com/nyc311/status/794192471676817408", "794192471676817408")</f>
        <v>0</v>
      </c>
      <c r="B703" s="2">
        <v>42677.6251736111</v>
      </c>
      <c r="C703">
        <v>1</v>
      </c>
      <c r="D703">
        <v>0</v>
      </c>
      <c r="E703" t="s">
        <v>701</v>
      </c>
    </row>
    <row r="704" spans="1:5">
      <c r="A704">
        <f>HYPERLINK("http://www.twitter.com/nyc311/status/794192049025253376", "794192049025253376")</f>
        <v>0</v>
      </c>
      <c r="B704" s="2">
        <v>42677.6240046296</v>
      </c>
      <c r="C704">
        <v>0</v>
      </c>
      <c r="D704">
        <v>0</v>
      </c>
      <c r="E704" t="s">
        <v>702</v>
      </c>
    </row>
    <row r="705" spans="1:5">
      <c r="A705">
        <f>HYPERLINK("http://www.twitter.com/nyc311/status/794191757269495808", "794191757269495808")</f>
        <v>0</v>
      </c>
      <c r="B705" s="2">
        <v>42677.6231944444</v>
      </c>
      <c r="C705">
        <v>0</v>
      </c>
      <c r="D705">
        <v>0</v>
      </c>
      <c r="E705" t="s">
        <v>703</v>
      </c>
    </row>
    <row r="706" spans="1:5">
      <c r="A706">
        <f>HYPERLINK("http://www.twitter.com/nyc311/status/794191624452640768", "794191624452640768")</f>
        <v>0</v>
      </c>
      <c r="B706" s="2">
        <v>42677.6228356482</v>
      </c>
      <c r="C706">
        <v>1</v>
      </c>
      <c r="D706">
        <v>0</v>
      </c>
      <c r="E706" t="s">
        <v>704</v>
      </c>
    </row>
    <row r="707" spans="1:5">
      <c r="A707">
        <f>HYPERLINK("http://www.twitter.com/nyc311/status/794188926227542016", "794188926227542016")</f>
        <v>0</v>
      </c>
      <c r="B707" s="2">
        <v>42677.6153819444</v>
      </c>
      <c r="C707">
        <v>6</v>
      </c>
      <c r="D707">
        <v>1</v>
      </c>
      <c r="E707" t="s">
        <v>705</v>
      </c>
    </row>
    <row r="708" spans="1:5">
      <c r="A708">
        <f>HYPERLINK("http://www.twitter.com/nyc311/status/794187945121116160", "794187945121116160")</f>
        <v>0</v>
      </c>
      <c r="B708" s="2">
        <v>42677.6126851852</v>
      </c>
      <c r="C708">
        <v>0</v>
      </c>
      <c r="D708">
        <v>0</v>
      </c>
      <c r="E708" t="s">
        <v>706</v>
      </c>
    </row>
    <row r="709" spans="1:5">
      <c r="A709">
        <f>HYPERLINK("http://www.twitter.com/nyc311/status/794184469401993216", "794184469401993216")</f>
        <v>0</v>
      </c>
      <c r="B709" s="2">
        <v>42677.6030902778</v>
      </c>
      <c r="C709">
        <v>1</v>
      </c>
      <c r="D709">
        <v>0</v>
      </c>
      <c r="E709" t="s">
        <v>707</v>
      </c>
    </row>
    <row r="710" spans="1:5">
      <c r="A710">
        <f>HYPERLINK("http://www.twitter.com/nyc311/status/794182146789359616", "794182146789359616")</f>
        <v>0</v>
      </c>
      <c r="B710" s="2">
        <v>42677.5966782407</v>
      </c>
      <c r="C710">
        <v>1</v>
      </c>
      <c r="D710">
        <v>0</v>
      </c>
      <c r="E710" t="s">
        <v>708</v>
      </c>
    </row>
    <row r="711" spans="1:5">
      <c r="A711">
        <f>HYPERLINK("http://www.twitter.com/nyc311/status/794180440009674752", "794180440009674752")</f>
        <v>0</v>
      </c>
      <c r="B711" s="2">
        <v>42677.5919675926</v>
      </c>
      <c r="C711">
        <v>0</v>
      </c>
      <c r="D711">
        <v>0</v>
      </c>
      <c r="E711" t="s">
        <v>709</v>
      </c>
    </row>
    <row r="712" spans="1:5">
      <c r="A712">
        <f>HYPERLINK("http://www.twitter.com/nyc311/status/794177701078847490", "794177701078847490")</f>
        <v>0</v>
      </c>
      <c r="B712" s="2">
        <v>42677.5844097222</v>
      </c>
      <c r="C712">
        <v>3</v>
      </c>
      <c r="D712">
        <v>0</v>
      </c>
      <c r="E712" t="s">
        <v>710</v>
      </c>
    </row>
    <row r="713" spans="1:5">
      <c r="A713">
        <f>HYPERLINK("http://www.twitter.com/nyc311/status/793928725335261184", "793928725335261184")</f>
        <v>0</v>
      </c>
      <c r="B713" s="2">
        <v>42676.8973726852</v>
      </c>
      <c r="C713">
        <v>0</v>
      </c>
      <c r="D713">
        <v>0</v>
      </c>
      <c r="E713" t="s">
        <v>711</v>
      </c>
    </row>
    <row r="714" spans="1:5">
      <c r="A714">
        <f>HYPERLINK("http://www.twitter.com/nyc311/status/793927927381590016", "793927927381590016")</f>
        <v>0</v>
      </c>
      <c r="B714" s="2">
        <v>42676.8951736111</v>
      </c>
      <c r="C714">
        <v>1</v>
      </c>
      <c r="D714">
        <v>0</v>
      </c>
      <c r="E714" t="s">
        <v>712</v>
      </c>
    </row>
    <row r="715" spans="1:5">
      <c r="A715">
        <f>HYPERLINK("http://www.twitter.com/nyc311/status/793926444846055425", "793926444846055425")</f>
        <v>0</v>
      </c>
      <c r="B715" s="2">
        <v>42676.8910763889</v>
      </c>
      <c r="C715">
        <v>0</v>
      </c>
      <c r="D715">
        <v>0</v>
      </c>
      <c r="E715" t="s">
        <v>713</v>
      </c>
    </row>
    <row r="716" spans="1:5">
      <c r="A716">
        <f>HYPERLINK("http://www.twitter.com/nyc311/status/793924512328847360", "793924512328847360")</f>
        <v>0</v>
      </c>
      <c r="B716" s="2">
        <v>42676.8857407407</v>
      </c>
      <c r="C716">
        <v>0</v>
      </c>
      <c r="D716">
        <v>0</v>
      </c>
      <c r="E716" t="s">
        <v>714</v>
      </c>
    </row>
    <row r="717" spans="1:5">
      <c r="A717">
        <f>HYPERLINK("http://www.twitter.com/nyc311/status/793924325258698752", "793924325258698752")</f>
        <v>0</v>
      </c>
      <c r="B717" s="2">
        <v>42676.8852314815</v>
      </c>
      <c r="C717">
        <v>0</v>
      </c>
      <c r="D717">
        <v>0</v>
      </c>
      <c r="E717" t="s">
        <v>715</v>
      </c>
    </row>
    <row r="718" spans="1:5">
      <c r="A718">
        <f>HYPERLINK("http://www.twitter.com/nyc311/status/793923368844230656", "793923368844230656")</f>
        <v>0</v>
      </c>
      <c r="B718" s="2">
        <v>42676.8825925926</v>
      </c>
      <c r="C718">
        <v>0</v>
      </c>
      <c r="D718">
        <v>0</v>
      </c>
      <c r="E718" t="s">
        <v>716</v>
      </c>
    </row>
    <row r="719" spans="1:5">
      <c r="A719">
        <f>HYPERLINK("http://www.twitter.com/nyc311/status/793920590876917762", "793920590876917762")</f>
        <v>0</v>
      </c>
      <c r="B719" s="2">
        <v>42676.8749189815</v>
      </c>
      <c r="C719">
        <v>0</v>
      </c>
      <c r="D719">
        <v>0</v>
      </c>
      <c r="E719" t="s">
        <v>717</v>
      </c>
    </row>
    <row r="720" spans="1:5">
      <c r="A720">
        <f>HYPERLINK("http://www.twitter.com/nyc311/status/793917535603294208", "793917535603294208")</f>
        <v>0</v>
      </c>
      <c r="B720" s="2">
        <v>42676.8664930556</v>
      </c>
      <c r="C720">
        <v>0</v>
      </c>
      <c r="D720">
        <v>0</v>
      </c>
      <c r="E720" t="s">
        <v>718</v>
      </c>
    </row>
    <row r="721" spans="1:5">
      <c r="A721">
        <f>HYPERLINK("http://www.twitter.com/nyc311/status/793905994082516996", "793905994082516996")</f>
        <v>0</v>
      </c>
      <c r="B721" s="2">
        <v>42676.8346412037</v>
      </c>
      <c r="C721">
        <v>4</v>
      </c>
      <c r="D721">
        <v>1</v>
      </c>
      <c r="E721" t="s">
        <v>719</v>
      </c>
    </row>
    <row r="722" spans="1:5">
      <c r="A722">
        <f>HYPERLINK("http://www.twitter.com/nyc311/status/793890794671407104", "793890794671407104")</f>
        <v>0</v>
      </c>
      <c r="B722" s="2">
        <v>42676.7926967593</v>
      </c>
      <c r="C722">
        <v>3</v>
      </c>
      <c r="D722">
        <v>4</v>
      </c>
      <c r="E722" t="s">
        <v>720</v>
      </c>
    </row>
    <row r="723" spans="1:5">
      <c r="A723">
        <f>HYPERLINK("http://www.twitter.com/nyc311/status/793875817776422914", "793875817776422914")</f>
        <v>0</v>
      </c>
      <c r="B723" s="2">
        <v>42676.7513773148</v>
      </c>
      <c r="C723">
        <v>2</v>
      </c>
      <c r="D723">
        <v>2</v>
      </c>
      <c r="E723" t="s">
        <v>721</v>
      </c>
    </row>
    <row r="724" spans="1:5">
      <c r="A724">
        <f>HYPERLINK("http://www.twitter.com/nyc311/status/793860414836707333", "793860414836707333")</f>
        <v>0</v>
      </c>
      <c r="B724" s="2">
        <v>42676.7088657407</v>
      </c>
      <c r="C724">
        <v>14</v>
      </c>
      <c r="D724">
        <v>16</v>
      </c>
      <c r="E724" t="s">
        <v>722</v>
      </c>
    </row>
    <row r="725" spans="1:5">
      <c r="A725">
        <f>HYPERLINK("http://www.twitter.com/nyc311/status/793851989629239296", "793851989629239296")</f>
        <v>0</v>
      </c>
      <c r="B725" s="2">
        <v>42676.685625</v>
      </c>
      <c r="C725">
        <v>0</v>
      </c>
      <c r="D725">
        <v>1</v>
      </c>
      <c r="E725" t="s">
        <v>723</v>
      </c>
    </row>
    <row r="726" spans="1:5">
      <c r="A726">
        <f>HYPERLINK("http://www.twitter.com/nyc311/status/793849907501228034", "793849907501228034")</f>
        <v>0</v>
      </c>
      <c r="B726" s="2">
        <v>42676.6798726852</v>
      </c>
      <c r="C726">
        <v>0</v>
      </c>
      <c r="D726">
        <v>0</v>
      </c>
      <c r="E726" t="s">
        <v>724</v>
      </c>
    </row>
    <row r="727" spans="1:5">
      <c r="A727">
        <f>HYPERLINK("http://www.twitter.com/nyc311/status/793845771175137280", "793845771175137280")</f>
        <v>0</v>
      </c>
      <c r="B727" s="2">
        <v>42676.6684606482</v>
      </c>
      <c r="C727">
        <v>3</v>
      </c>
      <c r="D727">
        <v>1</v>
      </c>
      <c r="E727" t="s">
        <v>725</v>
      </c>
    </row>
    <row r="728" spans="1:5">
      <c r="A728">
        <f>HYPERLINK("http://www.twitter.com/nyc311/status/793837692652023808", "793837692652023808")</f>
        <v>0</v>
      </c>
      <c r="B728" s="2">
        <v>42676.6461689815</v>
      </c>
      <c r="C728">
        <v>0</v>
      </c>
      <c r="D728">
        <v>0</v>
      </c>
      <c r="E728" t="s">
        <v>726</v>
      </c>
    </row>
    <row r="729" spans="1:5">
      <c r="A729">
        <f>HYPERLINK("http://www.twitter.com/nyc311/status/793836608172818433", "793836608172818433")</f>
        <v>0</v>
      </c>
      <c r="B729" s="2">
        <v>42676.6431712963</v>
      </c>
      <c r="C729">
        <v>0</v>
      </c>
      <c r="D729">
        <v>0</v>
      </c>
      <c r="E729" t="s">
        <v>727</v>
      </c>
    </row>
    <row r="730" spans="1:5">
      <c r="A730">
        <f>HYPERLINK("http://www.twitter.com/nyc311/status/793830352175456256", "793830352175456256")</f>
        <v>0</v>
      </c>
      <c r="B730" s="2">
        <v>42676.6259143519</v>
      </c>
      <c r="C730">
        <v>2</v>
      </c>
      <c r="D730">
        <v>2</v>
      </c>
      <c r="E730" t="s">
        <v>728</v>
      </c>
    </row>
    <row r="731" spans="1:5">
      <c r="A731">
        <f>HYPERLINK("http://www.twitter.com/nyc311/status/793821695354212352", "793821695354212352")</f>
        <v>0</v>
      </c>
      <c r="B731" s="2">
        <v>42676.602025463</v>
      </c>
      <c r="C731">
        <v>0</v>
      </c>
      <c r="D731">
        <v>0</v>
      </c>
      <c r="E731" t="s">
        <v>729</v>
      </c>
    </row>
    <row r="732" spans="1:5">
      <c r="A732">
        <f>HYPERLINK("http://www.twitter.com/nyc311/status/793821466894692353", "793821466894692353")</f>
        <v>0</v>
      </c>
      <c r="B732" s="2">
        <v>42676.6013888889</v>
      </c>
      <c r="C732">
        <v>0</v>
      </c>
      <c r="D732">
        <v>0</v>
      </c>
      <c r="E732" t="s">
        <v>730</v>
      </c>
    </row>
    <row r="733" spans="1:5">
      <c r="A733">
        <f>HYPERLINK("http://www.twitter.com/nyc311/status/793817241552904193", "793817241552904193")</f>
        <v>0</v>
      </c>
      <c r="B733" s="2">
        <v>42676.5897337963</v>
      </c>
      <c r="C733">
        <v>0</v>
      </c>
      <c r="D733">
        <v>0</v>
      </c>
      <c r="E733" t="s">
        <v>731</v>
      </c>
    </row>
    <row r="734" spans="1:5">
      <c r="A734">
        <f>HYPERLINK("http://www.twitter.com/nyc311/status/793817049810305024", "793817049810305024")</f>
        <v>0</v>
      </c>
      <c r="B734" s="2">
        <v>42676.5892013889</v>
      </c>
      <c r="C734">
        <v>0</v>
      </c>
      <c r="D734">
        <v>0</v>
      </c>
      <c r="E734" t="s">
        <v>732</v>
      </c>
    </row>
    <row r="735" spans="1:5">
      <c r="A735">
        <f>HYPERLINK("http://www.twitter.com/nyc311/status/793815454653485056", "793815454653485056")</f>
        <v>0</v>
      </c>
      <c r="B735" s="2">
        <v>42676.5848032407</v>
      </c>
      <c r="C735">
        <v>1</v>
      </c>
      <c r="D735">
        <v>2</v>
      </c>
      <c r="E735" t="s">
        <v>294</v>
      </c>
    </row>
    <row r="736" spans="1:5">
      <c r="A736">
        <f>HYPERLINK("http://www.twitter.com/nyc311/status/793807589616324608", "793807589616324608")</f>
        <v>0</v>
      </c>
      <c r="B736" s="2">
        <v>42676.5631018519</v>
      </c>
      <c r="C736">
        <v>0</v>
      </c>
      <c r="D736">
        <v>0</v>
      </c>
      <c r="E736" t="s">
        <v>733</v>
      </c>
    </row>
    <row r="737" spans="1:5">
      <c r="A737">
        <f>HYPERLINK("http://www.twitter.com/nyc311/status/793543461999931394", "793543461999931394")</f>
        <v>0</v>
      </c>
      <c r="B737" s="2">
        <v>42675.8342476852</v>
      </c>
      <c r="C737">
        <v>9</v>
      </c>
      <c r="D737">
        <v>12</v>
      </c>
      <c r="E737" t="s">
        <v>734</v>
      </c>
    </row>
    <row r="738" spans="1:5">
      <c r="A738">
        <f>HYPERLINK("http://www.twitter.com/nyc311/status/793528100516691968", "793528100516691968")</f>
        <v>0</v>
      </c>
      <c r="B738" s="2">
        <v>42675.7918518518</v>
      </c>
      <c r="C738">
        <v>3</v>
      </c>
      <c r="D738">
        <v>0</v>
      </c>
      <c r="E738" t="s">
        <v>735</v>
      </c>
    </row>
    <row r="739" spans="1:5">
      <c r="A739">
        <f>HYPERLINK("http://www.twitter.com/nyc311/status/793526343820607490", "793526343820607490")</f>
        <v>0</v>
      </c>
      <c r="B739" s="2">
        <v>42675.7870138889</v>
      </c>
      <c r="C739">
        <v>1</v>
      </c>
      <c r="D739">
        <v>0</v>
      </c>
      <c r="E739" t="s">
        <v>736</v>
      </c>
    </row>
    <row r="740" spans="1:5">
      <c r="A740">
        <f>HYPERLINK("http://www.twitter.com/nyc311/status/793524329887764481", "793524329887764481")</f>
        <v>0</v>
      </c>
      <c r="B740" s="2">
        <v>42675.7814467593</v>
      </c>
      <c r="C740">
        <v>1</v>
      </c>
      <c r="D740">
        <v>0</v>
      </c>
      <c r="E740" t="s">
        <v>737</v>
      </c>
    </row>
    <row r="741" spans="1:5">
      <c r="A741">
        <f>HYPERLINK("http://www.twitter.com/nyc311/status/793522992856850433", "793522992856850433")</f>
        <v>0</v>
      </c>
      <c r="B741" s="2">
        <v>42675.7777662037</v>
      </c>
      <c r="C741">
        <v>0</v>
      </c>
      <c r="D741">
        <v>0</v>
      </c>
      <c r="E741" t="s">
        <v>738</v>
      </c>
    </row>
    <row r="742" spans="1:5">
      <c r="A742">
        <f>HYPERLINK("http://www.twitter.com/nyc311/status/793513552908840960", "793513552908840960")</f>
        <v>0</v>
      </c>
      <c r="B742" s="2">
        <v>42675.751712963</v>
      </c>
      <c r="C742">
        <v>3</v>
      </c>
      <c r="D742">
        <v>2</v>
      </c>
      <c r="E742" t="s">
        <v>739</v>
      </c>
    </row>
    <row r="743" spans="1:5">
      <c r="A743">
        <f>HYPERLINK("http://www.twitter.com/nyc311/status/793492248046559234", "793492248046559234")</f>
        <v>0</v>
      </c>
      <c r="B743" s="2">
        <v>42675.6929166667</v>
      </c>
      <c r="C743">
        <v>0</v>
      </c>
      <c r="D743">
        <v>0</v>
      </c>
      <c r="E743" t="s">
        <v>740</v>
      </c>
    </row>
    <row r="744" spans="1:5">
      <c r="A744">
        <f>HYPERLINK("http://www.twitter.com/nyc311/status/793483403471556610", "793483403471556610")</f>
        <v>0</v>
      </c>
      <c r="B744" s="2">
        <v>42675.6685185185</v>
      </c>
      <c r="C744">
        <v>0</v>
      </c>
      <c r="D744">
        <v>0</v>
      </c>
      <c r="E744" t="s">
        <v>741</v>
      </c>
    </row>
    <row r="745" spans="1:5">
      <c r="A745">
        <f>HYPERLINK("http://www.twitter.com/nyc311/status/793472952876531712", "793472952876531712")</f>
        <v>0</v>
      </c>
      <c r="B745" s="2">
        <v>42675.6396759259</v>
      </c>
      <c r="C745">
        <v>0</v>
      </c>
      <c r="D745">
        <v>0</v>
      </c>
      <c r="E745" t="s">
        <v>742</v>
      </c>
    </row>
    <row r="746" spans="1:5">
      <c r="A746">
        <f>HYPERLINK("http://www.twitter.com/nyc311/status/793470053706526724", "793470053706526724")</f>
        <v>0</v>
      </c>
      <c r="B746" s="2">
        <v>42675.6316782407</v>
      </c>
      <c r="C746">
        <v>0</v>
      </c>
      <c r="D746">
        <v>0</v>
      </c>
      <c r="E746" t="s">
        <v>743</v>
      </c>
    </row>
    <row r="747" spans="1:5">
      <c r="A747">
        <f>HYPERLINK("http://www.twitter.com/nyc311/status/793469237167783937", "793469237167783937")</f>
        <v>0</v>
      </c>
      <c r="B747" s="2">
        <v>42675.6294212963</v>
      </c>
      <c r="C747">
        <v>1</v>
      </c>
      <c r="D747">
        <v>0</v>
      </c>
      <c r="E747" t="s">
        <v>744</v>
      </c>
    </row>
    <row r="748" spans="1:5">
      <c r="A748">
        <f>HYPERLINK("http://www.twitter.com/nyc311/status/793469057987207168", "793469057987207168")</f>
        <v>0</v>
      </c>
      <c r="B748" s="2">
        <v>42675.6289351852</v>
      </c>
      <c r="C748">
        <v>0</v>
      </c>
      <c r="D748">
        <v>0</v>
      </c>
      <c r="E748" t="s">
        <v>745</v>
      </c>
    </row>
    <row r="749" spans="1:5">
      <c r="A749">
        <f>HYPERLINK("http://www.twitter.com/nyc311/status/793468942371135488", "793468942371135488")</f>
        <v>0</v>
      </c>
      <c r="B749" s="2">
        <v>42675.6286111111</v>
      </c>
      <c r="C749">
        <v>0</v>
      </c>
      <c r="D749">
        <v>0</v>
      </c>
      <c r="E749" t="s">
        <v>746</v>
      </c>
    </row>
    <row r="750" spans="1:5">
      <c r="A750">
        <f>HYPERLINK("http://www.twitter.com/nyc311/status/793468770454999040", "793468770454999040")</f>
        <v>0</v>
      </c>
      <c r="B750" s="2">
        <v>42675.6281365741</v>
      </c>
      <c r="C750">
        <v>0</v>
      </c>
      <c r="D750">
        <v>0</v>
      </c>
      <c r="E750" t="s">
        <v>747</v>
      </c>
    </row>
    <row r="751" spans="1:5">
      <c r="A751">
        <f>HYPERLINK("http://www.twitter.com/nyc311/status/793459030630989828", "793459030630989828")</f>
        <v>0</v>
      </c>
      <c r="B751" s="2">
        <v>42675.6012615741</v>
      </c>
      <c r="C751">
        <v>1</v>
      </c>
      <c r="D751">
        <v>0</v>
      </c>
      <c r="E751" t="s">
        <v>748</v>
      </c>
    </row>
    <row r="752" spans="1:5">
      <c r="A752">
        <f>HYPERLINK("http://www.twitter.com/nyc311/status/793456957835345920", "793456957835345920")</f>
        <v>0</v>
      </c>
      <c r="B752" s="2">
        <v>42675.5955439815</v>
      </c>
      <c r="C752">
        <v>1</v>
      </c>
      <c r="D752">
        <v>0</v>
      </c>
      <c r="E752" t="s">
        <v>749</v>
      </c>
    </row>
    <row r="753" spans="1:5">
      <c r="A753">
        <f>HYPERLINK("http://www.twitter.com/nyc311/status/793453399366926337", "793453399366926337")</f>
        <v>0</v>
      </c>
      <c r="B753" s="2">
        <v>42675.5857175926</v>
      </c>
      <c r="C753">
        <v>7</v>
      </c>
      <c r="D753">
        <v>7</v>
      </c>
      <c r="E753" t="s">
        <v>750</v>
      </c>
    </row>
    <row r="754" spans="1:5">
      <c r="A754">
        <f>HYPERLINK("http://www.twitter.com/nyc311/status/793450877155741696", "793450877155741696")</f>
        <v>0</v>
      </c>
      <c r="B754" s="2">
        <v>42675.5787615741</v>
      </c>
      <c r="C754">
        <v>0</v>
      </c>
      <c r="D754">
        <v>0</v>
      </c>
      <c r="E754" t="s">
        <v>751</v>
      </c>
    </row>
    <row r="755" spans="1:5">
      <c r="A755">
        <f>HYPERLINK("http://www.twitter.com/nyc311/status/793418654998224896", "793418654998224896")</f>
        <v>0</v>
      </c>
      <c r="B755" s="2">
        <v>42675.489849537</v>
      </c>
      <c r="C755">
        <v>1</v>
      </c>
      <c r="D755">
        <v>1</v>
      </c>
      <c r="E755" t="s">
        <v>752</v>
      </c>
    </row>
    <row r="756" spans="1:5">
      <c r="A756">
        <f>HYPERLINK("http://www.twitter.com/nyc311/status/793415038883225600", "793415038883225600")</f>
        <v>0</v>
      </c>
      <c r="B756" s="2">
        <v>42675.4798611111</v>
      </c>
      <c r="C756">
        <v>3</v>
      </c>
      <c r="D756">
        <v>6</v>
      </c>
      <c r="E756" t="s">
        <v>753</v>
      </c>
    </row>
    <row r="757" spans="1:5">
      <c r="A757">
        <f>HYPERLINK("http://www.twitter.com/nyc311/status/793206900628291585", "793206900628291585")</f>
        <v>0</v>
      </c>
      <c r="B757" s="2">
        <v>42674.9055092593</v>
      </c>
      <c r="C757">
        <v>0</v>
      </c>
      <c r="D757">
        <v>0</v>
      </c>
      <c r="E757" t="s">
        <v>754</v>
      </c>
    </row>
    <row r="758" spans="1:5">
      <c r="A758">
        <f>HYPERLINK("http://www.twitter.com/nyc311/status/793186103692001281", "793186103692001281")</f>
        <v>0</v>
      </c>
      <c r="B758" s="2">
        <v>42674.848125</v>
      </c>
      <c r="C758">
        <v>0</v>
      </c>
      <c r="D758">
        <v>16</v>
      </c>
      <c r="E758" t="s">
        <v>755</v>
      </c>
    </row>
    <row r="759" spans="1:5">
      <c r="A759">
        <f>HYPERLINK("http://www.twitter.com/nyc311/status/793181242967650304", "793181242967650304")</f>
        <v>0</v>
      </c>
      <c r="B759" s="2">
        <v>42674.8347106481</v>
      </c>
      <c r="C759">
        <v>2</v>
      </c>
      <c r="D759">
        <v>1</v>
      </c>
      <c r="E759" t="s">
        <v>756</v>
      </c>
    </row>
    <row r="760" spans="1:5">
      <c r="A760">
        <f>HYPERLINK("http://www.twitter.com/nyc311/status/793178840671645696", "793178840671645696")</f>
        <v>0</v>
      </c>
      <c r="B760" s="2">
        <v>42674.8280787037</v>
      </c>
      <c r="C760">
        <v>0</v>
      </c>
      <c r="D760">
        <v>0</v>
      </c>
      <c r="E760" t="s">
        <v>757</v>
      </c>
    </row>
    <row r="761" spans="1:5">
      <c r="A761">
        <f>HYPERLINK("http://www.twitter.com/nyc311/status/793166342299975684", "793166342299975684")</f>
        <v>0</v>
      </c>
      <c r="B761" s="2">
        <v>42674.793587963</v>
      </c>
      <c r="C761">
        <v>3</v>
      </c>
      <c r="D761">
        <v>5</v>
      </c>
      <c r="E761" t="s">
        <v>758</v>
      </c>
    </row>
    <row r="762" spans="1:5">
      <c r="A762">
        <f>HYPERLINK("http://www.twitter.com/nyc311/status/793156099964829697", "793156099964829697")</f>
        <v>0</v>
      </c>
      <c r="B762" s="2">
        <v>42674.7653356481</v>
      </c>
      <c r="C762">
        <v>0</v>
      </c>
      <c r="D762">
        <v>0</v>
      </c>
      <c r="E762" t="s">
        <v>759</v>
      </c>
    </row>
    <row r="763" spans="1:5">
      <c r="A763">
        <f>HYPERLINK("http://www.twitter.com/nyc311/status/793151263261294592", "793151263261294592")</f>
        <v>0</v>
      </c>
      <c r="B763" s="2">
        <v>42674.7519791667</v>
      </c>
      <c r="C763">
        <v>2</v>
      </c>
      <c r="D763">
        <v>2</v>
      </c>
      <c r="E763" t="s">
        <v>760</v>
      </c>
    </row>
    <row r="764" spans="1:5">
      <c r="A764">
        <f>HYPERLINK("http://www.twitter.com/nyc311/status/793150154656415744", "793150154656415744")</f>
        <v>0</v>
      </c>
      <c r="B764" s="2">
        <v>42674.7489236111</v>
      </c>
      <c r="C764">
        <v>0</v>
      </c>
      <c r="D764">
        <v>0</v>
      </c>
      <c r="E764" t="s">
        <v>761</v>
      </c>
    </row>
    <row r="765" spans="1:5">
      <c r="A765">
        <f>HYPERLINK("http://www.twitter.com/nyc311/status/793143567774613504", "793143567774613504")</f>
        <v>0</v>
      </c>
      <c r="B765" s="2">
        <v>42674.7307523148</v>
      </c>
      <c r="C765">
        <v>7</v>
      </c>
      <c r="D765">
        <v>1</v>
      </c>
      <c r="E765" t="s">
        <v>762</v>
      </c>
    </row>
    <row r="766" spans="1:5">
      <c r="A766">
        <f>HYPERLINK("http://www.twitter.com/nyc311/status/793135981725683712", "793135981725683712")</f>
        <v>0</v>
      </c>
      <c r="B766" s="2">
        <v>42674.7098148148</v>
      </c>
      <c r="C766">
        <v>1</v>
      </c>
      <c r="D766">
        <v>1</v>
      </c>
      <c r="E766" t="s">
        <v>763</v>
      </c>
    </row>
    <row r="767" spans="1:5">
      <c r="A767">
        <f>HYPERLINK("http://www.twitter.com/nyc311/status/793135012212244485", "793135012212244485")</f>
        <v>0</v>
      </c>
      <c r="B767" s="2">
        <v>42674.7071412037</v>
      </c>
      <c r="C767">
        <v>0</v>
      </c>
      <c r="D767">
        <v>0</v>
      </c>
      <c r="E767" t="s">
        <v>764</v>
      </c>
    </row>
    <row r="768" spans="1:5">
      <c r="A768">
        <f>HYPERLINK("http://www.twitter.com/nyc311/status/793126727874740226", "793126727874740226")</f>
        <v>0</v>
      </c>
      <c r="B768" s="2">
        <v>42674.6842824074</v>
      </c>
      <c r="C768">
        <v>0</v>
      </c>
      <c r="D768">
        <v>0</v>
      </c>
      <c r="E768" t="s">
        <v>765</v>
      </c>
    </row>
    <row r="769" spans="1:5">
      <c r="A769">
        <f>HYPERLINK("http://www.twitter.com/nyc311/status/793126587789111297", "793126587789111297")</f>
        <v>0</v>
      </c>
      <c r="B769" s="2">
        <v>42674.6838888889</v>
      </c>
      <c r="C769">
        <v>0</v>
      </c>
      <c r="D769">
        <v>0</v>
      </c>
      <c r="E769" t="s">
        <v>766</v>
      </c>
    </row>
    <row r="770" spans="1:5">
      <c r="A770">
        <f>HYPERLINK("http://www.twitter.com/nyc311/status/793121114222391296", "793121114222391296")</f>
        <v>0</v>
      </c>
      <c r="B770" s="2">
        <v>42674.6687847222</v>
      </c>
      <c r="C770">
        <v>3</v>
      </c>
      <c r="D770">
        <v>4</v>
      </c>
      <c r="E770" t="s">
        <v>767</v>
      </c>
    </row>
    <row r="771" spans="1:5">
      <c r="A771">
        <f>HYPERLINK("http://www.twitter.com/nyc311/status/793103255765151744", "793103255765151744")</f>
        <v>0</v>
      </c>
      <c r="B771" s="2">
        <v>42674.6195023148</v>
      </c>
      <c r="C771">
        <v>0</v>
      </c>
      <c r="D771">
        <v>0</v>
      </c>
      <c r="E771" t="s">
        <v>768</v>
      </c>
    </row>
    <row r="772" spans="1:5">
      <c r="A772">
        <f>HYPERLINK("http://www.twitter.com/nyc311/status/793102923777581056", "793102923777581056")</f>
        <v>0</v>
      </c>
      <c r="B772" s="2">
        <v>42674.618587963</v>
      </c>
      <c r="C772">
        <v>0</v>
      </c>
      <c r="D772">
        <v>0</v>
      </c>
      <c r="E772" t="s">
        <v>769</v>
      </c>
    </row>
    <row r="773" spans="1:5">
      <c r="A773">
        <f>HYPERLINK("http://www.twitter.com/nyc311/status/793101698055172099", "793101698055172099")</f>
        <v>0</v>
      </c>
      <c r="B773" s="2">
        <v>42674.6152083333</v>
      </c>
      <c r="C773">
        <v>0</v>
      </c>
      <c r="D773">
        <v>0</v>
      </c>
      <c r="E773" t="s">
        <v>770</v>
      </c>
    </row>
    <row r="774" spans="1:5">
      <c r="A774">
        <f>HYPERLINK("http://www.twitter.com/nyc311/status/793100717892534272", "793100717892534272")</f>
        <v>0</v>
      </c>
      <c r="B774" s="2">
        <v>42674.6125</v>
      </c>
      <c r="C774">
        <v>0</v>
      </c>
      <c r="D774">
        <v>0</v>
      </c>
      <c r="E774" t="s">
        <v>771</v>
      </c>
    </row>
    <row r="775" spans="1:5">
      <c r="A775">
        <f>HYPERLINK("http://www.twitter.com/nyc311/status/793100371090604036", "793100371090604036")</f>
        <v>0</v>
      </c>
      <c r="B775" s="2">
        <v>42674.6115509259</v>
      </c>
      <c r="C775">
        <v>0</v>
      </c>
      <c r="D775">
        <v>0</v>
      </c>
      <c r="E775" t="s">
        <v>772</v>
      </c>
    </row>
    <row r="776" spans="1:5">
      <c r="A776">
        <f>HYPERLINK("http://www.twitter.com/nyc311/status/793097790008229888", "793097790008229888")</f>
        <v>0</v>
      </c>
      <c r="B776" s="2">
        <v>42674.6044212963</v>
      </c>
      <c r="C776">
        <v>1</v>
      </c>
      <c r="D776">
        <v>1</v>
      </c>
      <c r="E776" t="s">
        <v>773</v>
      </c>
    </row>
    <row r="777" spans="1:5">
      <c r="A777">
        <f>HYPERLINK("http://www.twitter.com/nyc311/status/793095349401509889", "793095349401509889")</f>
        <v>0</v>
      </c>
      <c r="B777" s="2">
        <v>42674.5976851852</v>
      </c>
      <c r="C777">
        <v>0</v>
      </c>
      <c r="D777">
        <v>0</v>
      </c>
      <c r="E777" t="s">
        <v>774</v>
      </c>
    </row>
    <row r="778" spans="1:5">
      <c r="A778">
        <f>HYPERLINK("http://www.twitter.com/nyc311/status/793095051702329344", "793095051702329344")</f>
        <v>0</v>
      </c>
      <c r="B778" s="2">
        <v>42674.5968634259</v>
      </c>
      <c r="C778">
        <v>0</v>
      </c>
      <c r="D778">
        <v>0</v>
      </c>
      <c r="E778" t="s">
        <v>775</v>
      </c>
    </row>
    <row r="779" spans="1:5">
      <c r="A779">
        <f>HYPERLINK("http://www.twitter.com/nyc311/status/793094029420400640", "793094029420400640")</f>
        <v>0</v>
      </c>
      <c r="B779" s="2">
        <v>42674.5940509259</v>
      </c>
      <c r="C779">
        <v>0</v>
      </c>
      <c r="D779">
        <v>0</v>
      </c>
      <c r="E779" t="s">
        <v>776</v>
      </c>
    </row>
    <row r="780" spans="1:5">
      <c r="A780">
        <f>HYPERLINK("http://www.twitter.com/nyc311/status/793093921073135621", "793093921073135621")</f>
        <v>0</v>
      </c>
      <c r="B780" s="2">
        <v>42674.59375</v>
      </c>
      <c r="C780">
        <v>0</v>
      </c>
      <c r="D780">
        <v>0</v>
      </c>
      <c r="E780" t="s">
        <v>777</v>
      </c>
    </row>
    <row r="781" spans="1:5">
      <c r="A781">
        <f>HYPERLINK("http://www.twitter.com/nyc311/status/793093884310130688", "793093884310130688")</f>
        <v>0</v>
      </c>
      <c r="B781" s="2">
        <v>42674.5936458333</v>
      </c>
      <c r="C781">
        <v>0</v>
      </c>
      <c r="D781">
        <v>0</v>
      </c>
      <c r="E781" t="s">
        <v>778</v>
      </c>
    </row>
    <row r="782" spans="1:5">
      <c r="A782">
        <f>HYPERLINK("http://www.twitter.com/nyc311/status/793092863009619969", "793092863009619969")</f>
        <v>0</v>
      </c>
      <c r="B782" s="2">
        <v>42674.5908333333</v>
      </c>
      <c r="C782">
        <v>0</v>
      </c>
      <c r="D782">
        <v>0</v>
      </c>
      <c r="E782" t="s">
        <v>779</v>
      </c>
    </row>
    <row r="783" spans="1:5">
      <c r="A783">
        <f>HYPERLINK("http://www.twitter.com/nyc311/status/793092219888697344", "793092219888697344")</f>
        <v>0</v>
      </c>
      <c r="B783" s="2">
        <v>42674.5890509259</v>
      </c>
      <c r="C783">
        <v>1</v>
      </c>
      <c r="D783">
        <v>0</v>
      </c>
      <c r="E783" t="s">
        <v>780</v>
      </c>
    </row>
    <row r="784" spans="1:5">
      <c r="A784">
        <f>HYPERLINK("http://www.twitter.com/nyc311/status/793091460186959872", "793091460186959872")</f>
        <v>0</v>
      </c>
      <c r="B784" s="2">
        <v>42674.5869560185</v>
      </c>
      <c r="C784">
        <v>0</v>
      </c>
      <c r="D784">
        <v>0</v>
      </c>
      <c r="E784" t="s">
        <v>781</v>
      </c>
    </row>
    <row r="785" spans="1:5">
      <c r="A785">
        <f>HYPERLINK("http://www.twitter.com/nyc311/status/793091010356183040", "793091010356183040")</f>
        <v>0</v>
      </c>
      <c r="B785" s="2">
        <v>42674.5857175926</v>
      </c>
      <c r="C785">
        <v>0</v>
      </c>
      <c r="D785">
        <v>0</v>
      </c>
      <c r="E785" t="s">
        <v>782</v>
      </c>
    </row>
    <row r="786" spans="1:5">
      <c r="A786">
        <f>HYPERLINK("http://www.twitter.com/nyc311/status/793090941418700800", "793090941418700800")</f>
        <v>0</v>
      </c>
      <c r="B786" s="2">
        <v>42674.5855324074</v>
      </c>
      <c r="C786">
        <v>1</v>
      </c>
      <c r="D786">
        <v>6</v>
      </c>
      <c r="E786" t="s">
        <v>783</v>
      </c>
    </row>
    <row r="787" spans="1:5">
      <c r="A787">
        <f>HYPERLINK("http://www.twitter.com/nyc311/status/793090498022047744", "793090498022047744")</f>
        <v>0</v>
      </c>
      <c r="B787" s="2">
        <v>42674.5843055556</v>
      </c>
      <c r="C787">
        <v>0</v>
      </c>
      <c r="D787">
        <v>0</v>
      </c>
      <c r="E787" t="s">
        <v>784</v>
      </c>
    </row>
    <row r="788" spans="1:5">
      <c r="A788">
        <f>HYPERLINK("http://www.twitter.com/nyc311/status/793089733429723136", "793089733429723136")</f>
        <v>0</v>
      </c>
      <c r="B788" s="2">
        <v>42674.5821990741</v>
      </c>
      <c r="C788">
        <v>0</v>
      </c>
      <c r="D788">
        <v>0</v>
      </c>
      <c r="E788" t="s">
        <v>785</v>
      </c>
    </row>
    <row r="789" spans="1:5">
      <c r="A789">
        <f>HYPERLINK("http://www.twitter.com/nyc311/status/793088768651780097", "793088768651780097")</f>
        <v>0</v>
      </c>
      <c r="B789" s="2">
        <v>42674.579525463</v>
      </c>
      <c r="C789">
        <v>0</v>
      </c>
      <c r="D789">
        <v>0</v>
      </c>
      <c r="E789" t="s">
        <v>786</v>
      </c>
    </row>
    <row r="790" spans="1:5">
      <c r="A790">
        <f>HYPERLINK("http://www.twitter.com/nyc311/status/793088536362774528", "793088536362774528")</f>
        <v>0</v>
      </c>
      <c r="B790" s="2">
        <v>42674.5788888889</v>
      </c>
      <c r="C790">
        <v>0</v>
      </c>
      <c r="D790">
        <v>0</v>
      </c>
      <c r="E790" t="s">
        <v>787</v>
      </c>
    </row>
    <row r="791" spans="1:5">
      <c r="A791">
        <f>HYPERLINK("http://www.twitter.com/nyc311/status/793087755207184384", "793087755207184384")</f>
        <v>0</v>
      </c>
      <c r="B791" s="2">
        <v>42674.5767361111</v>
      </c>
      <c r="C791">
        <v>0</v>
      </c>
      <c r="D791">
        <v>0</v>
      </c>
      <c r="E791" t="s">
        <v>788</v>
      </c>
    </row>
    <row r="792" spans="1:5">
      <c r="A792">
        <f>HYPERLINK("http://www.twitter.com/nyc311/status/792818720838123524", "792818720838123524")</f>
        <v>0</v>
      </c>
      <c r="B792" s="2">
        <v>42673.8343402778</v>
      </c>
      <c r="C792">
        <v>2</v>
      </c>
      <c r="D792">
        <v>1</v>
      </c>
      <c r="E792" t="s">
        <v>789</v>
      </c>
    </row>
    <row r="793" spans="1:5">
      <c r="A793">
        <f>HYPERLINK("http://www.twitter.com/nyc311/status/792788514316386304", "792788514316386304")</f>
        <v>0</v>
      </c>
      <c r="B793" s="2">
        <v>42673.7509837963</v>
      </c>
      <c r="C793">
        <v>4</v>
      </c>
      <c r="D793">
        <v>1</v>
      </c>
      <c r="E793" t="s">
        <v>790</v>
      </c>
    </row>
    <row r="794" spans="1:5">
      <c r="A794">
        <f>HYPERLINK("http://www.twitter.com/nyc311/status/792758360303144960", "792758360303144960")</f>
        <v>0</v>
      </c>
      <c r="B794" s="2">
        <v>42673.6677777778</v>
      </c>
      <c r="C794">
        <v>2</v>
      </c>
      <c r="D794">
        <v>2</v>
      </c>
      <c r="E794" t="s">
        <v>791</v>
      </c>
    </row>
    <row r="795" spans="1:5">
      <c r="A795">
        <f>HYPERLINK("http://www.twitter.com/nyc311/status/792743133226426368", "792743133226426368")</f>
        <v>0</v>
      </c>
      <c r="B795" s="2">
        <v>42673.6257638889</v>
      </c>
      <c r="C795">
        <v>58</v>
      </c>
      <c r="D795">
        <v>16</v>
      </c>
      <c r="E795" t="s">
        <v>792</v>
      </c>
    </row>
    <row r="796" spans="1:5">
      <c r="A796">
        <f>HYPERLINK("http://www.twitter.com/nyc311/status/792728119752916992", "792728119752916992")</f>
        <v>0</v>
      </c>
      <c r="B796" s="2">
        <v>42673.5843287037</v>
      </c>
      <c r="C796">
        <v>3</v>
      </c>
      <c r="D796">
        <v>10</v>
      </c>
      <c r="E796" t="s">
        <v>793</v>
      </c>
    </row>
    <row r="797" spans="1:5">
      <c r="A797">
        <f>HYPERLINK("http://www.twitter.com/nyc311/status/792456319282315265", "792456319282315265")</f>
        <v>0</v>
      </c>
      <c r="B797" s="2">
        <v>42672.8343055556</v>
      </c>
      <c r="C797">
        <v>2</v>
      </c>
      <c r="D797">
        <v>2</v>
      </c>
      <c r="E797" t="s">
        <v>794</v>
      </c>
    </row>
    <row r="798" spans="1:5">
      <c r="A798">
        <f>HYPERLINK("http://www.twitter.com/nyc311/status/792426012550266880", "792426012550266880")</f>
        <v>0</v>
      </c>
      <c r="B798" s="2">
        <v>42672.7506712963</v>
      </c>
      <c r="C798">
        <v>2</v>
      </c>
      <c r="D798">
        <v>2</v>
      </c>
      <c r="E798" t="s">
        <v>795</v>
      </c>
    </row>
    <row r="799" spans="1:5">
      <c r="A799">
        <f>HYPERLINK("http://www.twitter.com/nyc311/status/792396042880909312", "792396042880909312")</f>
        <v>0</v>
      </c>
      <c r="B799" s="2">
        <v>42672.667974537</v>
      </c>
      <c r="C799">
        <v>5</v>
      </c>
      <c r="D799">
        <v>6</v>
      </c>
      <c r="E799" t="s">
        <v>796</v>
      </c>
    </row>
    <row r="800" spans="1:5">
      <c r="A800">
        <f>HYPERLINK("http://www.twitter.com/nyc311/status/792365882991374337", "792365882991374337")</f>
        <v>0</v>
      </c>
      <c r="B800" s="2">
        <v>42672.5847453704</v>
      </c>
      <c r="C800">
        <v>4</v>
      </c>
      <c r="D800">
        <v>5</v>
      </c>
      <c r="E800" t="s">
        <v>797</v>
      </c>
    </row>
    <row r="801" spans="1:5">
      <c r="A801">
        <f>HYPERLINK("http://www.twitter.com/nyc311/status/792108807388266497", "792108807388266497")</f>
        <v>0</v>
      </c>
      <c r="B801" s="2">
        <v>42671.8753587963</v>
      </c>
      <c r="C801">
        <v>6</v>
      </c>
      <c r="D801">
        <v>3</v>
      </c>
      <c r="E801" t="s">
        <v>798</v>
      </c>
    </row>
    <row r="802" spans="1:5">
      <c r="A802">
        <f>HYPERLINK("http://www.twitter.com/nyc311/status/792093744371798017", "792093744371798017")</f>
        <v>0</v>
      </c>
      <c r="B802" s="2">
        <v>42671.8337847222</v>
      </c>
      <c r="C802">
        <v>1</v>
      </c>
      <c r="D802">
        <v>1</v>
      </c>
      <c r="E802" t="s">
        <v>799</v>
      </c>
    </row>
    <row r="803" spans="1:5">
      <c r="A803">
        <f>HYPERLINK("http://www.twitter.com/nyc311/status/792088734393131008", "792088734393131008")</f>
        <v>0</v>
      </c>
      <c r="B803" s="2">
        <v>42671.8199652778</v>
      </c>
      <c r="C803">
        <v>0</v>
      </c>
      <c r="D803">
        <v>0</v>
      </c>
      <c r="E803" t="s">
        <v>800</v>
      </c>
    </row>
    <row r="804" spans="1:5">
      <c r="A804">
        <f>HYPERLINK("http://www.twitter.com/nyc311/status/792079202765922305", "792079202765922305")</f>
        <v>0</v>
      </c>
      <c r="B804" s="2">
        <v>42671.7936574074</v>
      </c>
      <c r="C804">
        <v>0</v>
      </c>
      <c r="D804">
        <v>0</v>
      </c>
      <c r="E804" t="s">
        <v>801</v>
      </c>
    </row>
    <row r="805" spans="1:5">
      <c r="A805">
        <f>HYPERLINK("http://www.twitter.com/nyc311/status/792079111892197376", "792079111892197376")</f>
        <v>0</v>
      </c>
      <c r="B805" s="2">
        <v>42671.7934143519</v>
      </c>
      <c r="C805">
        <v>0</v>
      </c>
      <c r="D805">
        <v>0</v>
      </c>
      <c r="E805" t="s">
        <v>802</v>
      </c>
    </row>
    <row r="806" spans="1:5">
      <c r="A806">
        <f>HYPERLINK("http://www.twitter.com/nyc311/status/792064028520640512", "792064028520640512")</f>
        <v>0</v>
      </c>
      <c r="B806" s="2">
        <v>42671.7517824074</v>
      </c>
      <c r="C806">
        <v>11</v>
      </c>
      <c r="D806">
        <v>5</v>
      </c>
      <c r="E806" t="s">
        <v>803</v>
      </c>
    </row>
    <row r="807" spans="1:5">
      <c r="A807">
        <f>HYPERLINK("http://www.twitter.com/nyc311/status/792062627950292996", "792062627950292996")</f>
        <v>0</v>
      </c>
      <c r="B807" s="2">
        <v>42671.7479166667</v>
      </c>
      <c r="C807">
        <v>0</v>
      </c>
      <c r="D807">
        <v>0</v>
      </c>
      <c r="E807" t="s">
        <v>804</v>
      </c>
    </row>
    <row r="808" spans="1:5">
      <c r="A808">
        <f>HYPERLINK("http://www.twitter.com/nyc311/status/792056845355606016", "792056845355606016")</f>
        <v>0</v>
      </c>
      <c r="B808" s="2">
        <v>42671.7319675926</v>
      </c>
      <c r="C808">
        <v>0</v>
      </c>
      <c r="D808">
        <v>0</v>
      </c>
      <c r="E808" t="s">
        <v>805</v>
      </c>
    </row>
    <row r="809" spans="1:5">
      <c r="A809">
        <f>HYPERLINK("http://www.twitter.com/nyc311/status/792056173818179584", "792056173818179584")</f>
        <v>0</v>
      </c>
      <c r="B809" s="2">
        <v>42671.7301157407</v>
      </c>
      <c r="C809">
        <v>1</v>
      </c>
      <c r="D809">
        <v>0</v>
      </c>
      <c r="E809" t="s">
        <v>806</v>
      </c>
    </row>
    <row r="810" spans="1:5">
      <c r="A810">
        <f>HYPERLINK("http://www.twitter.com/nyc311/status/792055285342932992", "792055285342932992")</f>
        <v>0</v>
      </c>
      <c r="B810" s="2">
        <v>42671.727662037</v>
      </c>
      <c r="C810">
        <v>0</v>
      </c>
      <c r="D810">
        <v>0</v>
      </c>
      <c r="E810" t="s">
        <v>807</v>
      </c>
    </row>
    <row r="811" spans="1:5">
      <c r="A811">
        <f>HYPERLINK("http://www.twitter.com/nyc311/status/792054777039491072", "792054777039491072")</f>
        <v>0</v>
      </c>
      <c r="B811" s="2">
        <v>42671.7262615741</v>
      </c>
      <c r="C811">
        <v>0</v>
      </c>
      <c r="D811">
        <v>0</v>
      </c>
      <c r="E811" t="s">
        <v>808</v>
      </c>
    </row>
    <row r="812" spans="1:5">
      <c r="A812">
        <f>HYPERLINK("http://www.twitter.com/nyc311/status/792041352037076996", "792041352037076996")</f>
        <v>0</v>
      </c>
      <c r="B812" s="2">
        <v>42671.689212963</v>
      </c>
      <c r="C812">
        <v>0</v>
      </c>
      <c r="D812">
        <v>0</v>
      </c>
      <c r="E812" t="s">
        <v>809</v>
      </c>
    </row>
    <row r="813" spans="1:5">
      <c r="A813">
        <f>HYPERLINK("http://www.twitter.com/nyc311/status/792033656114151424", "792033656114151424")</f>
        <v>0</v>
      </c>
      <c r="B813" s="2">
        <v>42671.667974537</v>
      </c>
      <c r="C813">
        <v>5</v>
      </c>
      <c r="D813">
        <v>12</v>
      </c>
      <c r="E813" t="s">
        <v>810</v>
      </c>
    </row>
    <row r="814" spans="1:5">
      <c r="A814">
        <f>HYPERLINK("http://www.twitter.com/nyc311/status/792021542632845312", "792021542632845312")</f>
        <v>0</v>
      </c>
      <c r="B814" s="2">
        <v>42671.6345486111</v>
      </c>
      <c r="C814">
        <v>0</v>
      </c>
      <c r="D814">
        <v>0</v>
      </c>
      <c r="E814" t="s">
        <v>811</v>
      </c>
    </row>
    <row r="815" spans="1:5">
      <c r="A815">
        <f>HYPERLINK("http://www.twitter.com/nyc311/status/792014766286012416", "792014766286012416")</f>
        <v>0</v>
      </c>
      <c r="B815" s="2">
        <v>42671.6158449074</v>
      </c>
      <c r="C815">
        <v>0</v>
      </c>
      <c r="D815">
        <v>0</v>
      </c>
      <c r="E815" t="s">
        <v>812</v>
      </c>
    </row>
    <row r="816" spans="1:5">
      <c r="A816">
        <f>HYPERLINK("http://www.twitter.com/nyc311/status/792013605092913152", "792013605092913152")</f>
        <v>0</v>
      </c>
      <c r="B816" s="2">
        <v>42671.612650463</v>
      </c>
      <c r="C816">
        <v>0</v>
      </c>
      <c r="D816">
        <v>0</v>
      </c>
      <c r="E816" t="s">
        <v>813</v>
      </c>
    </row>
    <row r="817" spans="1:5">
      <c r="A817">
        <f>HYPERLINK("http://www.twitter.com/nyc311/status/792012511625216000", "792012511625216000")</f>
        <v>0</v>
      </c>
      <c r="B817" s="2">
        <v>42671.6096296296</v>
      </c>
      <c r="C817">
        <v>0</v>
      </c>
      <c r="D817">
        <v>0</v>
      </c>
      <c r="E817" t="s">
        <v>814</v>
      </c>
    </row>
    <row r="818" spans="1:5">
      <c r="A818">
        <f>HYPERLINK("http://www.twitter.com/nyc311/status/792012134548897792", "792012134548897792")</f>
        <v>0</v>
      </c>
      <c r="B818" s="2">
        <v>42671.608587963</v>
      </c>
      <c r="C818">
        <v>0</v>
      </c>
      <c r="D818">
        <v>0</v>
      </c>
      <c r="E818" t="s">
        <v>815</v>
      </c>
    </row>
    <row r="819" spans="1:5">
      <c r="A819">
        <f>HYPERLINK("http://www.twitter.com/nyc311/status/792008753788907521", "792008753788907521")</f>
        <v>0</v>
      </c>
      <c r="B819" s="2">
        <v>42671.5992592593</v>
      </c>
      <c r="C819">
        <v>1</v>
      </c>
      <c r="D819">
        <v>0</v>
      </c>
      <c r="E819" t="s">
        <v>816</v>
      </c>
    </row>
    <row r="820" spans="1:5">
      <c r="A820">
        <f>HYPERLINK("http://www.twitter.com/nyc311/status/792007573817925632", "792007573817925632")</f>
        <v>0</v>
      </c>
      <c r="B820" s="2">
        <v>42671.5960069444</v>
      </c>
      <c r="C820">
        <v>1</v>
      </c>
      <c r="D820">
        <v>0</v>
      </c>
      <c r="E820" t="s">
        <v>817</v>
      </c>
    </row>
    <row r="821" spans="1:5">
      <c r="A821">
        <f>HYPERLINK("http://www.twitter.com/nyc311/status/792006810236518400", "792006810236518400")</f>
        <v>0</v>
      </c>
      <c r="B821" s="2">
        <v>42671.5938888889</v>
      </c>
      <c r="C821">
        <v>8</v>
      </c>
      <c r="D821">
        <v>5</v>
      </c>
      <c r="E821" t="s">
        <v>818</v>
      </c>
    </row>
    <row r="822" spans="1:5">
      <c r="A822">
        <f>HYPERLINK("http://www.twitter.com/nyc311/status/792003622942941184", "792003622942941184")</f>
        <v>0</v>
      </c>
      <c r="B822" s="2">
        <v>42671.5851041667</v>
      </c>
      <c r="C822">
        <v>27</v>
      </c>
      <c r="D822">
        <v>26</v>
      </c>
      <c r="E822" t="s">
        <v>819</v>
      </c>
    </row>
    <row r="823" spans="1:5">
      <c r="A823">
        <f>HYPERLINK("http://www.twitter.com/nyc311/status/791762795897483264", "791762795897483264")</f>
        <v>0</v>
      </c>
      <c r="B823" s="2">
        <v>42670.9205439815</v>
      </c>
      <c r="C823">
        <v>11</v>
      </c>
      <c r="D823">
        <v>4</v>
      </c>
      <c r="E823" t="s">
        <v>820</v>
      </c>
    </row>
    <row r="824" spans="1:5">
      <c r="A824">
        <f>HYPERLINK("http://www.twitter.com/nyc311/status/791749543234772993", "791749543234772993")</f>
        <v>0</v>
      </c>
      <c r="B824" s="2">
        <v>42670.8839699074</v>
      </c>
      <c r="C824">
        <v>0</v>
      </c>
      <c r="D824">
        <v>0</v>
      </c>
      <c r="E824" t="s">
        <v>821</v>
      </c>
    </row>
    <row r="825" spans="1:5">
      <c r="A825">
        <f>HYPERLINK("http://www.twitter.com/nyc311/status/791748368573816833", "791748368573816833")</f>
        <v>0</v>
      </c>
      <c r="B825" s="2">
        <v>42670.8807291667</v>
      </c>
      <c r="C825">
        <v>0</v>
      </c>
      <c r="D825">
        <v>0</v>
      </c>
      <c r="E825" t="s">
        <v>822</v>
      </c>
    </row>
    <row r="826" spans="1:5">
      <c r="A826">
        <f>HYPERLINK("http://www.twitter.com/nyc311/status/791731711168184321", "791731711168184321")</f>
        <v>0</v>
      </c>
      <c r="B826" s="2">
        <v>42670.8347685185</v>
      </c>
      <c r="C826">
        <v>1</v>
      </c>
      <c r="D826">
        <v>2</v>
      </c>
      <c r="E826" t="s">
        <v>823</v>
      </c>
    </row>
    <row r="827" spans="1:5">
      <c r="A827">
        <f>HYPERLINK("http://www.twitter.com/nyc311/status/791717597465239553", "791717597465239553")</f>
        <v>0</v>
      </c>
      <c r="B827" s="2">
        <v>42670.7958217593</v>
      </c>
      <c r="C827">
        <v>0</v>
      </c>
      <c r="D827">
        <v>0</v>
      </c>
      <c r="E827" t="s">
        <v>824</v>
      </c>
    </row>
    <row r="828" spans="1:5">
      <c r="A828">
        <f>HYPERLINK("http://www.twitter.com/nyc311/status/791715413440794628", "791715413440794628")</f>
        <v>0</v>
      </c>
      <c r="B828" s="2">
        <v>42670.7897916667</v>
      </c>
      <c r="C828">
        <v>0</v>
      </c>
      <c r="D828">
        <v>0</v>
      </c>
      <c r="E828" t="s">
        <v>825</v>
      </c>
    </row>
    <row r="829" spans="1:5">
      <c r="A829">
        <f>HYPERLINK("http://www.twitter.com/nyc311/status/791701577778262016", "791701577778262016")</f>
        <v>0</v>
      </c>
      <c r="B829" s="2">
        <v>42670.7516087963</v>
      </c>
      <c r="C829">
        <v>2</v>
      </c>
      <c r="D829">
        <v>1</v>
      </c>
      <c r="E829" t="s">
        <v>826</v>
      </c>
    </row>
    <row r="830" spans="1:5">
      <c r="A830">
        <f>HYPERLINK("http://www.twitter.com/nyc311/status/791698046430093312", "791698046430093312")</f>
        <v>0</v>
      </c>
      <c r="B830" s="2">
        <v>42670.7418634259</v>
      </c>
      <c r="C830">
        <v>1</v>
      </c>
      <c r="D830">
        <v>1</v>
      </c>
      <c r="E830" t="s">
        <v>827</v>
      </c>
    </row>
    <row r="831" spans="1:5">
      <c r="A831">
        <f>HYPERLINK("http://www.twitter.com/nyc311/status/791693608491552768", "791693608491552768")</f>
        <v>0</v>
      </c>
      <c r="B831" s="2">
        <v>42670.7296180556</v>
      </c>
      <c r="C831">
        <v>2</v>
      </c>
      <c r="D831">
        <v>1</v>
      </c>
      <c r="E831" t="s">
        <v>828</v>
      </c>
    </row>
    <row r="832" spans="1:5">
      <c r="A832">
        <f>HYPERLINK("http://www.twitter.com/nyc311/status/791678580820439040", "791678580820439040")</f>
        <v>0</v>
      </c>
      <c r="B832" s="2">
        <v>42670.6881597222</v>
      </c>
      <c r="C832">
        <v>1</v>
      </c>
      <c r="D832">
        <v>0</v>
      </c>
      <c r="E832" t="s">
        <v>829</v>
      </c>
    </row>
    <row r="833" spans="1:5">
      <c r="A833">
        <f>HYPERLINK("http://www.twitter.com/nyc311/status/791676480300482560", "791676480300482560")</f>
        <v>0</v>
      </c>
      <c r="B833" s="2">
        <v>42670.6823611111</v>
      </c>
      <c r="C833">
        <v>0</v>
      </c>
      <c r="D833">
        <v>0</v>
      </c>
      <c r="E833" t="s">
        <v>830</v>
      </c>
    </row>
    <row r="834" spans="1:5">
      <c r="A834">
        <f>HYPERLINK("http://www.twitter.com/nyc311/status/791671587959410691", "791671587959410691")</f>
        <v>0</v>
      </c>
      <c r="B834" s="2">
        <v>42670.6688541667</v>
      </c>
      <c r="C834">
        <v>2</v>
      </c>
      <c r="D834">
        <v>2</v>
      </c>
      <c r="E834" t="s">
        <v>831</v>
      </c>
    </row>
    <row r="835" spans="1:5">
      <c r="A835">
        <f>HYPERLINK("http://www.twitter.com/nyc311/status/791657232572219392", "791657232572219392")</f>
        <v>0</v>
      </c>
      <c r="B835" s="2">
        <v>42670.6292476852</v>
      </c>
      <c r="C835">
        <v>0</v>
      </c>
      <c r="D835">
        <v>0</v>
      </c>
      <c r="E835" t="s">
        <v>832</v>
      </c>
    </row>
    <row r="836" spans="1:5">
      <c r="A836">
        <f>HYPERLINK("http://www.twitter.com/nyc311/status/791656398086107136", "791656398086107136")</f>
        <v>0</v>
      </c>
      <c r="B836" s="2">
        <v>42670.6269444444</v>
      </c>
      <c r="C836">
        <v>0</v>
      </c>
      <c r="D836">
        <v>1</v>
      </c>
      <c r="E836" t="s">
        <v>833</v>
      </c>
    </row>
    <row r="837" spans="1:5">
      <c r="A837">
        <f>HYPERLINK("http://www.twitter.com/nyc311/status/791655186091614208", "791655186091614208")</f>
        <v>0</v>
      </c>
      <c r="B837" s="2">
        <v>42670.623599537</v>
      </c>
      <c r="C837">
        <v>0</v>
      </c>
      <c r="D837">
        <v>0</v>
      </c>
      <c r="E837" t="s">
        <v>834</v>
      </c>
    </row>
    <row r="838" spans="1:5">
      <c r="A838">
        <f>HYPERLINK("http://www.twitter.com/nyc311/status/791644104044253184", "791644104044253184")</f>
        <v>0</v>
      </c>
      <c r="B838" s="2">
        <v>42670.5930208333</v>
      </c>
      <c r="C838">
        <v>0</v>
      </c>
      <c r="D838">
        <v>0</v>
      </c>
      <c r="E838" t="s">
        <v>835</v>
      </c>
    </row>
    <row r="839" spans="1:5">
      <c r="A839">
        <f>HYPERLINK("http://www.twitter.com/nyc311/status/791642720448176128", "791642720448176128")</f>
        <v>0</v>
      </c>
      <c r="B839" s="2">
        <v>42670.5892013889</v>
      </c>
      <c r="C839">
        <v>0</v>
      </c>
      <c r="D839">
        <v>0</v>
      </c>
      <c r="E839" t="s">
        <v>836</v>
      </c>
    </row>
    <row r="840" spans="1:5">
      <c r="A840">
        <f>HYPERLINK("http://www.twitter.com/nyc311/status/791641616368934912", "791641616368934912")</f>
        <v>0</v>
      </c>
      <c r="B840" s="2">
        <v>42670.5861458333</v>
      </c>
      <c r="C840">
        <v>0</v>
      </c>
      <c r="D840">
        <v>0</v>
      </c>
      <c r="E840" t="s">
        <v>837</v>
      </c>
    </row>
    <row r="841" spans="1:5">
      <c r="A841">
        <f>HYPERLINK("http://www.twitter.com/nyc311/status/791641392963518464", "791641392963518464")</f>
        <v>0</v>
      </c>
      <c r="B841" s="2">
        <v>42670.5855324074</v>
      </c>
      <c r="C841">
        <v>0</v>
      </c>
      <c r="D841">
        <v>0</v>
      </c>
      <c r="E841" t="s">
        <v>838</v>
      </c>
    </row>
    <row r="842" spans="1:5">
      <c r="A842">
        <f>HYPERLINK("http://www.twitter.com/nyc311/status/791641307668250624", "791641307668250624")</f>
        <v>0</v>
      </c>
      <c r="B842" s="2">
        <v>42670.5853009259</v>
      </c>
      <c r="C842">
        <v>7</v>
      </c>
      <c r="D842">
        <v>3</v>
      </c>
      <c r="E842" t="s">
        <v>839</v>
      </c>
    </row>
    <row r="843" spans="1:5">
      <c r="A843">
        <f>HYPERLINK("http://www.twitter.com/nyc311/status/791638178348331010", "791638178348331010")</f>
        <v>0</v>
      </c>
      <c r="B843" s="2">
        <v>42670.5766666667</v>
      </c>
      <c r="C843">
        <v>0</v>
      </c>
      <c r="D843">
        <v>0</v>
      </c>
      <c r="E843" t="s">
        <v>840</v>
      </c>
    </row>
    <row r="844" spans="1:5">
      <c r="A844">
        <f>HYPERLINK("http://www.twitter.com/nyc311/status/791384579189899264", "791384579189899264")</f>
        <v>0</v>
      </c>
      <c r="B844" s="2">
        <v>42669.8768634259</v>
      </c>
      <c r="C844">
        <v>1</v>
      </c>
      <c r="D844">
        <v>0</v>
      </c>
      <c r="E844" t="s">
        <v>841</v>
      </c>
    </row>
    <row r="845" spans="1:5">
      <c r="A845">
        <f>HYPERLINK("http://www.twitter.com/nyc311/status/791383942637248512", "791383942637248512")</f>
        <v>0</v>
      </c>
      <c r="B845" s="2">
        <v>42669.8751041667</v>
      </c>
      <c r="C845">
        <v>1</v>
      </c>
      <c r="D845">
        <v>4</v>
      </c>
      <c r="E845" t="s">
        <v>842</v>
      </c>
    </row>
    <row r="846" spans="1:5">
      <c r="A846">
        <f>HYPERLINK("http://www.twitter.com/nyc311/status/791369437534359553", "791369437534359553")</f>
        <v>0</v>
      </c>
      <c r="B846" s="2">
        <v>42669.8350810185</v>
      </c>
      <c r="C846">
        <v>0</v>
      </c>
      <c r="D846">
        <v>0</v>
      </c>
      <c r="E846" t="s">
        <v>843</v>
      </c>
    </row>
    <row r="847" spans="1:5">
      <c r="A847">
        <f>HYPERLINK("http://www.twitter.com/nyc311/status/791366067683749888", "791366067683749888")</f>
        <v>0</v>
      </c>
      <c r="B847" s="2">
        <v>42669.825787037</v>
      </c>
      <c r="C847">
        <v>0</v>
      </c>
      <c r="D847">
        <v>0</v>
      </c>
      <c r="E847" t="s">
        <v>844</v>
      </c>
    </row>
    <row r="848" spans="1:5">
      <c r="A848">
        <f>HYPERLINK("http://www.twitter.com/nyc311/status/791363226923634688", "791363226923634688")</f>
        <v>0</v>
      </c>
      <c r="B848" s="2">
        <v>42669.8179398148</v>
      </c>
      <c r="C848">
        <v>0</v>
      </c>
      <c r="D848">
        <v>0</v>
      </c>
      <c r="E848" t="s">
        <v>845</v>
      </c>
    </row>
    <row r="849" spans="1:5">
      <c r="A849">
        <f>HYPERLINK("http://www.twitter.com/nyc311/status/791339304891146244", "791339304891146244")</f>
        <v>0</v>
      </c>
      <c r="B849" s="2">
        <v>42669.7519328704</v>
      </c>
      <c r="C849">
        <v>0</v>
      </c>
      <c r="D849">
        <v>1</v>
      </c>
      <c r="E849" t="s">
        <v>846</v>
      </c>
    </row>
    <row r="850" spans="1:5">
      <c r="A850">
        <f>HYPERLINK("http://www.twitter.com/nyc311/status/791338887239110657", "791338887239110657")</f>
        <v>0</v>
      </c>
      <c r="B850" s="2">
        <v>42669.750775463</v>
      </c>
      <c r="C850">
        <v>0</v>
      </c>
      <c r="D850">
        <v>0</v>
      </c>
      <c r="E850" t="s">
        <v>847</v>
      </c>
    </row>
    <row r="851" spans="1:5">
      <c r="A851">
        <f>HYPERLINK("http://www.twitter.com/nyc311/status/791338685333733378", "791338685333733378")</f>
        <v>0</v>
      </c>
      <c r="B851" s="2">
        <v>42669.7502199074</v>
      </c>
      <c r="C851">
        <v>1</v>
      </c>
      <c r="D851">
        <v>0</v>
      </c>
      <c r="E851" t="s">
        <v>848</v>
      </c>
    </row>
    <row r="852" spans="1:5">
      <c r="A852">
        <f>HYPERLINK("http://www.twitter.com/nyc311/status/791309035291246592", "791309035291246592")</f>
        <v>0</v>
      </c>
      <c r="B852" s="2">
        <v>42669.6684027778</v>
      </c>
      <c r="C852">
        <v>0</v>
      </c>
      <c r="D852">
        <v>0</v>
      </c>
      <c r="E852" t="s">
        <v>849</v>
      </c>
    </row>
    <row r="853" spans="1:5">
      <c r="A853">
        <f>HYPERLINK("http://www.twitter.com/nyc311/status/791308008093548544", "791308008093548544")</f>
        <v>0</v>
      </c>
      <c r="B853" s="2">
        <v>42669.6655671296</v>
      </c>
      <c r="C853">
        <v>0</v>
      </c>
      <c r="D853">
        <v>0</v>
      </c>
      <c r="E853" t="s">
        <v>850</v>
      </c>
    </row>
    <row r="854" spans="1:5">
      <c r="A854">
        <f>HYPERLINK("http://www.twitter.com/nyc311/status/791307678999982081", "791307678999982081")</f>
        <v>0</v>
      </c>
      <c r="B854" s="2">
        <v>42669.6646643519</v>
      </c>
      <c r="C854">
        <v>0</v>
      </c>
      <c r="D854">
        <v>0</v>
      </c>
      <c r="E854" t="s">
        <v>851</v>
      </c>
    </row>
    <row r="855" spans="1:5">
      <c r="A855">
        <f>HYPERLINK("http://www.twitter.com/nyc311/status/791306933370314753", "791306933370314753")</f>
        <v>0</v>
      </c>
      <c r="B855" s="2">
        <v>42669.6626041667</v>
      </c>
      <c r="C855">
        <v>0</v>
      </c>
      <c r="D855">
        <v>0</v>
      </c>
      <c r="E855" t="s">
        <v>852</v>
      </c>
    </row>
    <row r="856" spans="1:5">
      <c r="A856">
        <f>HYPERLINK("http://www.twitter.com/nyc311/status/791306206774190081", "791306206774190081")</f>
        <v>0</v>
      </c>
      <c r="B856" s="2">
        <v>42669.6606018519</v>
      </c>
      <c r="C856">
        <v>0</v>
      </c>
      <c r="D856">
        <v>0</v>
      </c>
      <c r="E856" t="s">
        <v>853</v>
      </c>
    </row>
    <row r="857" spans="1:5">
      <c r="A857">
        <f>HYPERLINK("http://www.twitter.com/nyc311/status/791302097706872836", "791302097706872836")</f>
        <v>0</v>
      </c>
      <c r="B857" s="2">
        <v>42669.6492592593</v>
      </c>
      <c r="C857">
        <v>0</v>
      </c>
      <c r="D857">
        <v>0</v>
      </c>
      <c r="E857" t="s">
        <v>854</v>
      </c>
    </row>
    <row r="858" spans="1:5">
      <c r="A858">
        <f>HYPERLINK("http://www.twitter.com/nyc311/status/791299821768507392", "791299821768507392")</f>
        <v>0</v>
      </c>
      <c r="B858" s="2">
        <v>42669.642974537</v>
      </c>
      <c r="C858">
        <v>0</v>
      </c>
      <c r="D858">
        <v>0</v>
      </c>
      <c r="E858" t="s">
        <v>855</v>
      </c>
    </row>
    <row r="859" spans="1:5">
      <c r="A859">
        <f>HYPERLINK("http://www.twitter.com/nyc311/status/791294154676506624", "791294154676506624")</f>
        <v>0</v>
      </c>
      <c r="B859" s="2">
        <v>42669.627337963</v>
      </c>
      <c r="C859">
        <v>1</v>
      </c>
      <c r="D859">
        <v>2</v>
      </c>
      <c r="E859" t="s">
        <v>856</v>
      </c>
    </row>
    <row r="860" spans="1:5">
      <c r="A860">
        <f>HYPERLINK("http://www.twitter.com/nyc311/status/791278545247019008", "791278545247019008")</f>
        <v>0</v>
      </c>
      <c r="B860" s="2">
        <v>42669.5842708333</v>
      </c>
      <c r="C860">
        <v>10</v>
      </c>
      <c r="D860">
        <v>11</v>
      </c>
      <c r="E860" t="s">
        <v>857</v>
      </c>
    </row>
    <row r="861" spans="1:5">
      <c r="A861">
        <f>HYPERLINK("http://www.twitter.com/nyc311/status/791277572944453633", "791277572944453633")</f>
        <v>0</v>
      </c>
      <c r="B861" s="2">
        <v>42669.5815856481</v>
      </c>
      <c r="C861">
        <v>0</v>
      </c>
      <c r="D861">
        <v>0</v>
      </c>
      <c r="E861" t="s">
        <v>858</v>
      </c>
    </row>
    <row r="862" spans="1:5">
      <c r="A862">
        <f>HYPERLINK("http://www.twitter.com/nyc311/status/791025022919909376", "791025022919909376")</f>
        <v>0</v>
      </c>
      <c r="B862" s="2">
        <v>42668.8846759259</v>
      </c>
      <c r="C862">
        <v>0</v>
      </c>
      <c r="D862">
        <v>0</v>
      </c>
      <c r="E862" t="s">
        <v>859</v>
      </c>
    </row>
    <row r="863" spans="1:5">
      <c r="A863">
        <f>HYPERLINK("http://www.twitter.com/nyc311/status/791022721698295808", "791022721698295808")</f>
        <v>0</v>
      </c>
      <c r="B863" s="2">
        <v>42668.8783333333</v>
      </c>
      <c r="C863">
        <v>1</v>
      </c>
      <c r="D863">
        <v>0</v>
      </c>
      <c r="E863" t="s">
        <v>860</v>
      </c>
    </row>
    <row r="864" spans="1:5">
      <c r="A864">
        <f>HYPERLINK("http://www.twitter.com/nyc311/status/791021604776054784", "791021604776054784")</f>
        <v>0</v>
      </c>
      <c r="B864" s="2">
        <v>42668.8752430556</v>
      </c>
      <c r="C864">
        <v>5</v>
      </c>
      <c r="D864">
        <v>6</v>
      </c>
      <c r="E864" t="s">
        <v>861</v>
      </c>
    </row>
    <row r="865" spans="1:5">
      <c r="A865">
        <f>HYPERLINK("http://www.twitter.com/nyc311/status/791014921924407297", "791014921924407297")</f>
        <v>0</v>
      </c>
      <c r="B865" s="2">
        <v>42668.8568055556</v>
      </c>
      <c r="C865">
        <v>1</v>
      </c>
      <c r="D865">
        <v>0</v>
      </c>
      <c r="E865" t="s">
        <v>862</v>
      </c>
    </row>
    <row r="866" spans="1:5">
      <c r="A866">
        <f>HYPERLINK("http://www.twitter.com/nyc311/status/791009924646043649", "791009924646043649")</f>
        <v>0</v>
      </c>
      <c r="B866" s="2">
        <v>42668.8430092593</v>
      </c>
      <c r="C866">
        <v>5</v>
      </c>
      <c r="D866">
        <v>2</v>
      </c>
      <c r="E866" t="s">
        <v>863</v>
      </c>
    </row>
    <row r="867" spans="1:5">
      <c r="A867">
        <f>HYPERLINK("http://www.twitter.com/nyc311/status/791009338341154816", "791009338341154816")</f>
        <v>0</v>
      </c>
      <c r="B867" s="2">
        <v>42668.841400463</v>
      </c>
      <c r="C867">
        <v>0</v>
      </c>
      <c r="D867">
        <v>0</v>
      </c>
      <c r="E867" t="s">
        <v>864</v>
      </c>
    </row>
    <row r="868" spans="1:5">
      <c r="A868">
        <f>HYPERLINK("http://www.twitter.com/nyc311/status/791007062109085697", "791007062109085697")</f>
        <v>0</v>
      </c>
      <c r="B868" s="2">
        <v>42668.8351157407</v>
      </c>
      <c r="C868">
        <v>2</v>
      </c>
      <c r="D868">
        <v>4</v>
      </c>
      <c r="E868" t="s">
        <v>524</v>
      </c>
    </row>
    <row r="869" spans="1:5">
      <c r="A869">
        <f>HYPERLINK("http://www.twitter.com/nyc311/status/791005888379285504", "791005888379285504")</f>
        <v>0</v>
      </c>
      <c r="B869" s="2">
        <v>42668.831875</v>
      </c>
      <c r="C869">
        <v>0</v>
      </c>
      <c r="D869">
        <v>0</v>
      </c>
      <c r="E869" t="s">
        <v>865</v>
      </c>
    </row>
    <row r="870" spans="1:5">
      <c r="A870">
        <f>HYPERLINK("http://www.twitter.com/nyc311/status/790976908452306944", "790976908452306944")</f>
        <v>0</v>
      </c>
      <c r="B870" s="2">
        <v>42668.7519097222</v>
      </c>
      <c r="C870">
        <v>2</v>
      </c>
      <c r="D870">
        <v>3</v>
      </c>
      <c r="E870" t="s">
        <v>734</v>
      </c>
    </row>
    <row r="871" spans="1:5">
      <c r="A871">
        <f>HYPERLINK("http://www.twitter.com/nyc311/status/790951407222489090", "790951407222489090")</f>
        <v>0</v>
      </c>
      <c r="B871" s="2">
        <v>42668.6815393519</v>
      </c>
      <c r="C871">
        <v>1</v>
      </c>
      <c r="D871">
        <v>0</v>
      </c>
      <c r="E871" t="s">
        <v>866</v>
      </c>
    </row>
    <row r="872" spans="1:5">
      <c r="A872">
        <f>HYPERLINK("http://www.twitter.com/nyc311/status/790947061919260672", "790947061919260672")</f>
        <v>0</v>
      </c>
      <c r="B872" s="2">
        <v>42668.6695486111</v>
      </c>
      <c r="C872">
        <v>2</v>
      </c>
      <c r="D872">
        <v>2</v>
      </c>
      <c r="E872" t="s">
        <v>867</v>
      </c>
    </row>
    <row r="873" spans="1:5">
      <c r="A873">
        <f>HYPERLINK("http://www.twitter.com/nyc311/status/790935334028730368", "790935334028730368")</f>
        <v>0</v>
      </c>
      <c r="B873" s="2">
        <v>42668.6371875</v>
      </c>
      <c r="C873">
        <v>0</v>
      </c>
      <c r="D873">
        <v>0</v>
      </c>
      <c r="E873" t="s">
        <v>868</v>
      </c>
    </row>
    <row r="874" spans="1:5">
      <c r="A874">
        <f>HYPERLINK("http://www.twitter.com/nyc311/status/790931772167098369", "790931772167098369")</f>
        <v>0</v>
      </c>
      <c r="B874" s="2">
        <v>42668.627349537</v>
      </c>
      <c r="C874">
        <v>0</v>
      </c>
      <c r="D874">
        <v>2</v>
      </c>
      <c r="E874" t="s">
        <v>869</v>
      </c>
    </row>
    <row r="875" spans="1:5">
      <c r="A875">
        <f>HYPERLINK("http://www.twitter.com/nyc311/status/790926248293859328", "790926248293859328")</f>
        <v>0</v>
      </c>
      <c r="B875" s="2">
        <v>42668.6121064815</v>
      </c>
      <c r="C875">
        <v>0</v>
      </c>
      <c r="D875">
        <v>0</v>
      </c>
      <c r="E875" t="s">
        <v>870</v>
      </c>
    </row>
    <row r="876" spans="1:5">
      <c r="A876">
        <f>HYPERLINK("http://www.twitter.com/nyc311/status/790925836115382272", "790925836115382272")</f>
        <v>0</v>
      </c>
      <c r="B876" s="2">
        <v>42668.6109722222</v>
      </c>
      <c r="C876">
        <v>0</v>
      </c>
      <c r="D876">
        <v>0</v>
      </c>
      <c r="E876" t="s">
        <v>871</v>
      </c>
    </row>
    <row r="877" spans="1:5">
      <c r="A877">
        <f>HYPERLINK("http://www.twitter.com/nyc311/status/790924210247962624", "790924210247962624")</f>
        <v>0</v>
      </c>
      <c r="B877" s="2">
        <v>42668.6064930556</v>
      </c>
      <c r="C877">
        <v>0</v>
      </c>
      <c r="D877">
        <v>0</v>
      </c>
      <c r="E877" t="s">
        <v>872</v>
      </c>
    </row>
    <row r="878" spans="1:5">
      <c r="A878">
        <f>HYPERLINK("http://www.twitter.com/nyc311/status/790920308509343744", "790920308509343744")</f>
        <v>0</v>
      </c>
      <c r="B878" s="2">
        <v>42668.5957175926</v>
      </c>
      <c r="C878">
        <v>0</v>
      </c>
      <c r="D878">
        <v>0</v>
      </c>
      <c r="E878" t="s">
        <v>873</v>
      </c>
    </row>
    <row r="879" spans="1:5">
      <c r="A879">
        <f>HYPERLINK("http://www.twitter.com/nyc311/status/790918009032507393", "790918009032507393")</f>
        <v>0</v>
      </c>
      <c r="B879" s="2">
        <v>42668.589375</v>
      </c>
      <c r="C879">
        <v>0</v>
      </c>
      <c r="D879">
        <v>0</v>
      </c>
      <c r="E879" t="s">
        <v>874</v>
      </c>
    </row>
    <row r="880" spans="1:5">
      <c r="A880">
        <f>HYPERLINK("http://www.twitter.com/nyc311/status/790916860707569664", "790916860707569664")</f>
        <v>0</v>
      </c>
      <c r="B880" s="2">
        <v>42668.5862037037</v>
      </c>
      <c r="C880">
        <v>8</v>
      </c>
      <c r="D880">
        <v>7</v>
      </c>
      <c r="E880" t="s">
        <v>875</v>
      </c>
    </row>
    <row r="881" spans="1:5">
      <c r="A881">
        <f>HYPERLINK("http://www.twitter.com/nyc311/status/790916529575583744", "790916529575583744")</f>
        <v>0</v>
      </c>
      <c r="B881" s="2">
        <v>42668.5852893519</v>
      </c>
      <c r="C881">
        <v>0</v>
      </c>
      <c r="D881">
        <v>0</v>
      </c>
      <c r="E881" t="s">
        <v>876</v>
      </c>
    </row>
    <row r="882" spans="1:5">
      <c r="A882">
        <f>HYPERLINK("http://www.twitter.com/nyc311/status/790915255727685632", "790915255727685632")</f>
        <v>0</v>
      </c>
      <c r="B882" s="2">
        <v>42668.5817824074</v>
      </c>
      <c r="C882">
        <v>0</v>
      </c>
      <c r="D882">
        <v>0</v>
      </c>
      <c r="E882" t="s">
        <v>877</v>
      </c>
    </row>
    <row r="883" spans="1:5">
      <c r="A883">
        <f>HYPERLINK("http://www.twitter.com/nyc311/status/790913345603895296", "790913345603895296")</f>
        <v>0</v>
      </c>
      <c r="B883" s="2">
        <v>42668.5765046296</v>
      </c>
      <c r="C883">
        <v>1</v>
      </c>
      <c r="D883">
        <v>1</v>
      </c>
      <c r="E883" t="s">
        <v>878</v>
      </c>
    </row>
    <row r="884" spans="1:5">
      <c r="A884">
        <f>HYPERLINK("http://www.twitter.com/nyc311/status/790913025075253248", "790913025075253248")</f>
        <v>0</v>
      </c>
      <c r="B884" s="2">
        <v>42668.575625</v>
      </c>
      <c r="C884">
        <v>0</v>
      </c>
      <c r="D884">
        <v>0</v>
      </c>
      <c r="E884" t="s">
        <v>879</v>
      </c>
    </row>
    <row r="885" spans="1:5">
      <c r="A885">
        <f>HYPERLINK("http://www.twitter.com/nyc311/status/790910355492995073", "790910355492995073")</f>
        <v>0</v>
      </c>
      <c r="B885" s="2">
        <v>42668.5682523148</v>
      </c>
      <c r="C885">
        <v>0</v>
      </c>
      <c r="D885">
        <v>0</v>
      </c>
      <c r="E885" t="s">
        <v>880</v>
      </c>
    </row>
    <row r="886" spans="1:5">
      <c r="A886">
        <f>HYPERLINK("http://www.twitter.com/nyc311/status/790881963393548288", "790881963393548288")</f>
        <v>0</v>
      </c>
      <c r="B886" s="2">
        <v>42668.4899074074</v>
      </c>
      <c r="C886">
        <v>0</v>
      </c>
      <c r="D886">
        <v>0</v>
      </c>
      <c r="E886" t="s">
        <v>881</v>
      </c>
    </row>
    <row r="887" spans="1:5">
      <c r="A887">
        <f>HYPERLINK("http://www.twitter.com/nyc311/status/790878373702692864", "790878373702692864")</f>
        <v>0</v>
      </c>
      <c r="B887" s="2">
        <v>42668.48</v>
      </c>
      <c r="C887">
        <v>2</v>
      </c>
      <c r="D887">
        <v>3</v>
      </c>
      <c r="E887" t="s">
        <v>882</v>
      </c>
    </row>
    <row r="888" spans="1:5">
      <c r="A888">
        <f>HYPERLINK("http://www.twitter.com/nyc311/status/790661001846878208", "790661001846878208")</f>
        <v>0</v>
      </c>
      <c r="B888" s="2">
        <v>42667.8801736111</v>
      </c>
      <c r="C888">
        <v>0</v>
      </c>
      <c r="D888">
        <v>0</v>
      </c>
      <c r="E888" t="s">
        <v>883</v>
      </c>
    </row>
    <row r="889" spans="1:5">
      <c r="A889">
        <f>HYPERLINK("http://www.twitter.com/nyc311/status/790645073834807296", "790645073834807296")</f>
        <v>0</v>
      </c>
      <c r="B889" s="2">
        <v>42667.8362152778</v>
      </c>
      <c r="C889">
        <v>0</v>
      </c>
      <c r="D889">
        <v>0</v>
      </c>
      <c r="E889" t="s">
        <v>884</v>
      </c>
    </row>
    <row r="890" spans="1:5">
      <c r="A890">
        <f>HYPERLINK("http://www.twitter.com/nyc311/status/790644606945886208", "790644606945886208")</f>
        <v>0</v>
      </c>
      <c r="B890" s="2">
        <v>42667.8349305556</v>
      </c>
      <c r="C890">
        <v>1</v>
      </c>
      <c r="D890">
        <v>3</v>
      </c>
      <c r="E890" t="s">
        <v>885</v>
      </c>
    </row>
    <row r="891" spans="1:5">
      <c r="A891">
        <f>HYPERLINK("http://www.twitter.com/nyc311/status/790629632848629760", "790629632848629760")</f>
        <v>0</v>
      </c>
      <c r="B891" s="2">
        <v>42667.7936111111</v>
      </c>
      <c r="C891">
        <v>1</v>
      </c>
      <c r="D891">
        <v>3</v>
      </c>
      <c r="E891" t="s">
        <v>886</v>
      </c>
    </row>
    <row r="892" spans="1:5">
      <c r="A892">
        <f>HYPERLINK("http://www.twitter.com/nyc311/status/790627787191320576", "790627787191320576")</f>
        <v>0</v>
      </c>
      <c r="B892" s="2">
        <v>42667.7885185185</v>
      </c>
      <c r="C892">
        <v>0</v>
      </c>
      <c r="D892">
        <v>0</v>
      </c>
      <c r="E892" t="s">
        <v>887</v>
      </c>
    </row>
    <row r="893" spans="1:5">
      <c r="A893">
        <f>HYPERLINK("http://www.twitter.com/nyc311/status/790627511189241858", "790627511189241858")</f>
        <v>0</v>
      </c>
      <c r="B893" s="2">
        <v>42667.7877546296</v>
      </c>
      <c r="C893">
        <v>0</v>
      </c>
      <c r="D893">
        <v>0</v>
      </c>
      <c r="E893" t="s">
        <v>888</v>
      </c>
    </row>
    <row r="894" spans="1:5">
      <c r="A894">
        <f>HYPERLINK("http://www.twitter.com/nyc311/status/790622026444763136", "790622026444763136")</f>
        <v>0</v>
      </c>
      <c r="B894" s="2">
        <v>42667.7726157407</v>
      </c>
      <c r="C894">
        <v>0</v>
      </c>
      <c r="D894">
        <v>0</v>
      </c>
      <c r="E894" t="s">
        <v>889</v>
      </c>
    </row>
    <row r="895" spans="1:5">
      <c r="A895">
        <f>HYPERLINK("http://www.twitter.com/nyc311/status/790621830054875136", "790621830054875136")</f>
        <v>0</v>
      </c>
      <c r="B895" s="2">
        <v>42667.7720717593</v>
      </c>
      <c r="C895">
        <v>0</v>
      </c>
      <c r="D895">
        <v>0</v>
      </c>
      <c r="E895" t="s">
        <v>890</v>
      </c>
    </row>
    <row r="896" spans="1:5">
      <c r="A896">
        <f>HYPERLINK("http://www.twitter.com/nyc311/status/790616827416219652", "790616827416219652")</f>
        <v>0</v>
      </c>
      <c r="B896" s="2">
        <v>42667.758275463</v>
      </c>
      <c r="C896">
        <v>0</v>
      </c>
      <c r="D896">
        <v>0</v>
      </c>
      <c r="E896" t="s">
        <v>891</v>
      </c>
    </row>
    <row r="897" spans="1:5">
      <c r="A897">
        <f>HYPERLINK("http://www.twitter.com/nyc311/status/790614592418418688", "790614592418418688")</f>
        <v>0</v>
      </c>
      <c r="B897" s="2">
        <v>42667.7521064815</v>
      </c>
      <c r="C897">
        <v>2</v>
      </c>
      <c r="D897">
        <v>1</v>
      </c>
      <c r="E897" t="s">
        <v>892</v>
      </c>
    </row>
    <row r="898" spans="1:5">
      <c r="A898">
        <f>HYPERLINK("http://www.twitter.com/nyc311/status/790602015894335488", "790602015894335488")</f>
        <v>0</v>
      </c>
      <c r="B898" s="2">
        <v>42667.7173958333</v>
      </c>
      <c r="C898">
        <v>0</v>
      </c>
      <c r="D898">
        <v>0</v>
      </c>
      <c r="E898" t="s">
        <v>893</v>
      </c>
    </row>
    <row r="899" spans="1:5">
      <c r="A899">
        <f>HYPERLINK("http://www.twitter.com/nyc311/status/790599497533550593", "790599497533550593")</f>
        <v>0</v>
      </c>
      <c r="B899" s="2">
        <v>42667.7104513889</v>
      </c>
      <c r="C899">
        <v>0</v>
      </c>
      <c r="D899">
        <v>1</v>
      </c>
      <c r="E899" t="s">
        <v>894</v>
      </c>
    </row>
    <row r="900" spans="1:5">
      <c r="A900">
        <f>HYPERLINK("http://www.twitter.com/nyc311/status/790599210504716288", "790599210504716288")</f>
        <v>0</v>
      </c>
      <c r="B900" s="2">
        <v>42667.7096643519</v>
      </c>
      <c r="C900">
        <v>0</v>
      </c>
      <c r="D900">
        <v>0</v>
      </c>
      <c r="E900" t="s">
        <v>895</v>
      </c>
    </row>
    <row r="901" spans="1:5">
      <c r="A901">
        <f>HYPERLINK("http://www.twitter.com/nyc311/status/790596967814561793", "790596967814561793")</f>
        <v>0</v>
      </c>
      <c r="B901" s="2">
        <v>42667.7034722222</v>
      </c>
      <c r="C901">
        <v>0</v>
      </c>
      <c r="D901">
        <v>0</v>
      </c>
      <c r="E901" t="s">
        <v>896</v>
      </c>
    </row>
    <row r="902" spans="1:5">
      <c r="A902">
        <f>HYPERLINK("http://www.twitter.com/nyc311/status/790595935155982336", "790595935155982336")</f>
        <v>0</v>
      </c>
      <c r="B902" s="2">
        <v>42667.700625</v>
      </c>
      <c r="C902">
        <v>0</v>
      </c>
      <c r="D902">
        <v>0</v>
      </c>
      <c r="E902" t="s">
        <v>897</v>
      </c>
    </row>
    <row r="903" spans="1:5">
      <c r="A903">
        <f>HYPERLINK("http://www.twitter.com/nyc311/status/790595496675016705", "790595496675016705")</f>
        <v>0</v>
      </c>
      <c r="B903" s="2">
        <v>42667.6994097222</v>
      </c>
      <c r="C903">
        <v>0</v>
      </c>
      <c r="D903">
        <v>0</v>
      </c>
      <c r="E903" t="s">
        <v>898</v>
      </c>
    </row>
    <row r="904" spans="1:5">
      <c r="A904">
        <f>HYPERLINK("http://www.twitter.com/nyc311/status/790595117530882049", "790595117530882049")</f>
        <v>0</v>
      </c>
      <c r="B904" s="2">
        <v>42667.6983680556</v>
      </c>
      <c r="C904">
        <v>1</v>
      </c>
      <c r="D904">
        <v>0</v>
      </c>
      <c r="E904" t="s">
        <v>899</v>
      </c>
    </row>
    <row r="905" spans="1:5">
      <c r="A905">
        <f>HYPERLINK("http://www.twitter.com/nyc311/status/790594803377508352", "790594803377508352")</f>
        <v>0</v>
      </c>
      <c r="B905" s="2">
        <v>42667.6975</v>
      </c>
      <c r="C905">
        <v>0</v>
      </c>
      <c r="D905">
        <v>0</v>
      </c>
      <c r="E905" t="s">
        <v>900</v>
      </c>
    </row>
    <row r="906" spans="1:5">
      <c r="A906">
        <f>HYPERLINK("http://www.twitter.com/nyc311/status/790594400653021185", "790594400653021185")</f>
        <v>0</v>
      </c>
      <c r="B906" s="2">
        <v>42667.6963888889</v>
      </c>
      <c r="C906">
        <v>0</v>
      </c>
      <c r="D906">
        <v>0</v>
      </c>
      <c r="E906" t="s">
        <v>901</v>
      </c>
    </row>
    <row r="907" spans="1:5">
      <c r="A907">
        <f>HYPERLINK("http://www.twitter.com/nyc311/status/790591953792565248", "790591953792565248")</f>
        <v>0</v>
      </c>
      <c r="B907" s="2">
        <v>42667.6896296296</v>
      </c>
      <c r="C907">
        <v>0</v>
      </c>
      <c r="D907">
        <v>0</v>
      </c>
      <c r="E907" t="s">
        <v>902</v>
      </c>
    </row>
    <row r="908" spans="1:5">
      <c r="A908">
        <f>HYPERLINK("http://www.twitter.com/nyc311/status/790590917371723776", "790590917371723776")</f>
        <v>0</v>
      </c>
      <c r="B908" s="2">
        <v>42667.6867708333</v>
      </c>
      <c r="C908">
        <v>2</v>
      </c>
      <c r="D908">
        <v>1</v>
      </c>
      <c r="E908" t="s">
        <v>903</v>
      </c>
    </row>
    <row r="909" spans="1:5">
      <c r="A909">
        <f>HYPERLINK("http://www.twitter.com/nyc311/status/790589757969563649", "790589757969563649")</f>
        <v>0</v>
      </c>
      <c r="B909" s="2">
        <v>42667.6835763889</v>
      </c>
      <c r="C909">
        <v>1</v>
      </c>
      <c r="D909">
        <v>0</v>
      </c>
      <c r="E909" t="s">
        <v>904</v>
      </c>
    </row>
    <row r="910" spans="1:5">
      <c r="A910">
        <f>HYPERLINK("http://www.twitter.com/nyc311/status/790586372939710465", "790586372939710465")</f>
        <v>0</v>
      </c>
      <c r="B910" s="2">
        <v>42667.6742361111</v>
      </c>
      <c r="C910">
        <v>0</v>
      </c>
      <c r="D910">
        <v>0</v>
      </c>
      <c r="E910" t="s">
        <v>905</v>
      </c>
    </row>
    <row r="911" spans="1:5">
      <c r="A911">
        <f>HYPERLINK("http://www.twitter.com/nyc311/status/790586250495397888", "790586250495397888")</f>
        <v>0</v>
      </c>
      <c r="B911" s="2">
        <v>42667.673900463</v>
      </c>
      <c r="C911">
        <v>0</v>
      </c>
      <c r="D911">
        <v>0</v>
      </c>
      <c r="E911" t="s">
        <v>906</v>
      </c>
    </row>
    <row r="912" spans="1:5">
      <c r="A912">
        <f>HYPERLINK("http://www.twitter.com/nyc311/status/790583784487972868", "790583784487972868")</f>
        <v>0</v>
      </c>
      <c r="B912" s="2">
        <v>42667.6670949074</v>
      </c>
      <c r="C912">
        <v>42</v>
      </c>
      <c r="D912">
        <v>48</v>
      </c>
      <c r="E912" t="s">
        <v>907</v>
      </c>
    </row>
    <row r="913" spans="1:5">
      <c r="A913">
        <f>HYPERLINK("http://www.twitter.com/nyc311/status/790576165199212544", "790576165199212544")</f>
        <v>0</v>
      </c>
      <c r="B913" s="2">
        <v>42667.6460648148</v>
      </c>
      <c r="C913">
        <v>0</v>
      </c>
      <c r="D913">
        <v>1</v>
      </c>
      <c r="E913" t="s">
        <v>908</v>
      </c>
    </row>
    <row r="914" spans="1:5">
      <c r="A914">
        <f>HYPERLINK("http://www.twitter.com/nyc311/status/790574978676690944", "790574978676690944")</f>
        <v>0</v>
      </c>
      <c r="B914" s="2">
        <v>42667.6427893518</v>
      </c>
      <c r="C914">
        <v>0</v>
      </c>
      <c r="D914">
        <v>0</v>
      </c>
      <c r="E914" t="s">
        <v>909</v>
      </c>
    </row>
    <row r="915" spans="1:5">
      <c r="A915">
        <f>HYPERLINK("http://www.twitter.com/nyc311/status/790574476316598272", "790574476316598272")</f>
        <v>0</v>
      </c>
      <c r="B915" s="2">
        <v>42667.641400463</v>
      </c>
      <c r="C915">
        <v>0</v>
      </c>
      <c r="D915">
        <v>0</v>
      </c>
      <c r="E915" t="s">
        <v>910</v>
      </c>
    </row>
    <row r="916" spans="1:5">
      <c r="A916">
        <f>HYPERLINK("http://www.twitter.com/nyc311/status/790573924853637120", "790573924853637120")</f>
        <v>0</v>
      </c>
      <c r="B916" s="2">
        <v>42667.6398842593</v>
      </c>
      <c r="C916">
        <v>0</v>
      </c>
      <c r="D916">
        <v>0</v>
      </c>
      <c r="E916" t="s">
        <v>911</v>
      </c>
    </row>
    <row r="917" spans="1:5">
      <c r="A917">
        <f>HYPERLINK("http://www.twitter.com/nyc311/status/790573582975897600", "790573582975897600")</f>
        <v>0</v>
      </c>
      <c r="B917" s="2">
        <v>42667.6389351852</v>
      </c>
      <c r="C917">
        <v>0</v>
      </c>
      <c r="D917">
        <v>0</v>
      </c>
      <c r="E917" t="s">
        <v>912</v>
      </c>
    </row>
    <row r="918" spans="1:5">
      <c r="A918">
        <f>HYPERLINK("http://www.twitter.com/nyc311/status/790569574009860101", "790569574009860101")</f>
        <v>0</v>
      </c>
      <c r="B918" s="2">
        <v>42667.6278819444</v>
      </c>
      <c r="C918">
        <v>1</v>
      </c>
      <c r="D918">
        <v>1</v>
      </c>
      <c r="E918" t="s">
        <v>913</v>
      </c>
    </row>
    <row r="919" spans="1:5">
      <c r="A919">
        <f>HYPERLINK("http://www.twitter.com/nyc311/status/790565244842151936", "790565244842151936")</f>
        <v>0</v>
      </c>
      <c r="B919" s="2">
        <v>42667.6159375</v>
      </c>
      <c r="C919">
        <v>0</v>
      </c>
      <c r="D919">
        <v>0</v>
      </c>
      <c r="E919" t="s">
        <v>914</v>
      </c>
    </row>
    <row r="920" spans="1:5">
      <c r="A920">
        <f>HYPERLINK("http://www.twitter.com/nyc311/status/790563757609156608", "790563757609156608")</f>
        <v>0</v>
      </c>
      <c r="B920" s="2">
        <v>42667.6118287037</v>
      </c>
      <c r="C920">
        <v>0</v>
      </c>
      <c r="D920">
        <v>0</v>
      </c>
      <c r="E920" t="s">
        <v>915</v>
      </c>
    </row>
    <row r="921" spans="1:5">
      <c r="A921">
        <f>HYPERLINK("http://www.twitter.com/nyc311/status/790560221282304000", "790560221282304000")</f>
        <v>0</v>
      </c>
      <c r="B921" s="2">
        <v>42667.6020717593</v>
      </c>
      <c r="C921">
        <v>0</v>
      </c>
      <c r="D921">
        <v>0</v>
      </c>
      <c r="E921" t="s">
        <v>916</v>
      </c>
    </row>
    <row r="922" spans="1:5">
      <c r="A922">
        <f>HYPERLINK("http://www.twitter.com/nyc311/status/790559073611706368", "790559073611706368")</f>
        <v>0</v>
      </c>
      <c r="B922" s="2">
        <v>42667.598900463</v>
      </c>
      <c r="C922">
        <v>0</v>
      </c>
      <c r="D922">
        <v>0</v>
      </c>
      <c r="E922" t="s">
        <v>917</v>
      </c>
    </row>
    <row r="923" spans="1:5">
      <c r="A923">
        <f>HYPERLINK("http://www.twitter.com/nyc311/status/790519562022297600", "790519562022297600")</f>
        <v>0</v>
      </c>
      <c r="B923" s="2">
        <v>42667.4898726852</v>
      </c>
      <c r="C923">
        <v>2</v>
      </c>
      <c r="D923">
        <v>2</v>
      </c>
      <c r="E923" t="s">
        <v>918</v>
      </c>
    </row>
    <row r="924" spans="1:5">
      <c r="A924">
        <f>HYPERLINK("http://www.twitter.com/nyc311/status/790515967839338496", "790515967839338496")</f>
        <v>0</v>
      </c>
      <c r="B924" s="2">
        <v>42667.4799537037</v>
      </c>
      <c r="C924">
        <v>2</v>
      </c>
      <c r="D924">
        <v>1</v>
      </c>
      <c r="E924" t="s">
        <v>919</v>
      </c>
    </row>
    <row r="925" spans="1:5">
      <c r="A925">
        <f>HYPERLINK("http://www.twitter.com/nyc311/status/790282012749856776", "790282012749856776")</f>
        <v>0</v>
      </c>
      <c r="B925" s="2">
        <v>42666.8343634259</v>
      </c>
      <c r="C925">
        <v>2</v>
      </c>
      <c r="D925">
        <v>1</v>
      </c>
      <c r="E925" t="s">
        <v>920</v>
      </c>
    </row>
    <row r="926" spans="1:5">
      <c r="A926">
        <f>HYPERLINK("http://www.twitter.com/nyc311/status/790251951283986432", "790251951283986432")</f>
        <v>0</v>
      </c>
      <c r="B926" s="2">
        <v>42666.751412037</v>
      </c>
      <c r="C926">
        <v>1</v>
      </c>
      <c r="D926">
        <v>3</v>
      </c>
      <c r="E926" t="s">
        <v>921</v>
      </c>
    </row>
    <row r="927" spans="1:5">
      <c r="A927">
        <f>HYPERLINK("http://www.twitter.com/nyc311/status/790221800143749121", "790221800143749121")</f>
        <v>0</v>
      </c>
      <c r="B927" s="2">
        <v>42666.6682060185</v>
      </c>
      <c r="C927">
        <v>2</v>
      </c>
      <c r="D927">
        <v>4</v>
      </c>
      <c r="E927" t="s">
        <v>922</v>
      </c>
    </row>
    <row r="928" spans="1:5">
      <c r="A928">
        <f>HYPERLINK("http://www.twitter.com/nyc311/status/790206697398829057", "790206697398829057")</f>
        <v>0</v>
      </c>
      <c r="B928" s="2">
        <v>42666.6265277778</v>
      </c>
      <c r="C928">
        <v>4</v>
      </c>
      <c r="D928">
        <v>5</v>
      </c>
      <c r="E928" t="s">
        <v>923</v>
      </c>
    </row>
    <row r="929" spans="1:5">
      <c r="A929">
        <f>HYPERLINK("http://www.twitter.com/nyc311/status/790191659225059328", "790191659225059328")</f>
        <v>0</v>
      </c>
      <c r="B929" s="2">
        <v>42666.5850347222</v>
      </c>
      <c r="C929">
        <v>6</v>
      </c>
      <c r="D929">
        <v>2</v>
      </c>
      <c r="E929" t="s">
        <v>924</v>
      </c>
    </row>
    <row r="930" spans="1:5">
      <c r="A930">
        <f>HYPERLINK("http://www.twitter.com/nyc311/status/789919674251157504", "789919674251157504")</f>
        <v>0</v>
      </c>
      <c r="B930" s="2">
        <v>42665.8344907407</v>
      </c>
      <c r="C930">
        <v>2</v>
      </c>
      <c r="D930">
        <v>1</v>
      </c>
      <c r="E930" t="s">
        <v>925</v>
      </c>
    </row>
    <row r="931" spans="1:5">
      <c r="A931">
        <f>HYPERLINK("http://www.twitter.com/nyc311/status/789889649653190656", "789889649653190656")</f>
        <v>0</v>
      </c>
      <c r="B931" s="2">
        <v>42665.7516435185</v>
      </c>
      <c r="C931">
        <v>2</v>
      </c>
      <c r="D931">
        <v>3</v>
      </c>
      <c r="E931" t="s">
        <v>242</v>
      </c>
    </row>
    <row r="932" spans="1:5">
      <c r="A932">
        <f>HYPERLINK("http://www.twitter.com/nyc311/status/789859516737261568", "789859516737261568")</f>
        <v>0</v>
      </c>
      <c r="B932" s="2">
        <v>42665.6684953704</v>
      </c>
      <c r="C932">
        <v>0</v>
      </c>
      <c r="D932">
        <v>1</v>
      </c>
      <c r="E932" t="s">
        <v>926</v>
      </c>
    </row>
    <row r="933" spans="1:5">
      <c r="A933">
        <f>HYPERLINK("http://www.twitter.com/nyc311/status/789829284819001344", "789829284819001344")</f>
        <v>0</v>
      </c>
      <c r="B933" s="2">
        <v>42665.5850694444</v>
      </c>
      <c r="C933">
        <v>3</v>
      </c>
      <c r="D933">
        <v>5</v>
      </c>
      <c r="E933" t="s">
        <v>927</v>
      </c>
    </row>
    <row r="934" spans="1:5">
      <c r="A934">
        <f>HYPERLINK("http://www.twitter.com/nyc311/status/789557335295483904", "789557335295483904")</f>
        <v>0</v>
      </c>
      <c r="B934" s="2">
        <v>42664.8346296296</v>
      </c>
      <c r="C934">
        <v>0</v>
      </c>
      <c r="D934">
        <v>0</v>
      </c>
      <c r="E934" t="s">
        <v>928</v>
      </c>
    </row>
    <row r="935" spans="1:5">
      <c r="A935">
        <f>HYPERLINK("http://www.twitter.com/nyc311/status/789544638323494913", "789544638323494913")</f>
        <v>0</v>
      </c>
      <c r="B935" s="2">
        <v>42664.7995949074</v>
      </c>
      <c r="C935">
        <v>0</v>
      </c>
      <c r="D935">
        <v>0</v>
      </c>
      <c r="E935" t="s">
        <v>929</v>
      </c>
    </row>
    <row r="936" spans="1:5">
      <c r="A936">
        <f>HYPERLINK("http://www.twitter.com/nyc311/status/789531576849862656", "789531576849862656")</f>
        <v>0</v>
      </c>
      <c r="B936" s="2">
        <v>42664.7635532407</v>
      </c>
      <c r="C936">
        <v>0</v>
      </c>
      <c r="D936">
        <v>0</v>
      </c>
      <c r="E936" t="s">
        <v>930</v>
      </c>
    </row>
    <row r="937" spans="1:5">
      <c r="A937">
        <f>HYPERLINK("http://www.twitter.com/nyc311/status/789530122265235456", "789530122265235456")</f>
        <v>0</v>
      </c>
      <c r="B937" s="2">
        <v>42664.759537037</v>
      </c>
      <c r="C937">
        <v>0</v>
      </c>
      <c r="D937">
        <v>0</v>
      </c>
      <c r="E937" t="s">
        <v>931</v>
      </c>
    </row>
    <row r="938" spans="1:5">
      <c r="A938">
        <f>HYPERLINK("http://www.twitter.com/nyc311/status/789527299372769280", "789527299372769280")</f>
        <v>0</v>
      </c>
      <c r="B938" s="2">
        <v>42664.7517476852</v>
      </c>
      <c r="C938">
        <v>7</v>
      </c>
      <c r="D938">
        <v>9</v>
      </c>
      <c r="E938" t="s">
        <v>932</v>
      </c>
    </row>
    <row r="939" spans="1:5">
      <c r="A939">
        <f>HYPERLINK("http://www.twitter.com/nyc311/status/789513394604929024", "789513394604929024")</f>
        <v>0</v>
      </c>
      <c r="B939" s="2">
        <v>42664.7133796296</v>
      </c>
      <c r="C939">
        <v>2</v>
      </c>
      <c r="D939">
        <v>1</v>
      </c>
      <c r="E939" t="s">
        <v>933</v>
      </c>
    </row>
    <row r="940" spans="1:5">
      <c r="A940">
        <f>HYPERLINK("http://www.twitter.com/nyc311/status/789507303045201920", "789507303045201920")</f>
        <v>0</v>
      </c>
      <c r="B940" s="2">
        <v>42664.6965740741</v>
      </c>
      <c r="C940">
        <v>0</v>
      </c>
      <c r="D940">
        <v>0</v>
      </c>
      <c r="E940" t="s">
        <v>934</v>
      </c>
    </row>
    <row r="941" spans="1:5">
      <c r="A941">
        <f>HYPERLINK("http://www.twitter.com/nyc311/status/789500873068179457", "789500873068179457")</f>
        <v>0</v>
      </c>
      <c r="B941" s="2">
        <v>42664.6788310185</v>
      </c>
      <c r="C941">
        <v>0</v>
      </c>
      <c r="D941">
        <v>0</v>
      </c>
      <c r="E941" t="s">
        <v>935</v>
      </c>
    </row>
    <row r="942" spans="1:5">
      <c r="A942">
        <f>HYPERLINK("http://www.twitter.com/nyc311/status/789497437979348992", "789497437979348992")</f>
        <v>0</v>
      </c>
      <c r="B942" s="2">
        <v>42664.6693518519</v>
      </c>
      <c r="C942">
        <v>2</v>
      </c>
      <c r="D942">
        <v>2</v>
      </c>
      <c r="E942" t="s">
        <v>936</v>
      </c>
    </row>
    <row r="943" spans="1:5">
      <c r="A943">
        <f>HYPERLINK("http://www.twitter.com/nyc311/status/789472894820769792", "789472894820769792")</f>
        <v>0</v>
      </c>
      <c r="B943" s="2">
        <v>42664.6016203704</v>
      </c>
      <c r="C943">
        <v>0</v>
      </c>
      <c r="D943">
        <v>0</v>
      </c>
      <c r="E943" t="s">
        <v>937</v>
      </c>
    </row>
    <row r="944" spans="1:5">
      <c r="A944">
        <f>HYPERLINK("http://www.twitter.com/nyc311/status/789472081666772992", "789472081666772992")</f>
        <v>0</v>
      </c>
      <c r="B944" s="2">
        <v>42664.599375</v>
      </c>
      <c r="C944">
        <v>0</v>
      </c>
      <c r="D944">
        <v>0</v>
      </c>
      <c r="E944" t="s">
        <v>938</v>
      </c>
    </row>
    <row r="945" spans="1:5">
      <c r="A945">
        <f>HYPERLINK("http://www.twitter.com/nyc311/status/789469636991524864", "789469636991524864")</f>
        <v>0</v>
      </c>
      <c r="B945" s="2">
        <v>42664.5926273148</v>
      </c>
      <c r="C945">
        <v>0</v>
      </c>
      <c r="D945">
        <v>0</v>
      </c>
      <c r="E945" t="s">
        <v>939</v>
      </c>
    </row>
    <row r="946" spans="1:5">
      <c r="A946">
        <f>HYPERLINK("http://www.twitter.com/nyc311/status/789466922354106368", "789466922354106368")</f>
        <v>0</v>
      </c>
      <c r="B946" s="2">
        <v>42664.5851388889</v>
      </c>
      <c r="C946">
        <v>10</v>
      </c>
      <c r="D946">
        <v>10</v>
      </c>
      <c r="E946" t="s">
        <v>940</v>
      </c>
    </row>
    <row r="947" spans="1:5">
      <c r="A947">
        <f>HYPERLINK("http://www.twitter.com/nyc311/status/789466572918317056", "789466572918317056")</f>
        <v>0</v>
      </c>
      <c r="B947" s="2">
        <v>42664.5841782407</v>
      </c>
      <c r="C947">
        <v>0</v>
      </c>
      <c r="D947">
        <v>0</v>
      </c>
      <c r="E947" t="s">
        <v>941</v>
      </c>
    </row>
    <row r="948" spans="1:5">
      <c r="A948">
        <f>HYPERLINK("http://www.twitter.com/nyc311/status/789213393852985344", "789213393852985344")</f>
        <v>0</v>
      </c>
      <c r="B948" s="2">
        <v>42663.8855324074</v>
      </c>
      <c r="C948">
        <v>21</v>
      </c>
      <c r="D948">
        <v>10</v>
      </c>
      <c r="E948" t="s">
        <v>942</v>
      </c>
    </row>
    <row r="949" spans="1:5">
      <c r="A949">
        <f>HYPERLINK("http://www.twitter.com/nyc311/status/789194926118408192", "789194926118408192")</f>
        <v>0</v>
      </c>
      <c r="B949" s="2">
        <v>42663.8345717593</v>
      </c>
      <c r="C949">
        <v>1</v>
      </c>
      <c r="D949">
        <v>0</v>
      </c>
      <c r="E949" t="s">
        <v>943</v>
      </c>
    </row>
    <row r="950" spans="1:5">
      <c r="A950">
        <f>HYPERLINK("http://www.twitter.com/nyc311/status/789165160170610689", "789165160170610689")</f>
        <v>0</v>
      </c>
      <c r="B950" s="2">
        <v>42663.7524305556</v>
      </c>
      <c r="C950">
        <v>4</v>
      </c>
      <c r="D950">
        <v>4</v>
      </c>
      <c r="E950" t="s">
        <v>944</v>
      </c>
    </row>
    <row r="951" spans="1:5">
      <c r="A951">
        <f>HYPERLINK("http://www.twitter.com/nyc311/status/789146054964944896", "789146054964944896")</f>
        <v>0</v>
      </c>
      <c r="B951" s="2">
        <v>42663.6997106482</v>
      </c>
      <c r="C951">
        <v>0</v>
      </c>
      <c r="D951">
        <v>0</v>
      </c>
      <c r="E951" t="s">
        <v>945</v>
      </c>
    </row>
    <row r="952" spans="1:5">
      <c r="A952">
        <f>HYPERLINK("http://www.twitter.com/nyc311/status/789135224441626624", "789135224441626624")</f>
        <v>0</v>
      </c>
      <c r="B952" s="2">
        <v>42663.6698263889</v>
      </c>
      <c r="C952">
        <v>8</v>
      </c>
      <c r="D952">
        <v>5</v>
      </c>
      <c r="E952" t="s">
        <v>946</v>
      </c>
    </row>
    <row r="953" spans="1:5">
      <c r="A953">
        <f>HYPERLINK("http://www.twitter.com/nyc311/status/789126758545195008", "789126758545195008")</f>
        <v>0</v>
      </c>
      <c r="B953" s="2">
        <v>42663.6464699074</v>
      </c>
      <c r="C953">
        <v>0</v>
      </c>
      <c r="D953">
        <v>0</v>
      </c>
      <c r="E953" t="s">
        <v>947</v>
      </c>
    </row>
    <row r="954" spans="1:5">
      <c r="A954">
        <f>HYPERLINK("http://www.twitter.com/nyc311/status/789114427102621696", "789114427102621696")</f>
        <v>0</v>
      </c>
      <c r="B954" s="2">
        <v>42663.6124421296</v>
      </c>
      <c r="C954">
        <v>0</v>
      </c>
      <c r="D954">
        <v>0</v>
      </c>
      <c r="E954" t="s">
        <v>948</v>
      </c>
    </row>
    <row r="955" spans="1:5">
      <c r="A955">
        <f>HYPERLINK("http://www.twitter.com/nyc311/status/789114207577014272", "789114207577014272")</f>
        <v>0</v>
      </c>
      <c r="B955" s="2">
        <v>42663.6118287037</v>
      </c>
      <c r="C955">
        <v>0</v>
      </c>
      <c r="D955">
        <v>0</v>
      </c>
      <c r="E955" t="s">
        <v>949</v>
      </c>
    </row>
    <row r="956" spans="1:5">
      <c r="A956">
        <f>HYPERLINK("http://www.twitter.com/nyc311/status/789113737454161923", "789113737454161923")</f>
        <v>0</v>
      </c>
      <c r="B956" s="2">
        <v>42663.6105324074</v>
      </c>
      <c r="C956">
        <v>0</v>
      </c>
      <c r="D956">
        <v>0</v>
      </c>
      <c r="E956" t="s">
        <v>950</v>
      </c>
    </row>
    <row r="957" spans="1:5">
      <c r="A957">
        <f>HYPERLINK("http://www.twitter.com/nyc311/status/789113471761838081", "789113471761838081")</f>
        <v>0</v>
      </c>
      <c r="B957" s="2">
        <v>42663.6098032407</v>
      </c>
      <c r="C957">
        <v>0</v>
      </c>
      <c r="D957">
        <v>0</v>
      </c>
      <c r="E957" t="s">
        <v>951</v>
      </c>
    </row>
    <row r="958" spans="1:5">
      <c r="A958">
        <f>HYPERLINK("http://www.twitter.com/nyc311/status/789113422541717508", "789113422541717508")</f>
        <v>0</v>
      </c>
      <c r="B958" s="2">
        <v>42663.6096643519</v>
      </c>
      <c r="C958">
        <v>0</v>
      </c>
      <c r="D958">
        <v>0</v>
      </c>
      <c r="E958" t="s">
        <v>952</v>
      </c>
    </row>
    <row r="959" spans="1:5">
      <c r="A959">
        <f>HYPERLINK("http://www.twitter.com/nyc311/status/789104744224657408", "789104744224657408")</f>
        <v>0</v>
      </c>
      <c r="B959" s="2">
        <v>42663.5857175926</v>
      </c>
      <c r="C959">
        <v>12</v>
      </c>
      <c r="D959">
        <v>13</v>
      </c>
      <c r="E959" t="s">
        <v>953</v>
      </c>
    </row>
    <row r="960" spans="1:5">
      <c r="A960">
        <f>HYPERLINK("http://www.twitter.com/nyc311/status/788848285985406977", "788848285985406977")</f>
        <v>0</v>
      </c>
      <c r="B960" s="2">
        <v>42662.8780324074</v>
      </c>
      <c r="C960">
        <v>0</v>
      </c>
      <c r="D960">
        <v>0</v>
      </c>
      <c r="E960" t="s">
        <v>954</v>
      </c>
    </row>
    <row r="961" spans="1:5">
      <c r="A961">
        <f>HYPERLINK("http://www.twitter.com/nyc311/status/788848217714782209", "788848217714782209")</f>
        <v>0</v>
      </c>
      <c r="B961" s="2">
        <v>42662.8778356481</v>
      </c>
      <c r="C961">
        <v>0</v>
      </c>
      <c r="D961">
        <v>0</v>
      </c>
      <c r="E961" t="s">
        <v>955</v>
      </c>
    </row>
    <row r="962" spans="1:5">
      <c r="A962">
        <f>HYPERLINK("http://www.twitter.com/nyc311/status/788848166338695168", "788848166338695168")</f>
        <v>0</v>
      </c>
      <c r="B962" s="2">
        <v>42662.8776967593</v>
      </c>
      <c r="C962">
        <v>0</v>
      </c>
      <c r="D962">
        <v>0</v>
      </c>
      <c r="E962" t="s">
        <v>956</v>
      </c>
    </row>
    <row r="963" spans="1:5">
      <c r="A963">
        <f>HYPERLINK("http://www.twitter.com/nyc311/status/788846844575178752", "788846844575178752")</f>
        <v>0</v>
      </c>
      <c r="B963" s="2">
        <v>42662.8740509259</v>
      </c>
      <c r="C963">
        <v>0</v>
      </c>
      <c r="D963">
        <v>0</v>
      </c>
      <c r="E963" t="s">
        <v>957</v>
      </c>
    </row>
    <row r="964" spans="1:5">
      <c r="A964">
        <f>HYPERLINK("http://www.twitter.com/nyc311/status/788845492104986625", "788845492104986625")</f>
        <v>0</v>
      </c>
      <c r="B964" s="2">
        <v>42662.8703240741</v>
      </c>
      <c r="C964">
        <v>0</v>
      </c>
      <c r="D964">
        <v>0</v>
      </c>
      <c r="E964" t="s">
        <v>958</v>
      </c>
    </row>
    <row r="965" spans="1:5">
      <c r="A965">
        <f>HYPERLINK("http://www.twitter.com/nyc311/status/788842247093714944", "788842247093714944")</f>
        <v>0</v>
      </c>
      <c r="B965" s="2">
        <v>42662.8613657407</v>
      </c>
      <c r="C965">
        <v>0</v>
      </c>
      <c r="D965">
        <v>0</v>
      </c>
      <c r="E965" t="s">
        <v>959</v>
      </c>
    </row>
    <row r="966" spans="1:5">
      <c r="A966">
        <f>HYPERLINK("http://www.twitter.com/nyc311/status/788832756931362817", "788832756931362817")</f>
        <v>0</v>
      </c>
      <c r="B966" s="2">
        <v>42662.8351736111</v>
      </c>
      <c r="C966">
        <v>0</v>
      </c>
      <c r="D966">
        <v>1</v>
      </c>
      <c r="E966" t="s">
        <v>960</v>
      </c>
    </row>
    <row r="967" spans="1:5">
      <c r="A967">
        <f>HYPERLINK("http://www.twitter.com/nyc311/status/788832304512831489", "788832304512831489")</f>
        <v>0</v>
      </c>
      <c r="B967" s="2">
        <v>42662.8339236111</v>
      </c>
      <c r="C967">
        <v>0</v>
      </c>
      <c r="D967">
        <v>0</v>
      </c>
      <c r="E967" t="s">
        <v>961</v>
      </c>
    </row>
    <row r="968" spans="1:5">
      <c r="A968">
        <f>HYPERLINK("http://www.twitter.com/nyc311/status/788802664993816576", "788802664993816576")</f>
        <v>0</v>
      </c>
      <c r="B968" s="2">
        <v>42662.7521412037</v>
      </c>
      <c r="C968">
        <v>2</v>
      </c>
      <c r="D968">
        <v>1</v>
      </c>
      <c r="E968" t="s">
        <v>962</v>
      </c>
    </row>
    <row r="969" spans="1:5">
      <c r="A969">
        <f>HYPERLINK("http://www.twitter.com/nyc311/status/788781412249956352", "788781412249956352")</f>
        <v>0</v>
      </c>
      <c r="B969" s="2">
        <v>42662.6934953704</v>
      </c>
      <c r="C969">
        <v>1</v>
      </c>
      <c r="D969">
        <v>0</v>
      </c>
      <c r="E969" t="s">
        <v>963</v>
      </c>
    </row>
    <row r="970" spans="1:5">
      <c r="A970">
        <f>HYPERLINK("http://www.twitter.com/nyc311/status/788772687992786945", "788772687992786945")</f>
        <v>0</v>
      </c>
      <c r="B970" s="2">
        <v>42662.6694212963</v>
      </c>
      <c r="C970">
        <v>4</v>
      </c>
      <c r="D970">
        <v>0</v>
      </c>
      <c r="E970" t="s">
        <v>964</v>
      </c>
    </row>
    <row r="971" spans="1:5">
      <c r="A971">
        <f>HYPERLINK("http://www.twitter.com/nyc311/status/788746888430383104", "788746888430383104")</f>
        <v>0</v>
      </c>
      <c r="B971" s="2">
        <v>42662.5982291667</v>
      </c>
      <c r="C971">
        <v>0</v>
      </c>
      <c r="D971">
        <v>0</v>
      </c>
      <c r="E971" t="s">
        <v>965</v>
      </c>
    </row>
    <row r="972" spans="1:5">
      <c r="A972">
        <f>HYPERLINK("http://www.twitter.com/nyc311/status/788746244931850240", "788746244931850240")</f>
        <v>0</v>
      </c>
      <c r="B972" s="2">
        <v>42662.5964467593</v>
      </c>
      <c r="C972">
        <v>0</v>
      </c>
      <c r="D972">
        <v>0</v>
      </c>
      <c r="E972" t="s">
        <v>966</v>
      </c>
    </row>
    <row r="973" spans="1:5">
      <c r="A973">
        <f>HYPERLINK("http://www.twitter.com/nyc311/status/788743011224154112", "788743011224154112")</f>
        <v>0</v>
      </c>
      <c r="B973" s="2">
        <v>42662.5875231481</v>
      </c>
      <c r="C973">
        <v>0</v>
      </c>
      <c r="D973">
        <v>0</v>
      </c>
      <c r="E973" t="s">
        <v>967</v>
      </c>
    </row>
    <row r="974" spans="1:5">
      <c r="A974">
        <f>HYPERLINK("http://www.twitter.com/nyc311/status/788742336419336192", "788742336419336192")</f>
        <v>0</v>
      </c>
      <c r="B974" s="2">
        <v>42662.5856597222</v>
      </c>
      <c r="C974">
        <v>1</v>
      </c>
      <c r="D974">
        <v>0</v>
      </c>
      <c r="E974" t="s">
        <v>968</v>
      </c>
    </row>
    <row r="975" spans="1:5">
      <c r="A975">
        <f>HYPERLINK("http://www.twitter.com/nyc311/status/788742045166895104", "788742045166895104")</f>
        <v>0</v>
      </c>
      <c r="B975" s="2">
        <v>42662.5848611111</v>
      </c>
      <c r="C975">
        <v>4</v>
      </c>
      <c r="D975">
        <v>9</v>
      </c>
      <c r="E975" t="s">
        <v>969</v>
      </c>
    </row>
    <row r="976" spans="1:5">
      <c r="A976">
        <f>HYPERLINK("http://www.twitter.com/nyc311/status/788741693793300480", "788741693793300480")</f>
        <v>0</v>
      </c>
      <c r="B976" s="2">
        <v>42662.5838888889</v>
      </c>
      <c r="C976">
        <v>0</v>
      </c>
      <c r="D976">
        <v>0</v>
      </c>
      <c r="E976" t="s">
        <v>970</v>
      </c>
    </row>
    <row r="977" spans="1:5">
      <c r="A977">
        <f>HYPERLINK("http://www.twitter.com/nyc311/status/788739313366368256", "788739313366368256")</f>
        <v>0</v>
      </c>
      <c r="B977" s="2">
        <v>42662.5773263889</v>
      </c>
      <c r="C977">
        <v>0</v>
      </c>
      <c r="D977">
        <v>0</v>
      </c>
      <c r="E977" t="s">
        <v>971</v>
      </c>
    </row>
    <row r="978" spans="1:5">
      <c r="A978">
        <f>HYPERLINK("http://www.twitter.com/nyc311/status/788478669962575872", "788478669962575872")</f>
        <v>0</v>
      </c>
      <c r="B978" s="2">
        <v>42661.8580787037</v>
      </c>
      <c r="C978">
        <v>0</v>
      </c>
      <c r="D978">
        <v>0</v>
      </c>
      <c r="E978" t="s">
        <v>972</v>
      </c>
    </row>
    <row r="979" spans="1:5">
      <c r="A979">
        <f>HYPERLINK("http://www.twitter.com/nyc311/status/788470285892718592", "788470285892718592")</f>
        <v>0</v>
      </c>
      <c r="B979" s="2">
        <v>42661.8349421296</v>
      </c>
      <c r="C979">
        <v>1</v>
      </c>
      <c r="D979">
        <v>0</v>
      </c>
      <c r="E979" t="s">
        <v>973</v>
      </c>
    </row>
    <row r="980" spans="1:5">
      <c r="A980">
        <f>HYPERLINK("http://www.twitter.com/nyc311/status/788444585546612736", "788444585546612736")</f>
        <v>0</v>
      </c>
      <c r="B980" s="2">
        <v>42661.7640277778</v>
      </c>
      <c r="C980">
        <v>0</v>
      </c>
      <c r="D980">
        <v>0</v>
      </c>
      <c r="E980" t="s">
        <v>974</v>
      </c>
    </row>
    <row r="981" spans="1:5">
      <c r="A981">
        <f>HYPERLINK("http://www.twitter.com/nyc311/status/788441382159515648", "788441382159515648")</f>
        <v>0</v>
      </c>
      <c r="B981" s="2">
        <v>42661.7551851852</v>
      </c>
      <c r="C981">
        <v>2</v>
      </c>
      <c r="D981">
        <v>4</v>
      </c>
      <c r="E981" t="s">
        <v>975</v>
      </c>
    </row>
    <row r="982" spans="1:5">
      <c r="A982">
        <f>HYPERLINK("http://www.twitter.com/nyc311/status/788438828700893185", "788438828700893185")</f>
        <v>0</v>
      </c>
      <c r="B982" s="2">
        <v>42661.7481365741</v>
      </c>
      <c r="C982">
        <v>1</v>
      </c>
      <c r="D982">
        <v>0</v>
      </c>
      <c r="E982" t="s">
        <v>976</v>
      </c>
    </row>
    <row r="983" spans="1:5">
      <c r="A983">
        <f>HYPERLINK("http://www.twitter.com/nyc311/status/788410219806203904", "788410219806203904")</f>
        <v>0</v>
      </c>
      <c r="B983" s="2">
        <v>42661.6692013889</v>
      </c>
      <c r="C983">
        <v>5</v>
      </c>
      <c r="D983">
        <v>6</v>
      </c>
      <c r="E983" t="s">
        <v>294</v>
      </c>
    </row>
    <row r="984" spans="1:5">
      <c r="A984">
        <f>HYPERLINK("http://www.twitter.com/nyc311/status/788393497372069888", "788393497372069888")</f>
        <v>0</v>
      </c>
      <c r="B984" s="2">
        <v>42661.6230555556</v>
      </c>
      <c r="C984">
        <v>0</v>
      </c>
      <c r="D984">
        <v>1</v>
      </c>
      <c r="E984" t="s">
        <v>977</v>
      </c>
    </row>
    <row r="985" spans="1:5">
      <c r="A985">
        <f>HYPERLINK("http://www.twitter.com/nyc311/status/788393033960161280", "788393033960161280")</f>
        <v>0</v>
      </c>
      <c r="B985" s="2">
        <v>42661.6217708333</v>
      </c>
      <c r="C985">
        <v>0</v>
      </c>
      <c r="D985">
        <v>0</v>
      </c>
      <c r="E985" t="s">
        <v>978</v>
      </c>
    </row>
    <row r="986" spans="1:5">
      <c r="A986">
        <f>HYPERLINK("http://www.twitter.com/nyc311/status/788386762963968000", "788386762963968000")</f>
        <v>0</v>
      </c>
      <c r="B986" s="2">
        <v>42661.6044675926</v>
      </c>
      <c r="C986">
        <v>0</v>
      </c>
      <c r="D986">
        <v>0</v>
      </c>
      <c r="E986" t="s">
        <v>979</v>
      </c>
    </row>
    <row r="987" spans="1:5">
      <c r="A987">
        <f>HYPERLINK("http://www.twitter.com/nyc311/status/788385291958706176", "788385291958706176")</f>
        <v>0</v>
      </c>
      <c r="B987" s="2">
        <v>42661.6004050926</v>
      </c>
      <c r="C987">
        <v>0</v>
      </c>
      <c r="D987">
        <v>0</v>
      </c>
      <c r="E987" t="s">
        <v>980</v>
      </c>
    </row>
    <row r="988" spans="1:5">
      <c r="A988">
        <f>HYPERLINK("http://www.twitter.com/nyc311/status/788381972687192064", "788381972687192064")</f>
        <v>0</v>
      </c>
      <c r="B988" s="2">
        <v>42661.59125</v>
      </c>
      <c r="C988">
        <v>0</v>
      </c>
      <c r="D988">
        <v>0</v>
      </c>
      <c r="E988" t="s">
        <v>981</v>
      </c>
    </row>
    <row r="989" spans="1:5">
      <c r="A989">
        <f>HYPERLINK("http://www.twitter.com/nyc311/status/788381112099897344", "788381112099897344")</f>
        <v>0</v>
      </c>
      <c r="B989" s="2">
        <v>42661.5888773148</v>
      </c>
      <c r="C989">
        <v>0</v>
      </c>
      <c r="D989">
        <v>0</v>
      </c>
      <c r="E989" t="s">
        <v>982</v>
      </c>
    </row>
    <row r="990" spans="1:5">
      <c r="A990">
        <f>HYPERLINK("http://www.twitter.com/nyc311/status/788380652693516288", "788380652693516288")</f>
        <v>0</v>
      </c>
      <c r="B990" s="2">
        <v>42661.5876041667</v>
      </c>
      <c r="C990">
        <v>0</v>
      </c>
      <c r="D990">
        <v>0</v>
      </c>
      <c r="E990" t="s">
        <v>983</v>
      </c>
    </row>
    <row r="991" spans="1:5">
      <c r="A991">
        <f>HYPERLINK("http://www.twitter.com/nyc311/status/788379915804639232", "788379915804639232")</f>
        <v>0</v>
      </c>
      <c r="B991" s="2">
        <v>42661.5855671296</v>
      </c>
      <c r="C991">
        <v>3</v>
      </c>
      <c r="D991">
        <v>1</v>
      </c>
      <c r="E991" t="s">
        <v>984</v>
      </c>
    </row>
    <row r="992" spans="1:5">
      <c r="A992">
        <f>HYPERLINK("http://www.twitter.com/nyc311/status/788345243972272128", "788345243972272128")</f>
        <v>0</v>
      </c>
      <c r="B992" s="2">
        <v>42661.4898958333</v>
      </c>
      <c r="C992">
        <v>0</v>
      </c>
      <c r="D992">
        <v>0</v>
      </c>
      <c r="E992" t="s">
        <v>985</v>
      </c>
    </row>
    <row r="993" spans="1:5">
      <c r="A993">
        <f>HYPERLINK("http://www.twitter.com/nyc311/status/788341686636347392", "788341686636347392")</f>
        <v>0</v>
      </c>
      <c r="B993" s="2">
        <v>42661.4800810185</v>
      </c>
      <c r="C993">
        <v>4</v>
      </c>
      <c r="D993">
        <v>3</v>
      </c>
      <c r="E993" t="s">
        <v>986</v>
      </c>
    </row>
    <row r="994" spans="1:5">
      <c r="A994">
        <f>HYPERLINK("http://www.twitter.com/nyc311/status/788129649452847108", "788129649452847108")</f>
        <v>0</v>
      </c>
      <c r="B994" s="2">
        <v>42660.8949652778</v>
      </c>
      <c r="C994">
        <v>0</v>
      </c>
      <c r="D994">
        <v>0</v>
      </c>
      <c r="E994" t="s">
        <v>987</v>
      </c>
    </row>
    <row r="995" spans="1:5">
      <c r="A995">
        <f>HYPERLINK("http://www.twitter.com/nyc311/status/788128768095293440", "788128768095293440")</f>
        <v>0</v>
      </c>
      <c r="B995" s="2">
        <v>42660.8925347222</v>
      </c>
      <c r="C995">
        <v>2</v>
      </c>
      <c r="D995">
        <v>0</v>
      </c>
      <c r="E995" t="s">
        <v>988</v>
      </c>
    </row>
    <row r="996" spans="1:5">
      <c r="A996">
        <f>HYPERLINK("http://www.twitter.com/nyc311/status/788128682443476992", "788128682443476992")</f>
        <v>0</v>
      </c>
      <c r="B996" s="2">
        <v>42660.8923032407</v>
      </c>
      <c r="C996">
        <v>2</v>
      </c>
      <c r="D996">
        <v>0</v>
      </c>
      <c r="E996" t="s">
        <v>989</v>
      </c>
    </row>
    <row r="997" spans="1:5">
      <c r="A997">
        <f>HYPERLINK("http://www.twitter.com/nyc311/status/788127437741842432", "788127437741842432")</f>
        <v>0</v>
      </c>
      <c r="B997" s="2">
        <v>42660.8888657407</v>
      </c>
      <c r="C997">
        <v>1</v>
      </c>
      <c r="D997">
        <v>0</v>
      </c>
      <c r="E997" t="s">
        <v>990</v>
      </c>
    </row>
    <row r="998" spans="1:5">
      <c r="A998">
        <f>HYPERLINK("http://www.twitter.com/nyc311/status/788126788564164608", "788126788564164608")</f>
        <v>0</v>
      </c>
      <c r="B998" s="2">
        <v>42660.8870717593</v>
      </c>
      <c r="C998">
        <v>0</v>
      </c>
      <c r="D998">
        <v>0</v>
      </c>
      <c r="E998" t="s">
        <v>991</v>
      </c>
    </row>
    <row r="999" spans="1:5">
      <c r="A999">
        <f>HYPERLINK("http://www.twitter.com/nyc311/status/788124741286686720", "788124741286686720")</f>
        <v>0</v>
      </c>
      <c r="B999" s="2">
        <v>42660.8814236111</v>
      </c>
      <c r="C999">
        <v>0</v>
      </c>
      <c r="D999">
        <v>0</v>
      </c>
      <c r="E999" t="s">
        <v>992</v>
      </c>
    </row>
    <row r="1000" spans="1:5">
      <c r="A1000">
        <f>HYPERLINK("http://www.twitter.com/nyc311/status/788124339493281792", "788124339493281792")</f>
        <v>0</v>
      </c>
      <c r="B1000" s="2">
        <v>42660.8803125</v>
      </c>
      <c r="C1000">
        <v>0</v>
      </c>
      <c r="D1000">
        <v>0</v>
      </c>
      <c r="E1000" t="s">
        <v>993</v>
      </c>
    </row>
    <row r="1001" spans="1:5">
      <c r="A1001">
        <f>HYPERLINK("http://www.twitter.com/nyc311/status/788107883883921409", "788107883883921409")</f>
        <v>0</v>
      </c>
      <c r="B1001" s="2">
        <v>42660.8349074074</v>
      </c>
      <c r="C1001">
        <v>0</v>
      </c>
      <c r="D1001">
        <v>1</v>
      </c>
      <c r="E1001" t="s">
        <v>994</v>
      </c>
    </row>
    <row r="1002" spans="1:5">
      <c r="A1002">
        <f>HYPERLINK("http://www.twitter.com/nyc311/status/788096961912143874", "788096961912143874")</f>
        <v>0</v>
      </c>
      <c r="B1002" s="2">
        <v>42660.8047685185</v>
      </c>
      <c r="C1002">
        <v>0</v>
      </c>
      <c r="D1002">
        <v>0</v>
      </c>
      <c r="E1002" t="s">
        <v>995</v>
      </c>
    </row>
    <row r="1003" spans="1:5">
      <c r="A1003">
        <f>HYPERLINK("http://www.twitter.com/nyc311/status/788092814034886656", "788092814034886656")</f>
        <v>0</v>
      </c>
      <c r="B1003" s="2">
        <v>42660.7933217593</v>
      </c>
      <c r="C1003">
        <v>0</v>
      </c>
      <c r="D1003">
        <v>0</v>
      </c>
      <c r="E1003" t="s">
        <v>996</v>
      </c>
    </row>
    <row r="1004" spans="1:5">
      <c r="A1004">
        <f>HYPERLINK("http://www.twitter.com/nyc311/status/788091925727502340", "788091925727502340")</f>
        <v>0</v>
      </c>
      <c r="B1004" s="2">
        <v>42660.7908680556</v>
      </c>
      <c r="C1004">
        <v>1</v>
      </c>
      <c r="D1004">
        <v>0</v>
      </c>
      <c r="E1004" t="s">
        <v>997</v>
      </c>
    </row>
    <row r="1005" spans="1:5">
      <c r="A1005">
        <f>HYPERLINK("http://www.twitter.com/nyc311/status/788081623107571712", "788081623107571712")</f>
        <v>0</v>
      </c>
      <c r="B1005" s="2">
        <v>42660.7624421296</v>
      </c>
      <c r="C1005">
        <v>0</v>
      </c>
      <c r="D1005">
        <v>0</v>
      </c>
      <c r="E1005" t="s">
        <v>998</v>
      </c>
    </row>
    <row r="1006" spans="1:5">
      <c r="A1006">
        <f>HYPERLINK("http://www.twitter.com/nyc311/status/788077876021166083", "788077876021166083")</f>
        <v>0</v>
      </c>
      <c r="B1006" s="2">
        <v>42660.7521064815</v>
      </c>
      <c r="C1006">
        <v>2</v>
      </c>
      <c r="D1006">
        <v>3</v>
      </c>
      <c r="E1006" t="s">
        <v>999</v>
      </c>
    </row>
    <row r="1007" spans="1:5">
      <c r="A1007">
        <f>HYPERLINK("http://www.twitter.com/nyc311/status/788071714374770688", "788071714374770688")</f>
        <v>0</v>
      </c>
      <c r="B1007" s="2">
        <v>42660.7351041667</v>
      </c>
      <c r="C1007">
        <v>1</v>
      </c>
      <c r="D1007">
        <v>0</v>
      </c>
      <c r="E1007" t="s">
        <v>1000</v>
      </c>
    </row>
    <row r="1008" spans="1:5">
      <c r="A1008">
        <f>HYPERLINK("http://www.twitter.com/nyc311/status/788070058417324033", "788070058417324033")</f>
        <v>0</v>
      </c>
      <c r="B1008" s="2">
        <v>42660.7305324074</v>
      </c>
      <c r="C1008">
        <v>0</v>
      </c>
      <c r="D1008">
        <v>0</v>
      </c>
      <c r="E1008" t="s">
        <v>1001</v>
      </c>
    </row>
    <row r="1009" spans="1:5">
      <c r="A1009">
        <f>HYPERLINK("http://www.twitter.com/nyc311/status/788069855043973121", "788069855043973121")</f>
        <v>0</v>
      </c>
      <c r="B1009" s="2">
        <v>42660.7299652778</v>
      </c>
      <c r="C1009">
        <v>1</v>
      </c>
      <c r="D1009">
        <v>0</v>
      </c>
      <c r="E1009" t="s">
        <v>1002</v>
      </c>
    </row>
    <row r="1010" spans="1:5">
      <c r="A1010">
        <f>HYPERLINK("http://www.twitter.com/nyc311/status/788066931999907840", "788066931999907840")</f>
        <v>0</v>
      </c>
      <c r="B1010" s="2">
        <v>42660.7218981481</v>
      </c>
      <c r="C1010">
        <v>1</v>
      </c>
      <c r="D1010">
        <v>0</v>
      </c>
      <c r="E1010" t="s">
        <v>1003</v>
      </c>
    </row>
    <row r="1011" spans="1:5">
      <c r="A1011">
        <f>HYPERLINK("http://www.twitter.com/nyc311/status/788064738546683904", "788064738546683904")</f>
        <v>0</v>
      </c>
      <c r="B1011" s="2">
        <v>42660.7158449074</v>
      </c>
      <c r="C1011">
        <v>0</v>
      </c>
      <c r="D1011">
        <v>0</v>
      </c>
      <c r="E1011" t="s">
        <v>1004</v>
      </c>
    </row>
    <row r="1012" spans="1:5">
      <c r="A1012">
        <f>HYPERLINK("http://www.twitter.com/nyc311/status/788055357600006144", "788055357600006144")</f>
        <v>0</v>
      </c>
      <c r="B1012" s="2">
        <v>42660.6899652778</v>
      </c>
      <c r="C1012">
        <v>0</v>
      </c>
      <c r="D1012">
        <v>0</v>
      </c>
      <c r="E1012" t="s">
        <v>1005</v>
      </c>
    </row>
    <row r="1013" spans="1:5">
      <c r="A1013">
        <f>HYPERLINK("http://www.twitter.com/nyc311/status/788048611842154496", "788048611842154496")</f>
        <v>0</v>
      </c>
      <c r="B1013" s="2">
        <v>42660.6713425926</v>
      </c>
      <c r="C1013">
        <v>0</v>
      </c>
      <c r="D1013">
        <v>1</v>
      </c>
      <c r="E1013" t="s">
        <v>1006</v>
      </c>
    </row>
    <row r="1014" spans="1:5">
      <c r="A1014">
        <f>HYPERLINK("http://www.twitter.com/nyc311/status/788048139114672128", "788048139114672128")</f>
        <v>0</v>
      </c>
      <c r="B1014" s="2">
        <v>42660.6700462963</v>
      </c>
      <c r="C1014">
        <v>3</v>
      </c>
      <c r="D1014">
        <v>2</v>
      </c>
      <c r="E1014" t="s">
        <v>1007</v>
      </c>
    </row>
    <row r="1015" spans="1:5">
      <c r="A1015">
        <f>HYPERLINK("http://www.twitter.com/nyc311/status/788047581750386688", "788047581750386688")</f>
        <v>0</v>
      </c>
      <c r="B1015" s="2">
        <v>42660.6685069444</v>
      </c>
      <c r="C1015">
        <v>1</v>
      </c>
      <c r="D1015">
        <v>0</v>
      </c>
      <c r="E1015" t="s">
        <v>1008</v>
      </c>
    </row>
    <row r="1016" spans="1:5">
      <c r="A1016">
        <f>HYPERLINK("http://www.twitter.com/nyc311/status/788044767322071040", "788044767322071040")</f>
        <v>0</v>
      </c>
      <c r="B1016" s="2">
        <v>42660.6607407407</v>
      </c>
      <c r="C1016">
        <v>0</v>
      </c>
      <c r="D1016">
        <v>0</v>
      </c>
      <c r="E1016" t="s">
        <v>1009</v>
      </c>
    </row>
    <row r="1017" spans="1:5">
      <c r="A1017">
        <f>HYPERLINK("http://www.twitter.com/nyc311/status/788044281860747264", "788044281860747264")</f>
        <v>0</v>
      </c>
      <c r="B1017" s="2">
        <v>42660.6593981481</v>
      </c>
      <c r="C1017">
        <v>0</v>
      </c>
      <c r="D1017">
        <v>0</v>
      </c>
      <c r="E1017" t="s">
        <v>1010</v>
      </c>
    </row>
    <row r="1018" spans="1:5">
      <c r="A1018">
        <f>HYPERLINK("http://www.twitter.com/nyc311/status/788032465315258368", "788032465315258368")</f>
        <v>0</v>
      </c>
      <c r="B1018" s="2">
        <v>42660.6267939815</v>
      </c>
      <c r="C1018">
        <v>0</v>
      </c>
      <c r="D1018">
        <v>3</v>
      </c>
      <c r="E1018" t="s">
        <v>1011</v>
      </c>
    </row>
    <row r="1019" spans="1:5">
      <c r="A1019">
        <f>HYPERLINK("http://www.twitter.com/nyc311/status/788032357341261824", "788032357341261824")</f>
        <v>0</v>
      </c>
      <c r="B1019" s="2">
        <v>42660.6264930556</v>
      </c>
      <c r="C1019">
        <v>0</v>
      </c>
      <c r="D1019">
        <v>0</v>
      </c>
      <c r="E1019" t="s">
        <v>1012</v>
      </c>
    </row>
    <row r="1020" spans="1:5">
      <c r="A1020">
        <f>HYPERLINK("http://www.twitter.com/nyc311/status/788032148011909120", "788032148011909120")</f>
        <v>0</v>
      </c>
      <c r="B1020" s="2">
        <v>42660.6259143519</v>
      </c>
      <c r="C1020">
        <v>0</v>
      </c>
      <c r="D1020">
        <v>0</v>
      </c>
      <c r="E1020" t="s">
        <v>1013</v>
      </c>
    </row>
    <row r="1021" spans="1:5">
      <c r="A1021">
        <f>HYPERLINK("http://www.twitter.com/nyc311/status/788030040302874625", "788030040302874625")</f>
        <v>0</v>
      </c>
      <c r="B1021" s="2">
        <v>42660.6201041667</v>
      </c>
      <c r="C1021">
        <v>0</v>
      </c>
      <c r="D1021">
        <v>0</v>
      </c>
      <c r="E1021" t="s">
        <v>1014</v>
      </c>
    </row>
    <row r="1022" spans="1:5">
      <c r="A1022">
        <f>HYPERLINK("http://www.twitter.com/nyc311/status/788026686214406144", "788026686214406144")</f>
        <v>0</v>
      </c>
      <c r="B1022" s="2">
        <v>42660.6108449074</v>
      </c>
      <c r="C1022">
        <v>0</v>
      </c>
      <c r="D1022">
        <v>0</v>
      </c>
      <c r="E1022" t="s">
        <v>1015</v>
      </c>
    </row>
    <row r="1023" spans="1:5">
      <c r="A1023">
        <f>HYPERLINK("http://www.twitter.com/nyc311/status/788024120441180160", "788024120441180160")</f>
        <v>0</v>
      </c>
      <c r="B1023" s="2">
        <v>42660.6037615741</v>
      </c>
      <c r="C1023">
        <v>0</v>
      </c>
      <c r="D1023">
        <v>0</v>
      </c>
      <c r="E1023" t="s">
        <v>1016</v>
      </c>
    </row>
    <row r="1024" spans="1:5">
      <c r="A1024">
        <f>HYPERLINK("http://www.twitter.com/nyc311/status/788017612244541440", "788017612244541440")</f>
        <v>0</v>
      </c>
      <c r="B1024" s="2">
        <v>42660.5858101852</v>
      </c>
      <c r="C1024">
        <v>1</v>
      </c>
      <c r="D1024">
        <v>4</v>
      </c>
      <c r="E1024" t="s">
        <v>1017</v>
      </c>
    </row>
    <row r="1025" spans="1:5">
      <c r="A1025">
        <f>HYPERLINK("http://www.twitter.com/nyc311/status/787982848334725120", "787982848334725120")</f>
        <v>0</v>
      </c>
      <c r="B1025" s="2">
        <v>42660.4898726852</v>
      </c>
      <c r="C1025">
        <v>0</v>
      </c>
      <c r="D1025">
        <v>1</v>
      </c>
      <c r="E1025" t="s">
        <v>1018</v>
      </c>
    </row>
    <row r="1026" spans="1:5">
      <c r="A1026">
        <f>HYPERLINK("http://www.twitter.com/nyc311/status/787979283801276416", "787979283801276416")</f>
        <v>0</v>
      </c>
      <c r="B1026" s="2">
        <v>42660.4800347222</v>
      </c>
      <c r="C1026">
        <v>3</v>
      </c>
      <c r="D1026">
        <v>4</v>
      </c>
      <c r="E1026" t="s">
        <v>1019</v>
      </c>
    </row>
    <row r="1027" spans="1:5">
      <c r="A1027">
        <f>HYPERLINK("http://www.twitter.com/nyc311/status/787745259908464640", "787745259908464640")</f>
        <v>0</v>
      </c>
      <c r="B1027" s="2">
        <v>42659.8342592593</v>
      </c>
      <c r="C1027">
        <v>2</v>
      </c>
      <c r="D1027">
        <v>0</v>
      </c>
      <c r="E1027" t="s">
        <v>1020</v>
      </c>
    </row>
    <row r="1028" spans="1:5">
      <c r="A1028">
        <f>HYPERLINK("http://www.twitter.com/nyc311/status/787715215446212612", "787715215446212612")</f>
        <v>0</v>
      </c>
      <c r="B1028" s="2">
        <v>42659.7513541667</v>
      </c>
      <c r="C1028">
        <v>2</v>
      </c>
      <c r="D1028">
        <v>4</v>
      </c>
      <c r="E1028" t="s">
        <v>1021</v>
      </c>
    </row>
    <row r="1029" spans="1:5">
      <c r="A1029">
        <f>HYPERLINK("http://www.twitter.com/nyc311/status/787699945545535488", "787699945545535488")</f>
        <v>0</v>
      </c>
      <c r="B1029" s="2">
        <v>42659.709212963</v>
      </c>
      <c r="C1029">
        <v>2</v>
      </c>
      <c r="D1029">
        <v>5</v>
      </c>
      <c r="E1029" t="s">
        <v>1022</v>
      </c>
    </row>
    <row r="1030" spans="1:5">
      <c r="A1030">
        <f>HYPERLINK("http://www.twitter.com/nyc311/status/787685151706910720", "787685151706910720")</f>
        <v>0</v>
      </c>
      <c r="B1030" s="2">
        <v>42659.6683912037</v>
      </c>
      <c r="C1030">
        <v>5</v>
      </c>
      <c r="D1030">
        <v>1</v>
      </c>
      <c r="E1030" t="s">
        <v>1023</v>
      </c>
    </row>
    <row r="1031" spans="1:5">
      <c r="A1031">
        <f>HYPERLINK("http://www.twitter.com/nyc311/status/787654895730061312", "787654895730061312")</f>
        <v>0</v>
      </c>
      <c r="B1031" s="2">
        <v>42659.5848958333</v>
      </c>
      <c r="C1031">
        <v>3</v>
      </c>
      <c r="D1031">
        <v>1</v>
      </c>
      <c r="E1031" t="s">
        <v>1024</v>
      </c>
    </row>
    <row r="1032" spans="1:5">
      <c r="A1032">
        <f>HYPERLINK("http://www.twitter.com/nyc311/status/787382909024006144", "787382909024006144")</f>
        <v>0</v>
      </c>
      <c r="B1032" s="2">
        <v>42658.8343634259</v>
      </c>
      <c r="C1032">
        <v>2</v>
      </c>
      <c r="D1032">
        <v>2</v>
      </c>
      <c r="E1032" t="s">
        <v>1025</v>
      </c>
    </row>
    <row r="1033" spans="1:5">
      <c r="A1033">
        <f>HYPERLINK("http://www.twitter.com/nyc311/status/787352851802644480", "787352851802644480")</f>
        <v>0</v>
      </c>
      <c r="B1033" s="2">
        <v>42658.751412037</v>
      </c>
      <c r="C1033">
        <v>4</v>
      </c>
      <c r="D1033">
        <v>4</v>
      </c>
      <c r="E1033" t="s">
        <v>1026</v>
      </c>
    </row>
    <row r="1034" spans="1:5">
      <c r="A1034">
        <f>HYPERLINK("http://www.twitter.com/nyc311/status/787337733689712640", "787337733689712640")</f>
        <v>0</v>
      </c>
      <c r="B1034" s="2">
        <v>42658.7096990741</v>
      </c>
      <c r="C1034">
        <v>3</v>
      </c>
      <c r="D1034">
        <v>2</v>
      </c>
      <c r="E1034" t="s">
        <v>1027</v>
      </c>
    </row>
    <row r="1035" spans="1:5">
      <c r="A1035">
        <f>HYPERLINK("http://www.twitter.com/nyc311/status/787322795873140740", "787322795873140740")</f>
        <v>0</v>
      </c>
      <c r="B1035" s="2">
        <v>42658.6684722222</v>
      </c>
      <c r="C1035">
        <v>13</v>
      </c>
      <c r="D1035">
        <v>17</v>
      </c>
      <c r="E1035" t="s">
        <v>1028</v>
      </c>
    </row>
    <row r="1036" spans="1:5">
      <c r="A1036">
        <f>HYPERLINK("http://www.twitter.com/nyc311/status/787307361404907520", "787307361404907520")</f>
        <v>0</v>
      </c>
      <c r="B1036" s="2">
        <v>42658.6258912037</v>
      </c>
      <c r="C1036">
        <v>1</v>
      </c>
      <c r="D1036">
        <v>2</v>
      </c>
      <c r="E1036" t="s">
        <v>1029</v>
      </c>
    </row>
    <row r="1037" spans="1:5">
      <c r="A1037">
        <f>HYPERLINK("http://www.twitter.com/nyc311/status/787292241379332096", "787292241379332096")</f>
        <v>0</v>
      </c>
      <c r="B1037" s="2">
        <v>42658.5841666667</v>
      </c>
      <c r="C1037">
        <v>7</v>
      </c>
      <c r="D1037">
        <v>12</v>
      </c>
      <c r="E1037" t="s">
        <v>1030</v>
      </c>
    </row>
    <row r="1038" spans="1:5">
      <c r="A1038">
        <f>HYPERLINK("http://www.twitter.com/nyc311/status/787037122976968705", "787037122976968705")</f>
        <v>0</v>
      </c>
      <c r="B1038" s="2">
        <v>42657.8801736111</v>
      </c>
      <c r="C1038">
        <v>1</v>
      </c>
      <c r="D1038">
        <v>1</v>
      </c>
      <c r="E1038" t="s">
        <v>1031</v>
      </c>
    </row>
    <row r="1039" spans="1:5">
      <c r="A1039">
        <f>HYPERLINK("http://www.twitter.com/nyc311/status/787035348559945729", "787035348559945729")</f>
        <v>0</v>
      </c>
      <c r="B1039" s="2">
        <v>42657.8752777778</v>
      </c>
      <c r="C1039">
        <v>12</v>
      </c>
      <c r="D1039">
        <v>28</v>
      </c>
      <c r="E1039" t="s">
        <v>1032</v>
      </c>
    </row>
    <row r="1040" spans="1:5">
      <c r="A1040">
        <f>HYPERLINK("http://www.twitter.com/nyc311/status/787030429945700352", "787030429945700352")</f>
        <v>0</v>
      </c>
      <c r="B1040" s="2">
        <v>42657.8617013889</v>
      </c>
      <c r="C1040">
        <v>0</v>
      </c>
      <c r="D1040">
        <v>150</v>
      </c>
      <c r="E1040" t="s">
        <v>1033</v>
      </c>
    </row>
    <row r="1041" spans="1:5">
      <c r="A1041">
        <f>HYPERLINK("http://www.twitter.com/nyc311/status/787020630550016002", "787020630550016002")</f>
        <v>0</v>
      </c>
      <c r="B1041" s="2">
        <v>42657.8346643519</v>
      </c>
      <c r="C1041">
        <v>2</v>
      </c>
      <c r="D1041">
        <v>1</v>
      </c>
      <c r="E1041" t="s">
        <v>1034</v>
      </c>
    </row>
    <row r="1042" spans="1:5">
      <c r="A1042">
        <f>HYPERLINK("http://www.twitter.com/nyc311/status/787013671906058240", "787013671906058240")</f>
        <v>0</v>
      </c>
      <c r="B1042" s="2">
        <v>42657.815462963</v>
      </c>
      <c r="C1042">
        <v>0</v>
      </c>
      <c r="D1042">
        <v>0</v>
      </c>
      <c r="E1042" t="s">
        <v>1035</v>
      </c>
    </row>
    <row r="1043" spans="1:5">
      <c r="A1043">
        <f>HYPERLINK("http://www.twitter.com/nyc311/status/787005552400470017", "787005552400470017")</f>
        <v>0</v>
      </c>
      <c r="B1043" s="2">
        <v>42657.7930555556</v>
      </c>
      <c r="C1043">
        <v>0</v>
      </c>
      <c r="D1043">
        <v>0</v>
      </c>
      <c r="E1043" t="s">
        <v>1036</v>
      </c>
    </row>
    <row r="1044" spans="1:5">
      <c r="A1044">
        <f>HYPERLINK("http://www.twitter.com/nyc311/status/786994333480280064", "786994333480280064")</f>
        <v>0</v>
      </c>
      <c r="B1044" s="2">
        <v>42657.7620949074</v>
      </c>
      <c r="C1044">
        <v>0</v>
      </c>
      <c r="D1044">
        <v>4</v>
      </c>
      <c r="E1044" t="s">
        <v>1037</v>
      </c>
    </row>
    <row r="1045" spans="1:5">
      <c r="A1045">
        <f>HYPERLINK("http://www.twitter.com/nyc311/status/786990751238488064", "786990751238488064")</f>
        <v>0</v>
      </c>
      <c r="B1045" s="2">
        <v>42657.7522106481</v>
      </c>
      <c r="C1045">
        <v>1</v>
      </c>
      <c r="D1045">
        <v>2</v>
      </c>
      <c r="E1045" t="s">
        <v>1038</v>
      </c>
    </row>
    <row r="1046" spans="1:5">
      <c r="A1046">
        <f>HYPERLINK("http://www.twitter.com/nyc311/status/786976728904237061", "786976728904237061")</f>
        <v>0</v>
      </c>
      <c r="B1046" s="2">
        <v>42657.7135185185</v>
      </c>
      <c r="C1046">
        <v>0</v>
      </c>
      <c r="D1046">
        <v>1</v>
      </c>
      <c r="E1046" t="s">
        <v>1039</v>
      </c>
    </row>
    <row r="1047" spans="1:5">
      <c r="A1047">
        <f>HYPERLINK("http://www.twitter.com/nyc311/status/786960901102530561", "786960901102530561")</f>
        <v>0</v>
      </c>
      <c r="B1047" s="2">
        <v>42657.669837963</v>
      </c>
      <c r="C1047">
        <v>5</v>
      </c>
      <c r="D1047">
        <v>1</v>
      </c>
      <c r="E1047" t="s">
        <v>1040</v>
      </c>
    </row>
    <row r="1048" spans="1:5">
      <c r="A1048">
        <f>HYPERLINK("http://www.twitter.com/nyc311/status/786957049515081729", "786957049515081729")</f>
        <v>0</v>
      </c>
      <c r="B1048" s="2">
        <v>42657.659212963</v>
      </c>
      <c r="C1048">
        <v>0</v>
      </c>
      <c r="D1048">
        <v>0</v>
      </c>
      <c r="E1048" t="s">
        <v>1041</v>
      </c>
    </row>
    <row r="1049" spans="1:5">
      <c r="A1049">
        <f>HYPERLINK("http://www.twitter.com/nyc311/status/786956515538300928", "786956515538300928")</f>
        <v>0</v>
      </c>
      <c r="B1049" s="2">
        <v>42657.6577314815</v>
      </c>
      <c r="C1049">
        <v>0</v>
      </c>
      <c r="D1049">
        <v>0</v>
      </c>
      <c r="E1049" t="s">
        <v>1042</v>
      </c>
    </row>
    <row r="1050" spans="1:5">
      <c r="A1050">
        <f>HYPERLINK("http://www.twitter.com/nyc311/status/786945688659759104", "786945688659759104")</f>
        <v>0</v>
      </c>
      <c r="B1050" s="2">
        <v>42657.6278587963</v>
      </c>
      <c r="C1050">
        <v>1</v>
      </c>
      <c r="D1050">
        <v>2</v>
      </c>
      <c r="E1050" t="s">
        <v>1043</v>
      </c>
    </row>
    <row r="1051" spans="1:5">
      <c r="A1051">
        <f>HYPERLINK("http://www.twitter.com/nyc311/status/786930490469146625", "786930490469146625")</f>
        <v>0</v>
      </c>
      <c r="B1051" s="2">
        <v>42657.5859259259</v>
      </c>
      <c r="C1051">
        <v>15</v>
      </c>
      <c r="D1051">
        <v>36</v>
      </c>
      <c r="E1051" t="s">
        <v>1044</v>
      </c>
    </row>
    <row r="1052" spans="1:5">
      <c r="A1052">
        <f>HYPERLINK("http://www.twitter.com/nyc311/status/786930432407375872", "786930432407375872")</f>
        <v>0</v>
      </c>
      <c r="B1052" s="2">
        <v>42657.5857638889</v>
      </c>
      <c r="C1052">
        <v>1</v>
      </c>
      <c r="D1052">
        <v>0</v>
      </c>
      <c r="E1052" t="s">
        <v>1045</v>
      </c>
    </row>
    <row r="1053" spans="1:5">
      <c r="A1053">
        <f>HYPERLINK("http://www.twitter.com/nyc311/status/786930144787169280", "786930144787169280")</f>
        <v>0</v>
      </c>
      <c r="B1053" s="2">
        <v>42657.5849652778</v>
      </c>
      <c r="C1053">
        <v>1</v>
      </c>
      <c r="D1053">
        <v>0</v>
      </c>
      <c r="E1053" t="s">
        <v>1046</v>
      </c>
    </row>
    <row r="1054" spans="1:5">
      <c r="A1054">
        <f>HYPERLINK("http://www.twitter.com/nyc311/status/786928539450937346", "786928539450937346")</f>
        <v>0</v>
      </c>
      <c r="B1054" s="2">
        <v>42657.5805324074</v>
      </c>
      <c r="C1054">
        <v>0</v>
      </c>
      <c r="D1054">
        <v>0</v>
      </c>
      <c r="E1054" t="s">
        <v>1047</v>
      </c>
    </row>
    <row r="1055" spans="1:5">
      <c r="A1055">
        <f>HYPERLINK("http://www.twitter.com/nyc311/status/786927726192197633", "786927726192197633")</f>
        <v>0</v>
      </c>
      <c r="B1055" s="2">
        <v>42657.578287037</v>
      </c>
      <c r="C1055">
        <v>0</v>
      </c>
      <c r="D1055">
        <v>0</v>
      </c>
      <c r="E1055" t="s">
        <v>1048</v>
      </c>
    </row>
    <row r="1056" spans="1:5">
      <c r="A1056">
        <f>HYPERLINK("http://www.twitter.com/nyc311/status/786682088259018753", "786682088259018753")</f>
        <v>0</v>
      </c>
      <c r="B1056" s="2">
        <v>42656.900462963</v>
      </c>
      <c r="C1056">
        <v>0</v>
      </c>
      <c r="D1056">
        <v>0</v>
      </c>
      <c r="E1056" t="s">
        <v>1049</v>
      </c>
    </row>
    <row r="1057" spans="1:5">
      <c r="A1057">
        <f>HYPERLINK("http://www.twitter.com/nyc311/status/786674015750455296", "786674015750455296")</f>
        <v>0</v>
      </c>
      <c r="B1057" s="2">
        <v>42656.8781828704</v>
      </c>
      <c r="C1057">
        <v>0</v>
      </c>
      <c r="D1057">
        <v>0</v>
      </c>
      <c r="E1057" t="s">
        <v>1050</v>
      </c>
    </row>
    <row r="1058" spans="1:5">
      <c r="A1058">
        <f>HYPERLINK("http://www.twitter.com/nyc311/status/786666613835755521", "786666613835755521")</f>
        <v>0</v>
      </c>
      <c r="B1058" s="2">
        <v>42656.8577546296</v>
      </c>
      <c r="C1058">
        <v>0</v>
      </c>
      <c r="D1058">
        <v>0</v>
      </c>
      <c r="E1058" t="s">
        <v>1051</v>
      </c>
    </row>
    <row r="1059" spans="1:5">
      <c r="A1059">
        <f>HYPERLINK("http://www.twitter.com/nyc311/status/786658689411342337", "786658689411342337")</f>
        <v>0</v>
      </c>
      <c r="B1059" s="2">
        <v>42656.8358912037</v>
      </c>
      <c r="C1059">
        <v>1</v>
      </c>
      <c r="D1059">
        <v>1</v>
      </c>
      <c r="E1059" t="s">
        <v>1052</v>
      </c>
    </row>
    <row r="1060" spans="1:5">
      <c r="A1060">
        <f>HYPERLINK("http://www.twitter.com/nyc311/status/786644155124551682", "786644155124551682")</f>
        <v>0</v>
      </c>
      <c r="B1060" s="2">
        <v>42656.795787037</v>
      </c>
      <c r="C1060">
        <v>0</v>
      </c>
      <c r="D1060">
        <v>0</v>
      </c>
      <c r="E1060" t="s">
        <v>1053</v>
      </c>
    </row>
    <row r="1061" spans="1:5">
      <c r="A1061">
        <f>HYPERLINK("http://www.twitter.com/nyc311/status/786643628747784192", "786643628747784192")</f>
        <v>0</v>
      </c>
      <c r="B1061" s="2">
        <v>42656.7943287037</v>
      </c>
      <c r="C1061">
        <v>0</v>
      </c>
      <c r="D1061">
        <v>0</v>
      </c>
      <c r="E1061" t="s">
        <v>1054</v>
      </c>
    </row>
    <row r="1062" spans="1:5">
      <c r="A1062">
        <f>HYPERLINK("http://www.twitter.com/nyc311/status/786642976193843200", "786642976193843200")</f>
        <v>0</v>
      </c>
      <c r="B1062" s="2">
        <v>42656.7925347222</v>
      </c>
      <c r="C1062">
        <v>0</v>
      </c>
      <c r="D1062">
        <v>0</v>
      </c>
      <c r="E1062" t="s">
        <v>1055</v>
      </c>
    </row>
    <row r="1063" spans="1:5">
      <c r="A1063">
        <f>HYPERLINK("http://www.twitter.com/nyc311/status/786628556809990144", "786628556809990144")</f>
        <v>0</v>
      </c>
      <c r="B1063" s="2">
        <v>42656.7527430556</v>
      </c>
      <c r="C1063">
        <v>4</v>
      </c>
      <c r="D1063">
        <v>2</v>
      </c>
      <c r="E1063" t="s">
        <v>1056</v>
      </c>
    </row>
    <row r="1064" spans="1:5">
      <c r="A1064">
        <f>HYPERLINK("http://www.twitter.com/nyc311/status/786621147672698880", "786621147672698880")</f>
        <v>0</v>
      </c>
      <c r="B1064" s="2">
        <v>42656.7322916667</v>
      </c>
      <c r="C1064">
        <v>0</v>
      </c>
      <c r="D1064">
        <v>0</v>
      </c>
      <c r="E1064" t="s">
        <v>1057</v>
      </c>
    </row>
    <row r="1065" spans="1:5">
      <c r="A1065">
        <f>HYPERLINK("http://www.twitter.com/nyc311/status/786620204402999296", "786620204402999296")</f>
        <v>0</v>
      </c>
      <c r="B1065" s="2">
        <v>42656.7296990741</v>
      </c>
      <c r="C1065">
        <v>0</v>
      </c>
      <c r="D1065">
        <v>0</v>
      </c>
      <c r="E1065" t="s">
        <v>1058</v>
      </c>
    </row>
    <row r="1066" spans="1:5">
      <c r="A1066">
        <f>HYPERLINK("http://www.twitter.com/nyc311/status/786613244865699840", "786613244865699840")</f>
        <v>0</v>
      </c>
      <c r="B1066" s="2">
        <v>42656.7104861111</v>
      </c>
      <c r="C1066">
        <v>3</v>
      </c>
      <c r="D1066">
        <v>0</v>
      </c>
      <c r="E1066" t="s">
        <v>1059</v>
      </c>
    </row>
    <row r="1067" spans="1:5">
      <c r="A1067">
        <f>HYPERLINK("http://www.twitter.com/nyc311/status/786598534548193280", "786598534548193280")</f>
        <v>0</v>
      </c>
      <c r="B1067" s="2">
        <v>42656.6698958333</v>
      </c>
      <c r="C1067">
        <v>4</v>
      </c>
      <c r="D1067">
        <v>5</v>
      </c>
      <c r="E1067" t="s">
        <v>1060</v>
      </c>
    </row>
    <row r="1068" spans="1:5">
      <c r="A1068">
        <f>HYPERLINK("http://www.twitter.com/nyc311/status/786593600335257600", "786593600335257600")</f>
        <v>0</v>
      </c>
      <c r="B1068" s="2">
        <v>42656.6562847222</v>
      </c>
      <c r="C1068">
        <v>0</v>
      </c>
      <c r="D1068">
        <v>0</v>
      </c>
      <c r="E1068" t="s">
        <v>1061</v>
      </c>
    </row>
    <row r="1069" spans="1:5">
      <c r="A1069">
        <f>HYPERLINK("http://www.twitter.com/nyc311/status/786593560892170240", "786593560892170240")</f>
        <v>0</v>
      </c>
      <c r="B1069" s="2">
        <v>42656.6561689815</v>
      </c>
      <c r="C1069">
        <v>0</v>
      </c>
      <c r="D1069">
        <v>0</v>
      </c>
      <c r="E1069" t="s">
        <v>1062</v>
      </c>
    </row>
    <row r="1070" spans="1:5">
      <c r="A1070">
        <f>HYPERLINK("http://www.twitter.com/nyc311/status/786588488997203968", "786588488997203968")</f>
        <v>0</v>
      </c>
      <c r="B1070" s="2">
        <v>42656.6421759259</v>
      </c>
      <c r="C1070">
        <v>0</v>
      </c>
      <c r="D1070">
        <v>0</v>
      </c>
      <c r="E1070" t="s">
        <v>1063</v>
      </c>
    </row>
    <row r="1071" spans="1:5">
      <c r="A1071">
        <f>HYPERLINK("http://www.twitter.com/nyc311/status/786588142501527552", "786588142501527552")</f>
        <v>0</v>
      </c>
      <c r="B1071" s="2">
        <v>42656.6412152778</v>
      </c>
      <c r="C1071">
        <v>0</v>
      </c>
      <c r="D1071">
        <v>0</v>
      </c>
      <c r="E1071" t="s">
        <v>1064</v>
      </c>
    </row>
    <row r="1072" spans="1:5">
      <c r="A1072">
        <f>HYPERLINK("http://www.twitter.com/nyc311/status/786585902298562560", "786585902298562560")</f>
        <v>0</v>
      </c>
      <c r="B1072" s="2">
        <v>42656.6350347222</v>
      </c>
      <c r="C1072">
        <v>0</v>
      </c>
      <c r="D1072">
        <v>0</v>
      </c>
      <c r="E1072" t="s">
        <v>1065</v>
      </c>
    </row>
    <row r="1073" spans="1:5">
      <c r="A1073">
        <f>HYPERLINK("http://www.twitter.com/nyc311/status/786582536583544833", "786582536583544833")</f>
        <v>0</v>
      </c>
      <c r="B1073" s="2">
        <v>42656.6257523148</v>
      </c>
      <c r="C1073">
        <v>0</v>
      </c>
      <c r="D1073">
        <v>0</v>
      </c>
      <c r="E1073" t="s">
        <v>1066</v>
      </c>
    </row>
    <row r="1074" spans="1:5">
      <c r="A1074">
        <f>HYPERLINK("http://www.twitter.com/nyc311/status/786581754823999488", "786581754823999488")</f>
        <v>0</v>
      </c>
      <c r="B1074" s="2">
        <v>42656.623587963</v>
      </c>
      <c r="C1074">
        <v>0</v>
      </c>
      <c r="D1074">
        <v>0</v>
      </c>
      <c r="E1074" t="s">
        <v>1067</v>
      </c>
    </row>
    <row r="1075" spans="1:5">
      <c r="A1075">
        <f>HYPERLINK("http://www.twitter.com/nyc311/status/786581663866290176", "786581663866290176")</f>
        <v>0</v>
      </c>
      <c r="B1075" s="2">
        <v>42656.6233449074</v>
      </c>
      <c r="C1075">
        <v>0</v>
      </c>
      <c r="D1075">
        <v>0</v>
      </c>
      <c r="E1075" t="s">
        <v>1068</v>
      </c>
    </row>
    <row r="1076" spans="1:5">
      <c r="A1076">
        <f>HYPERLINK("http://www.twitter.com/nyc311/status/786568911093399552", "786568911093399552")</f>
        <v>0</v>
      </c>
      <c r="B1076" s="2">
        <v>42656.5881481481</v>
      </c>
      <c r="C1076">
        <v>0</v>
      </c>
      <c r="D1076">
        <v>0</v>
      </c>
      <c r="E1076" t="s">
        <v>1069</v>
      </c>
    </row>
    <row r="1077" spans="1:5">
      <c r="A1077">
        <f>HYPERLINK("http://www.twitter.com/nyc311/status/786568337803411456", "786568337803411456")</f>
        <v>0</v>
      </c>
      <c r="B1077" s="2">
        <v>42656.5865740741</v>
      </c>
      <c r="C1077">
        <v>12</v>
      </c>
      <c r="D1077">
        <v>28</v>
      </c>
      <c r="E1077" t="s">
        <v>1070</v>
      </c>
    </row>
    <row r="1078" spans="1:5">
      <c r="A1078">
        <f>HYPERLINK("http://www.twitter.com/nyc311/status/786567239306706944", "786567239306706944")</f>
        <v>0</v>
      </c>
      <c r="B1078" s="2">
        <v>42656.5835416667</v>
      </c>
      <c r="C1078">
        <v>0</v>
      </c>
      <c r="D1078">
        <v>0</v>
      </c>
      <c r="E1078" t="s">
        <v>1071</v>
      </c>
    </row>
    <row r="1079" spans="1:5">
      <c r="A1079">
        <f>HYPERLINK("http://www.twitter.com/nyc311/status/786567222546296834", "786567222546296834")</f>
        <v>0</v>
      </c>
      <c r="B1079" s="2">
        <v>42656.5834953704</v>
      </c>
      <c r="C1079">
        <v>0</v>
      </c>
      <c r="D1079">
        <v>0</v>
      </c>
      <c r="E1079" t="s">
        <v>1072</v>
      </c>
    </row>
    <row r="1080" spans="1:5">
      <c r="A1080">
        <f>HYPERLINK("http://www.twitter.com/nyc311/status/786566432893140992", "786566432893140992")</f>
        <v>0</v>
      </c>
      <c r="B1080" s="2">
        <v>42656.5813078704</v>
      </c>
      <c r="C1080">
        <v>0</v>
      </c>
      <c r="D1080">
        <v>0</v>
      </c>
      <c r="E1080" t="s">
        <v>1073</v>
      </c>
    </row>
    <row r="1081" spans="1:5">
      <c r="A1081">
        <f>HYPERLINK("http://www.twitter.com/nyc311/status/786566217238716416", "786566217238716416")</f>
        <v>0</v>
      </c>
      <c r="B1081" s="2">
        <v>42656.5807175926</v>
      </c>
      <c r="C1081">
        <v>0</v>
      </c>
      <c r="D1081">
        <v>0</v>
      </c>
      <c r="E1081" t="s">
        <v>1074</v>
      </c>
    </row>
    <row r="1082" spans="1:5">
      <c r="A1082">
        <f>HYPERLINK("http://www.twitter.com/nyc311/status/786310585344458752", "786310585344458752")</f>
        <v>0</v>
      </c>
      <c r="B1082" s="2">
        <v>42655.8753125</v>
      </c>
      <c r="C1082">
        <v>5</v>
      </c>
      <c r="D1082">
        <v>2</v>
      </c>
      <c r="E1082" t="s">
        <v>1075</v>
      </c>
    </row>
    <row r="1083" spans="1:5">
      <c r="A1083">
        <f>HYPERLINK("http://www.twitter.com/nyc311/status/786302036363051010", "786302036363051010")</f>
        <v>0</v>
      </c>
      <c r="B1083" s="2">
        <v>42655.851712963</v>
      </c>
      <c r="C1083">
        <v>1</v>
      </c>
      <c r="D1083">
        <v>1</v>
      </c>
      <c r="E1083" t="s">
        <v>1076</v>
      </c>
    </row>
    <row r="1084" spans="1:5">
      <c r="A1084">
        <f>HYPERLINK("http://www.twitter.com/nyc311/status/786301857564164096", "786301857564164096")</f>
        <v>0</v>
      </c>
      <c r="B1084" s="2">
        <v>42655.8512268519</v>
      </c>
      <c r="C1084">
        <v>0</v>
      </c>
      <c r="D1084">
        <v>0</v>
      </c>
      <c r="E1084" t="s">
        <v>1077</v>
      </c>
    </row>
    <row r="1085" spans="1:5">
      <c r="A1085">
        <f>HYPERLINK("http://www.twitter.com/nyc311/status/786295609833717760", "786295609833717760")</f>
        <v>0</v>
      </c>
      <c r="B1085" s="2">
        <v>42655.8339814815</v>
      </c>
      <c r="C1085">
        <v>1</v>
      </c>
      <c r="D1085">
        <v>1</v>
      </c>
      <c r="E1085" t="s">
        <v>1078</v>
      </c>
    </row>
    <row r="1086" spans="1:5">
      <c r="A1086">
        <f>HYPERLINK("http://www.twitter.com/nyc311/status/786289886831775744", "786289886831775744")</f>
        <v>0</v>
      </c>
      <c r="B1086" s="2">
        <v>42655.8181944444</v>
      </c>
      <c r="C1086">
        <v>0</v>
      </c>
      <c r="D1086">
        <v>0</v>
      </c>
      <c r="E1086" t="s">
        <v>1079</v>
      </c>
    </row>
    <row r="1087" spans="1:5">
      <c r="A1087">
        <f>HYPERLINK("http://www.twitter.com/nyc311/status/786289703968448512", "786289703968448512")</f>
        <v>0</v>
      </c>
      <c r="B1087" s="2">
        <v>42655.8176851852</v>
      </c>
      <c r="C1087">
        <v>0</v>
      </c>
      <c r="D1087">
        <v>0</v>
      </c>
      <c r="E1087" t="s">
        <v>1080</v>
      </c>
    </row>
    <row r="1088" spans="1:5">
      <c r="A1088">
        <f>HYPERLINK("http://www.twitter.com/nyc311/status/786280526084710401", "786280526084710401")</f>
        <v>0</v>
      </c>
      <c r="B1088" s="2">
        <v>42655.7923611111</v>
      </c>
      <c r="C1088">
        <v>9</v>
      </c>
      <c r="D1088">
        <v>24</v>
      </c>
      <c r="E1088" t="s">
        <v>1081</v>
      </c>
    </row>
    <row r="1089" spans="1:5">
      <c r="A1089">
        <f>HYPERLINK("http://www.twitter.com/nyc311/status/786266098891128832", "786266098891128832")</f>
        <v>0</v>
      </c>
      <c r="B1089" s="2">
        <v>42655.7525462963</v>
      </c>
      <c r="C1089">
        <v>3</v>
      </c>
      <c r="D1089">
        <v>0</v>
      </c>
      <c r="E1089" t="s">
        <v>1082</v>
      </c>
    </row>
    <row r="1090" spans="1:5">
      <c r="A1090">
        <f>HYPERLINK("http://www.twitter.com/nyc311/status/786262858132840448", "786262858132840448")</f>
        <v>0</v>
      </c>
      <c r="B1090" s="2">
        <v>42655.7436111111</v>
      </c>
      <c r="C1090">
        <v>0</v>
      </c>
      <c r="D1090">
        <v>0</v>
      </c>
      <c r="E1090" t="s">
        <v>1083</v>
      </c>
    </row>
    <row r="1091" spans="1:5">
      <c r="A1091">
        <f>HYPERLINK("http://www.twitter.com/nyc311/status/786250280895741952", "786250280895741952")</f>
        <v>0</v>
      </c>
      <c r="B1091" s="2">
        <v>42655.708900463</v>
      </c>
      <c r="C1091">
        <v>5</v>
      </c>
      <c r="D1091">
        <v>4</v>
      </c>
      <c r="E1091" t="s">
        <v>1084</v>
      </c>
    </row>
    <row r="1092" spans="1:5">
      <c r="A1092">
        <f>HYPERLINK("http://www.twitter.com/nyc311/status/786246590998642688", "786246590998642688")</f>
        <v>0</v>
      </c>
      <c r="B1092" s="2">
        <v>42655.6987152778</v>
      </c>
      <c r="C1092">
        <v>0</v>
      </c>
      <c r="D1092">
        <v>0</v>
      </c>
      <c r="E1092" t="s">
        <v>1085</v>
      </c>
    </row>
    <row r="1093" spans="1:5">
      <c r="A1093">
        <f>HYPERLINK("http://www.twitter.com/nyc311/status/786236140215042048", "786236140215042048")</f>
        <v>0</v>
      </c>
      <c r="B1093" s="2">
        <v>42655.6698842593</v>
      </c>
      <c r="C1093">
        <v>3</v>
      </c>
      <c r="D1093">
        <v>3</v>
      </c>
      <c r="E1093" t="s">
        <v>1086</v>
      </c>
    </row>
    <row r="1094" spans="1:5">
      <c r="A1094">
        <f>HYPERLINK("http://www.twitter.com/nyc311/status/786225359574491137", "786225359574491137")</f>
        <v>0</v>
      </c>
      <c r="B1094" s="2">
        <v>42655.6401273148</v>
      </c>
      <c r="C1094">
        <v>0</v>
      </c>
      <c r="D1094">
        <v>0</v>
      </c>
      <c r="E1094" t="s">
        <v>1087</v>
      </c>
    </row>
    <row r="1095" spans="1:5">
      <c r="A1095">
        <f>HYPERLINK("http://www.twitter.com/nyc311/status/786210367068307456", "786210367068307456")</f>
        <v>0</v>
      </c>
      <c r="B1095" s="2">
        <v>42655.5987615741</v>
      </c>
      <c r="C1095">
        <v>0</v>
      </c>
      <c r="D1095">
        <v>0</v>
      </c>
      <c r="E1095" t="s">
        <v>1088</v>
      </c>
    </row>
    <row r="1096" spans="1:5">
      <c r="A1096">
        <f>HYPERLINK("http://www.twitter.com/nyc311/status/786208695520755713", "786208695520755713")</f>
        <v>0</v>
      </c>
      <c r="B1096" s="2">
        <v>42655.5941435185</v>
      </c>
      <c r="C1096">
        <v>0</v>
      </c>
      <c r="D1096">
        <v>0</v>
      </c>
      <c r="E1096" t="s">
        <v>1089</v>
      </c>
    </row>
    <row r="1097" spans="1:5">
      <c r="A1097">
        <f>HYPERLINK("http://www.twitter.com/nyc311/status/786208523629854720", "786208523629854720")</f>
        <v>0</v>
      </c>
      <c r="B1097" s="2">
        <v>42655.5936689815</v>
      </c>
      <c r="C1097">
        <v>0</v>
      </c>
      <c r="D1097">
        <v>0</v>
      </c>
      <c r="E1097" t="s">
        <v>1090</v>
      </c>
    </row>
    <row r="1098" spans="1:5">
      <c r="A1098">
        <f>HYPERLINK("http://www.twitter.com/nyc311/status/786206739410681856", "786206739410681856")</f>
        <v>0</v>
      </c>
      <c r="B1098" s="2">
        <v>42655.58875</v>
      </c>
      <c r="C1098">
        <v>0</v>
      </c>
      <c r="D1098">
        <v>0</v>
      </c>
      <c r="E1098" t="s">
        <v>1091</v>
      </c>
    </row>
    <row r="1099" spans="1:5">
      <c r="A1099">
        <f>HYPERLINK("http://www.twitter.com/nyc311/status/786205712246534144", "786205712246534144")</f>
        <v>0</v>
      </c>
      <c r="B1099" s="2">
        <v>42655.5859143519</v>
      </c>
      <c r="C1099">
        <v>0</v>
      </c>
      <c r="D1099">
        <v>2</v>
      </c>
      <c r="E1099" t="s">
        <v>1092</v>
      </c>
    </row>
    <row r="1100" spans="1:5">
      <c r="A1100">
        <f>HYPERLINK("http://www.twitter.com/nyc311/status/786205568180584448", "786205568180584448")</f>
        <v>0</v>
      </c>
      <c r="B1100" s="2">
        <v>42655.5855208333</v>
      </c>
      <c r="C1100">
        <v>0</v>
      </c>
      <c r="D1100">
        <v>0</v>
      </c>
      <c r="E1100" t="s">
        <v>1093</v>
      </c>
    </row>
    <row r="1101" spans="1:5">
      <c r="A1101">
        <f>HYPERLINK("http://www.twitter.com/nyc311/status/786205143322812417", "786205143322812417")</f>
        <v>0</v>
      </c>
      <c r="B1101" s="2">
        <v>42655.5843402778</v>
      </c>
      <c r="C1101">
        <v>0</v>
      </c>
      <c r="D1101">
        <v>0</v>
      </c>
      <c r="E1101" t="s">
        <v>1094</v>
      </c>
    </row>
    <row r="1102" spans="1:5">
      <c r="A1102">
        <f>HYPERLINK("http://www.twitter.com/nyc311/status/786178503460913152", "786178503460913152")</f>
        <v>0</v>
      </c>
      <c r="B1102" s="2">
        <v>42655.5108333333</v>
      </c>
      <c r="C1102">
        <v>0</v>
      </c>
      <c r="D1102">
        <v>0</v>
      </c>
      <c r="E1102" t="s">
        <v>1095</v>
      </c>
    </row>
    <row r="1103" spans="1:5">
      <c r="A1103">
        <f>HYPERLINK("http://www.twitter.com/nyc311/status/786175230968524804", "786175230968524804")</f>
        <v>0</v>
      </c>
      <c r="B1103" s="2">
        <v>42655.5018055556</v>
      </c>
      <c r="C1103">
        <v>5</v>
      </c>
      <c r="D1103">
        <v>3</v>
      </c>
      <c r="E1103" t="s">
        <v>1096</v>
      </c>
    </row>
    <row r="1104" spans="1:5">
      <c r="A1104">
        <f>HYPERLINK("http://www.twitter.com/nyc311/status/786170912609595392", "786170912609595392")</f>
        <v>0</v>
      </c>
      <c r="B1104" s="2">
        <v>42655.4898842593</v>
      </c>
      <c r="C1104">
        <v>0</v>
      </c>
      <c r="D1104">
        <v>1</v>
      </c>
      <c r="E1104" t="s">
        <v>1097</v>
      </c>
    </row>
    <row r="1105" spans="1:5">
      <c r="A1105">
        <f>HYPERLINK("http://www.twitter.com/nyc311/status/786167404854476800", "786167404854476800")</f>
        <v>0</v>
      </c>
      <c r="B1105" s="2">
        <v>42655.4802083333</v>
      </c>
      <c r="C1105">
        <v>2</v>
      </c>
      <c r="D1105">
        <v>4</v>
      </c>
      <c r="E1105" t="s">
        <v>1098</v>
      </c>
    </row>
    <row r="1106" spans="1:5">
      <c r="A1106">
        <f>HYPERLINK("http://www.twitter.com/nyc311/status/785948379180335104", "785948379180335104")</f>
        <v>0</v>
      </c>
      <c r="B1106" s="2">
        <v>42654.8758101852</v>
      </c>
      <c r="C1106">
        <v>0</v>
      </c>
      <c r="D1106">
        <v>0</v>
      </c>
      <c r="E1106" t="s">
        <v>1099</v>
      </c>
    </row>
    <row r="1107" spans="1:5">
      <c r="A1107">
        <f>HYPERLINK("http://www.twitter.com/nyc311/status/785947766644215808", "785947766644215808")</f>
        <v>0</v>
      </c>
      <c r="B1107" s="2">
        <v>42654.8741203704</v>
      </c>
      <c r="C1107">
        <v>0</v>
      </c>
      <c r="D1107">
        <v>0</v>
      </c>
      <c r="E1107" t="s">
        <v>1100</v>
      </c>
    </row>
    <row r="1108" spans="1:5">
      <c r="A1108">
        <f>HYPERLINK("http://www.twitter.com/nyc311/status/785946322826387456", "785946322826387456")</f>
        <v>0</v>
      </c>
      <c r="B1108" s="2">
        <v>42654.8701388889</v>
      </c>
      <c r="C1108">
        <v>0</v>
      </c>
      <c r="D1108">
        <v>0</v>
      </c>
      <c r="E1108" t="s">
        <v>1101</v>
      </c>
    </row>
    <row r="1109" spans="1:5">
      <c r="A1109">
        <f>HYPERLINK("http://www.twitter.com/nyc311/status/785936162363936771", "785936162363936771")</f>
        <v>0</v>
      </c>
      <c r="B1109" s="2">
        <v>42654.8420949074</v>
      </c>
      <c r="C1109">
        <v>0</v>
      </c>
      <c r="D1109">
        <v>0</v>
      </c>
      <c r="E1109" t="s">
        <v>1102</v>
      </c>
    </row>
    <row r="1110" spans="1:5">
      <c r="A1110">
        <f>HYPERLINK("http://www.twitter.com/nyc311/status/785933663229927425", "785933663229927425")</f>
        <v>0</v>
      </c>
      <c r="B1110" s="2">
        <v>42654.8351967593</v>
      </c>
      <c r="C1110">
        <v>1</v>
      </c>
      <c r="D1110">
        <v>1</v>
      </c>
      <c r="E1110" t="s">
        <v>1103</v>
      </c>
    </row>
    <row r="1111" spans="1:5">
      <c r="A1111">
        <f>HYPERLINK("http://www.twitter.com/nyc311/status/785925917570924545", "785925917570924545")</f>
        <v>0</v>
      </c>
      <c r="B1111" s="2">
        <v>42654.8138310185</v>
      </c>
      <c r="C1111">
        <v>0</v>
      </c>
      <c r="D1111">
        <v>0</v>
      </c>
      <c r="E1111" t="s">
        <v>1104</v>
      </c>
    </row>
    <row r="1112" spans="1:5">
      <c r="A1112">
        <f>HYPERLINK("http://www.twitter.com/nyc311/status/785918747240501254", "785918747240501254")</f>
        <v>0</v>
      </c>
      <c r="B1112" s="2">
        <v>42654.7940393519</v>
      </c>
      <c r="C1112">
        <v>2</v>
      </c>
      <c r="D1112">
        <v>6</v>
      </c>
      <c r="E1112" t="s">
        <v>1105</v>
      </c>
    </row>
    <row r="1113" spans="1:5">
      <c r="A1113">
        <f>HYPERLINK("http://www.twitter.com/nyc311/status/785915950998642688", "785915950998642688")</f>
        <v>0</v>
      </c>
      <c r="B1113" s="2">
        <v>42654.7863194444</v>
      </c>
      <c r="C1113">
        <v>0</v>
      </c>
      <c r="D1113">
        <v>0</v>
      </c>
      <c r="E1113" t="s">
        <v>1106</v>
      </c>
    </row>
    <row r="1114" spans="1:5">
      <c r="A1114">
        <f>HYPERLINK("http://www.twitter.com/nyc311/status/785903532461453312", "785903532461453312")</f>
        <v>0</v>
      </c>
      <c r="B1114" s="2">
        <v>42654.7520601852</v>
      </c>
      <c r="C1114">
        <v>3</v>
      </c>
      <c r="D1114">
        <v>3</v>
      </c>
      <c r="E1114" t="s">
        <v>1107</v>
      </c>
    </row>
    <row r="1115" spans="1:5">
      <c r="A1115">
        <f>HYPERLINK("http://www.twitter.com/nyc311/status/785891612106842113", "785891612106842113")</f>
        <v>0</v>
      </c>
      <c r="B1115" s="2">
        <v>42654.7191666667</v>
      </c>
      <c r="C1115">
        <v>1</v>
      </c>
      <c r="D1115">
        <v>0</v>
      </c>
      <c r="E1115" t="s">
        <v>1108</v>
      </c>
    </row>
    <row r="1116" spans="1:5">
      <c r="A1116">
        <f>HYPERLINK("http://www.twitter.com/nyc311/status/785887201401929729", "785887201401929729")</f>
        <v>0</v>
      </c>
      <c r="B1116" s="2">
        <v>42654.7069907407</v>
      </c>
      <c r="C1116">
        <v>0</v>
      </c>
      <c r="D1116">
        <v>0</v>
      </c>
      <c r="E1116" t="s">
        <v>1109</v>
      </c>
    </row>
    <row r="1117" spans="1:5">
      <c r="A1117">
        <f>HYPERLINK("http://www.twitter.com/nyc311/status/785885848814444544", "785885848814444544")</f>
        <v>0</v>
      </c>
      <c r="B1117" s="2">
        <v>42654.7032638889</v>
      </c>
      <c r="C1117">
        <v>0</v>
      </c>
      <c r="D1117">
        <v>0</v>
      </c>
      <c r="E1117" t="s">
        <v>1110</v>
      </c>
    </row>
    <row r="1118" spans="1:5">
      <c r="A1118">
        <f>HYPERLINK("http://www.twitter.com/nyc311/status/785883718615494656", "785883718615494656")</f>
        <v>0</v>
      </c>
      <c r="B1118" s="2">
        <v>42654.6973842593</v>
      </c>
      <c r="C1118">
        <v>0</v>
      </c>
      <c r="D1118">
        <v>0</v>
      </c>
      <c r="E1118" t="s">
        <v>1111</v>
      </c>
    </row>
    <row r="1119" spans="1:5">
      <c r="A1119">
        <f>HYPERLINK("http://www.twitter.com/nyc311/status/785876411357728769", "785876411357728769")</f>
        <v>0</v>
      </c>
      <c r="B1119" s="2">
        <v>42654.6772222222</v>
      </c>
      <c r="C1119">
        <v>28</v>
      </c>
      <c r="D1119">
        <v>36</v>
      </c>
      <c r="E1119" t="s">
        <v>1112</v>
      </c>
    </row>
    <row r="1120" spans="1:5">
      <c r="A1120">
        <f>HYPERLINK("http://www.twitter.com/nyc311/status/785874788992610304", "785874788992610304")</f>
        <v>0</v>
      </c>
      <c r="B1120" s="2">
        <v>42654.6727430556</v>
      </c>
      <c r="C1120">
        <v>0</v>
      </c>
      <c r="D1120">
        <v>0</v>
      </c>
      <c r="E1120" t="s">
        <v>1113</v>
      </c>
    </row>
    <row r="1121" spans="1:5">
      <c r="A1121">
        <f>HYPERLINK("http://www.twitter.com/nyc311/status/785873795240325120", "785873795240325120")</f>
        <v>0</v>
      </c>
      <c r="B1121" s="2">
        <v>42654.67</v>
      </c>
      <c r="C1121">
        <v>4</v>
      </c>
      <c r="D1121">
        <v>5</v>
      </c>
      <c r="E1121" t="s">
        <v>1114</v>
      </c>
    </row>
    <row r="1122" spans="1:5">
      <c r="A1122">
        <f>HYPERLINK("http://www.twitter.com/nyc311/status/785871192288849920", "785871192288849920")</f>
        <v>0</v>
      </c>
      <c r="B1122" s="2">
        <v>42654.6628125</v>
      </c>
      <c r="C1122">
        <v>0</v>
      </c>
      <c r="D1122">
        <v>0</v>
      </c>
      <c r="E1122" t="s">
        <v>1115</v>
      </c>
    </row>
    <row r="1123" spans="1:5">
      <c r="A1123">
        <f>HYPERLINK("http://www.twitter.com/nyc311/status/785870209039106048", "785870209039106048")</f>
        <v>0</v>
      </c>
      <c r="B1123" s="2">
        <v>42654.6601041667</v>
      </c>
      <c r="C1123">
        <v>0</v>
      </c>
      <c r="D1123">
        <v>0</v>
      </c>
      <c r="E1123" t="s">
        <v>1116</v>
      </c>
    </row>
    <row r="1124" spans="1:5">
      <c r="A1124">
        <f>HYPERLINK("http://www.twitter.com/nyc311/status/785869327484461056", "785869327484461056")</f>
        <v>0</v>
      </c>
      <c r="B1124" s="2">
        <v>42654.6576736111</v>
      </c>
      <c r="C1124">
        <v>1</v>
      </c>
      <c r="D1124">
        <v>0</v>
      </c>
      <c r="E1124" t="s">
        <v>1117</v>
      </c>
    </row>
    <row r="1125" spans="1:5">
      <c r="A1125">
        <f>HYPERLINK("http://www.twitter.com/nyc311/status/785868361955696640", "785868361955696640")</f>
        <v>0</v>
      </c>
      <c r="B1125" s="2">
        <v>42654.655</v>
      </c>
      <c r="C1125">
        <v>0</v>
      </c>
      <c r="D1125">
        <v>0</v>
      </c>
      <c r="E1125" t="s">
        <v>1118</v>
      </c>
    </row>
    <row r="1126" spans="1:5">
      <c r="A1126">
        <f>HYPERLINK("http://www.twitter.com/nyc311/status/785867892533452800", "785867892533452800")</f>
        <v>0</v>
      </c>
      <c r="B1126" s="2">
        <v>42654.6537037037</v>
      </c>
      <c r="C1126">
        <v>0</v>
      </c>
      <c r="D1126">
        <v>0</v>
      </c>
      <c r="E1126" t="s">
        <v>1119</v>
      </c>
    </row>
    <row r="1127" spans="1:5">
      <c r="A1127">
        <f>HYPERLINK("http://www.twitter.com/nyc311/status/785858835210788864", "785858835210788864")</f>
        <v>0</v>
      </c>
      <c r="B1127" s="2">
        <v>42654.6287152778</v>
      </c>
      <c r="C1127">
        <v>0</v>
      </c>
      <c r="D1127">
        <v>0</v>
      </c>
      <c r="E1127" t="s">
        <v>1120</v>
      </c>
    </row>
    <row r="1128" spans="1:5">
      <c r="A1128">
        <f>HYPERLINK("http://www.twitter.com/nyc311/status/785855893258792960", "785855893258792960")</f>
        <v>0</v>
      </c>
      <c r="B1128" s="2">
        <v>42654.6206018518</v>
      </c>
      <c r="C1128">
        <v>0</v>
      </c>
      <c r="D1128">
        <v>0</v>
      </c>
      <c r="E1128" t="s">
        <v>1121</v>
      </c>
    </row>
    <row r="1129" spans="1:5">
      <c r="A1129">
        <f>HYPERLINK("http://www.twitter.com/nyc311/status/785853844924293124", "785853844924293124")</f>
        <v>0</v>
      </c>
      <c r="B1129" s="2">
        <v>42654.6149421296</v>
      </c>
      <c r="C1129">
        <v>1</v>
      </c>
      <c r="D1129">
        <v>0</v>
      </c>
      <c r="E1129" t="s">
        <v>1122</v>
      </c>
    </row>
    <row r="1130" spans="1:5">
      <c r="A1130">
        <f>HYPERLINK("http://www.twitter.com/nyc311/status/785852073577422848", "785852073577422848")</f>
        <v>0</v>
      </c>
      <c r="B1130" s="2">
        <v>42654.6100578704</v>
      </c>
      <c r="C1130">
        <v>0</v>
      </c>
      <c r="D1130">
        <v>0</v>
      </c>
      <c r="E1130" t="s">
        <v>1123</v>
      </c>
    </row>
    <row r="1131" spans="1:5">
      <c r="A1131">
        <f>HYPERLINK("http://www.twitter.com/nyc311/status/785851128034525185", "785851128034525185")</f>
        <v>0</v>
      </c>
      <c r="B1131" s="2">
        <v>42654.6074421296</v>
      </c>
      <c r="C1131">
        <v>0</v>
      </c>
      <c r="D1131">
        <v>0</v>
      </c>
      <c r="E1131" t="s">
        <v>1124</v>
      </c>
    </row>
    <row r="1132" spans="1:5">
      <c r="A1132">
        <f>HYPERLINK("http://www.twitter.com/nyc311/status/785849868342423552", "785849868342423552")</f>
        <v>0</v>
      </c>
      <c r="B1132" s="2">
        <v>42654.6039699074</v>
      </c>
      <c r="C1132">
        <v>0</v>
      </c>
      <c r="D1132">
        <v>0</v>
      </c>
      <c r="E1132" t="s">
        <v>1125</v>
      </c>
    </row>
    <row r="1133" spans="1:5">
      <c r="A1133">
        <f>HYPERLINK("http://www.twitter.com/nyc311/status/785849695050534913", "785849695050534913")</f>
        <v>0</v>
      </c>
      <c r="B1133" s="2">
        <v>42654.6034953704</v>
      </c>
      <c r="C1133">
        <v>0</v>
      </c>
      <c r="D1133">
        <v>0</v>
      </c>
      <c r="E1133" t="s">
        <v>1126</v>
      </c>
    </row>
    <row r="1134" spans="1:5">
      <c r="A1134">
        <f>HYPERLINK("http://www.twitter.com/nyc311/status/785846867405967364", "785846867405967364")</f>
        <v>0</v>
      </c>
      <c r="B1134" s="2">
        <v>42654.5956944444</v>
      </c>
      <c r="C1134">
        <v>0</v>
      </c>
      <c r="D1134">
        <v>0</v>
      </c>
      <c r="E1134" t="s">
        <v>1127</v>
      </c>
    </row>
    <row r="1135" spans="1:5">
      <c r="A1135">
        <f>HYPERLINK("http://www.twitter.com/nyc311/status/785845990901284864", "785845990901284864")</f>
        <v>0</v>
      </c>
      <c r="B1135" s="2">
        <v>42654.593275463</v>
      </c>
      <c r="C1135">
        <v>0</v>
      </c>
      <c r="D1135">
        <v>0</v>
      </c>
      <c r="E1135" t="s">
        <v>1128</v>
      </c>
    </row>
    <row r="1136" spans="1:5">
      <c r="A1136">
        <f>HYPERLINK("http://www.twitter.com/nyc311/status/785845476591603712", "785845476591603712")</f>
        <v>0</v>
      </c>
      <c r="B1136" s="2">
        <v>42654.5918518519</v>
      </c>
      <c r="C1136">
        <v>1</v>
      </c>
      <c r="D1136">
        <v>0</v>
      </c>
      <c r="E1136" t="s">
        <v>1129</v>
      </c>
    </row>
    <row r="1137" spans="1:5">
      <c r="A1137">
        <f>HYPERLINK("http://www.twitter.com/nyc311/status/785845327735689216", "785845327735689216")</f>
        <v>0</v>
      </c>
      <c r="B1137" s="2">
        <v>42654.5914467593</v>
      </c>
      <c r="C1137">
        <v>1</v>
      </c>
      <c r="D1137">
        <v>0</v>
      </c>
      <c r="E1137" t="s">
        <v>1130</v>
      </c>
    </row>
    <row r="1138" spans="1:5">
      <c r="A1138">
        <f>HYPERLINK("http://www.twitter.com/nyc311/status/785843248619253760", "785843248619253760")</f>
        <v>0</v>
      </c>
      <c r="B1138" s="2">
        <v>42654.5857060185</v>
      </c>
      <c r="C1138">
        <v>4</v>
      </c>
      <c r="D1138">
        <v>4</v>
      </c>
      <c r="E1138" t="s">
        <v>1131</v>
      </c>
    </row>
    <row r="1139" spans="1:5">
      <c r="A1139">
        <f>HYPERLINK("http://www.twitter.com/nyc311/status/785843115689144321", "785843115689144321")</f>
        <v>0</v>
      </c>
      <c r="B1139" s="2">
        <v>42654.5853356481</v>
      </c>
      <c r="C1139">
        <v>0</v>
      </c>
      <c r="D1139">
        <v>0</v>
      </c>
      <c r="E1139" t="s">
        <v>1132</v>
      </c>
    </row>
    <row r="1140" spans="1:5">
      <c r="A1140">
        <f>HYPERLINK("http://www.twitter.com/nyc311/status/785842675622830082", "785842675622830082")</f>
        <v>0</v>
      </c>
      <c r="B1140" s="2">
        <v>42654.5841203704</v>
      </c>
      <c r="C1140">
        <v>0</v>
      </c>
      <c r="D1140">
        <v>0</v>
      </c>
      <c r="E1140" t="s">
        <v>1133</v>
      </c>
    </row>
    <row r="1141" spans="1:5">
      <c r="A1141">
        <f>HYPERLINK("http://www.twitter.com/nyc311/status/785842038700990464", "785842038700990464")</f>
        <v>0</v>
      </c>
      <c r="B1141" s="2">
        <v>42654.5823611111</v>
      </c>
      <c r="C1141">
        <v>0</v>
      </c>
      <c r="D1141">
        <v>0</v>
      </c>
      <c r="E1141" t="s">
        <v>1134</v>
      </c>
    </row>
    <row r="1142" spans="1:5">
      <c r="A1142">
        <f>HYPERLINK("http://www.twitter.com/nyc311/status/785571228740382721", "785571228740382721")</f>
        <v>0</v>
      </c>
      <c r="B1142" s="2">
        <v>42653.8350694444</v>
      </c>
      <c r="C1142">
        <v>2</v>
      </c>
      <c r="D1142">
        <v>0</v>
      </c>
      <c r="E1142" t="s">
        <v>1135</v>
      </c>
    </row>
    <row r="1143" spans="1:5">
      <c r="A1143">
        <f>HYPERLINK("http://www.twitter.com/nyc311/status/785541108185067520", "785541108185067520")</f>
        <v>0</v>
      </c>
      <c r="B1143" s="2">
        <v>42653.7519560185</v>
      </c>
      <c r="C1143">
        <v>7</v>
      </c>
      <c r="D1143">
        <v>5</v>
      </c>
      <c r="E1143" t="s">
        <v>1136</v>
      </c>
    </row>
    <row r="1144" spans="1:5">
      <c r="A1144">
        <f>HYPERLINK("http://www.twitter.com/nyc311/status/785511248599408640", "785511248599408640")</f>
        <v>0</v>
      </c>
      <c r="B1144" s="2">
        <v>42653.6695601852</v>
      </c>
      <c r="C1144">
        <v>3</v>
      </c>
      <c r="D1144">
        <v>4</v>
      </c>
      <c r="E1144" t="s">
        <v>1137</v>
      </c>
    </row>
    <row r="1145" spans="1:5">
      <c r="A1145">
        <f>HYPERLINK("http://www.twitter.com/nyc311/status/785484003352731649", "785484003352731649")</f>
        <v>0</v>
      </c>
      <c r="B1145" s="2">
        <v>42653.594375</v>
      </c>
      <c r="C1145">
        <v>1</v>
      </c>
      <c r="D1145">
        <v>1</v>
      </c>
      <c r="E1145" t="s">
        <v>1138</v>
      </c>
    </row>
    <row r="1146" spans="1:5">
      <c r="A1146">
        <f>HYPERLINK("http://www.twitter.com/nyc311/status/785480900792422400", "785480900792422400")</f>
        <v>0</v>
      </c>
      <c r="B1146" s="2">
        <v>42653.5858101852</v>
      </c>
      <c r="C1146">
        <v>3</v>
      </c>
      <c r="D1146">
        <v>7</v>
      </c>
      <c r="E1146" t="s">
        <v>1139</v>
      </c>
    </row>
    <row r="1147" spans="1:5">
      <c r="A1147">
        <f>HYPERLINK("http://www.twitter.com/nyc311/status/785453714500939780", "785453714500939780")</f>
        <v>0</v>
      </c>
      <c r="B1147" s="2">
        <v>42653.5107986111</v>
      </c>
      <c r="C1147">
        <v>2</v>
      </c>
      <c r="D1147">
        <v>0</v>
      </c>
      <c r="E1147" t="s">
        <v>1140</v>
      </c>
    </row>
    <row r="1148" spans="1:5">
      <c r="A1148">
        <f>HYPERLINK("http://www.twitter.com/nyc311/status/785450543053434881", "785450543053434881")</f>
        <v>0</v>
      </c>
      <c r="B1148" s="2">
        <v>42653.5020486111</v>
      </c>
      <c r="C1148">
        <v>1</v>
      </c>
      <c r="D1148">
        <v>2</v>
      </c>
      <c r="E1148" t="s">
        <v>1141</v>
      </c>
    </row>
    <row r="1149" spans="1:5">
      <c r="A1149">
        <f>HYPERLINK("http://www.twitter.com/nyc311/status/785446157719928833", "785446157719928833")</f>
        <v>0</v>
      </c>
      <c r="B1149" s="2">
        <v>42653.4899421296</v>
      </c>
      <c r="C1149">
        <v>0</v>
      </c>
      <c r="D1149">
        <v>0</v>
      </c>
      <c r="E1149" t="s">
        <v>1142</v>
      </c>
    </row>
    <row r="1150" spans="1:5">
      <c r="A1150">
        <f>HYPERLINK("http://www.twitter.com/nyc311/status/785442597741400065", "785442597741400065")</f>
        <v>0</v>
      </c>
      <c r="B1150" s="2">
        <v>42653.4801157407</v>
      </c>
      <c r="C1150">
        <v>0</v>
      </c>
      <c r="D1150">
        <v>1</v>
      </c>
      <c r="E1150" t="s">
        <v>1143</v>
      </c>
    </row>
    <row r="1151" spans="1:5">
      <c r="A1151">
        <f>HYPERLINK("http://www.twitter.com/nyc311/status/785208596082532352", "785208596082532352")</f>
        <v>0</v>
      </c>
      <c r="B1151" s="2">
        <v>42652.8343981481</v>
      </c>
      <c r="C1151">
        <v>2</v>
      </c>
      <c r="D1151">
        <v>0</v>
      </c>
      <c r="E1151" t="s">
        <v>1144</v>
      </c>
    </row>
    <row r="1152" spans="1:5">
      <c r="A1152">
        <f>HYPERLINK("http://www.twitter.com/nyc311/status/785193468368973824", "785193468368973824")</f>
        <v>0</v>
      </c>
      <c r="B1152" s="2">
        <v>42652.792650463</v>
      </c>
      <c r="C1152">
        <v>5</v>
      </c>
      <c r="D1152">
        <v>5</v>
      </c>
      <c r="E1152" t="s">
        <v>1145</v>
      </c>
    </row>
    <row r="1153" spans="1:5">
      <c r="A1153">
        <f>HYPERLINK("http://www.twitter.com/nyc311/status/785178558289371136", "785178558289371136")</f>
        <v>0</v>
      </c>
      <c r="B1153" s="2">
        <v>42652.7515046296</v>
      </c>
      <c r="C1153">
        <v>2</v>
      </c>
      <c r="D1153">
        <v>4</v>
      </c>
      <c r="E1153" t="s">
        <v>1146</v>
      </c>
    </row>
    <row r="1154" spans="1:5">
      <c r="A1154">
        <f>HYPERLINK("http://www.twitter.com/nyc311/status/785163373323423745", "785163373323423745")</f>
        <v>0</v>
      </c>
      <c r="B1154" s="2">
        <v>42652.7096064815</v>
      </c>
      <c r="C1154">
        <v>1</v>
      </c>
      <c r="D1154">
        <v>0</v>
      </c>
      <c r="E1154" t="s">
        <v>1147</v>
      </c>
    </row>
    <row r="1155" spans="1:5">
      <c r="A1155">
        <f>HYPERLINK("http://www.twitter.com/nyc311/status/785148440779059200", "785148440779059200")</f>
        <v>0</v>
      </c>
      <c r="B1155" s="2">
        <v>42652.6684027778</v>
      </c>
      <c r="C1155">
        <v>3</v>
      </c>
      <c r="D1155">
        <v>1</v>
      </c>
      <c r="E1155" t="s">
        <v>1148</v>
      </c>
    </row>
    <row r="1156" spans="1:5">
      <c r="A1156">
        <f>HYPERLINK("http://www.twitter.com/nyc311/status/785118194675646464", "785118194675646464")</f>
        <v>0</v>
      </c>
      <c r="B1156" s="2">
        <v>42652.5849421296</v>
      </c>
      <c r="C1156">
        <v>3</v>
      </c>
      <c r="D1156">
        <v>1</v>
      </c>
      <c r="E1156" t="s">
        <v>1149</v>
      </c>
    </row>
    <row r="1157" spans="1:5">
      <c r="A1157">
        <f>HYPERLINK("http://www.twitter.com/nyc311/status/784846204433797120", "784846204433797120")</f>
        <v>0</v>
      </c>
      <c r="B1157" s="2">
        <v>42651.8343865741</v>
      </c>
      <c r="C1157">
        <v>1</v>
      </c>
      <c r="D1157">
        <v>2</v>
      </c>
      <c r="E1157" t="s">
        <v>1150</v>
      </c>
    </row>
    <row r="1158" spans="1:5">
      <c r="A1158">
        <f>HYPERLINK("http://www.twitter.com/nyc311/status/784816220621172736", "784816220621172736")</f>
        <v>0</v>
      </c>
      <c r="B1158" s="2">
        <v>42651.7516435185</v>
      </c>
      <c r="C1158">
        <v>9</v>
      </c>
      <c r="D1158">
        <v>3</v>
      </c>
      <c r="E1158" t="s">
        <v>1151</v>
      </c>
    </row>
    <row r="1159" spans="1:5">
      <c r="A1159">
        <f>HYPERLINK("http://www.twitter.com/nyc311/status/784786121913950208", "784786121913950208")</f>
        <v>0</v>
      </c>
      <c r="B1159" s="2">
        <v>42651.668587963</v>
      </c>
      <c r="C1159">
        <v>1</v>
      </c>
      <c r="D1159">
        <v>1</v>
      </c>
      <c r="E1159" t="s">
        <v>1152</v>
      </c>
    </row>
    <row r="1160" spans="1:5">
      <c r="A1160">
        <f>HYPERLINK("http://www.twitter.com/nyc311/status/784755904109486080", "784755904109486080")</f>
        <v>0</v>
      </c>
      <c r="B1160" s="2">
        <v>42651.5852083333</v>
      </c>
      <c r="C1160">
        <v>7</v>
      </c>
      <c r="D1160">
        <v>2</v>
      </c>
      <c r="E1160" t="s">
        <v>1153</v>
      </c>
    </row>
    <row r="1161" spans="1:5">
      <c r="A1161">
        <f>HYPERLINK("http://www.twitter.com/nyc311/status/784484069010702336", "784484069010702336")</f>
        <v>0</v>
      </c>
      <c r="B1161" s="2">
        <v>42650.8350810185</v>
      </c>
      <c r="C1161">
        <v>1</v>
      </c>
      <c r="D1161">
        <v>1</v>
      </c>
      <c r="E1161" t="s">
        <v>1154</v>
      </c>
    </row>
    <row r="1162" spans="1:5">
      <c r="A1162">
        <f>HYPERLINK("http://www.twitter.com/nyc311/status/784483977902092288", "784483977902092288")</f>
        <v>0</v>
      </c>
      <c r="B1162" s="2">
        <v>42650.8348263889</v>
      </c>
      <c r="C1162">
        <v>1</v>
      </c>
      <c r="D1162">
        <v>0</v>
      </c>
      <c r="E1162" t="s">
        <v>1155</v>
      </c>
    </row>
    <row r="1163" spans="1:5">
      <c r="A1163">
        <f>HYPERLINK("http://www.twitter.com/nyc311/status/784468429973618688", "784468429973618688")</f>
        <v>0</v>
      </c>
      <c r="B1163" s="2">
        <v>42650.7919328704</v>
      </c>
      <c r="C1163">
        <v>1</v>
      </c>
      <c r="D1163">
        <v>0</v>
      </c>
      <c r="E1163" t="s">
        <v>1156</v>
      </c>
    </row>
    <row r="1164" spans="1:5">
      <c r="A1164">
        <f>HYPERLINK("http://www.twitter.com/nyc311/status/784453867039813632", "784453867039813632")</f>
        <v>0</v>
      </c>
      <c r="B1164" s="2">
        <v>42650.7517476852</v>
      </c>
      <c r="C1164">
        <v>0</v>
      </c>
      <c r="D1164">
        <v>0</v>
      </c>
      <c r="E1164" t="s">
        <v>1157</v>
      </c>
    </row>
    <row r="1165" spans="1:5">
      <c r="A1165">
        <f>HYPERLINK("http://www.twitter.com/nyc311/status/784439081900077056", "784439081900077056")</f>
        <v>0</v>
      </c>
      <c r="B1165" s="2">
        <v>42650.7109375</v>
      </c>
      <c r="C1165">
        <v>0</v>
      </c>
      <c r="D1165">
        <v>0</v>
      </c>
      <c r="E1165" t="s">
        <v>1158</v>
      </c>
    </row>
    <row r="1166" spans="1:5">
      <c r="A1166">
        <f>HYPERLINK("http://www.twitter.com/nyc311/status/784424106657771521", "784424106657771521")</f>
        <v>0</v>
      </c>
      <c r="B1166" s="2">
        <v>42650.6696180556</v>
      </c>
      <c r="C1166">
        <v>3</v>
      </c>
      <c r="D1166">
        <v>7</v>
      </c>
      <c r="E1166" t="s">
        <v>1159</v>
      </c>
    </row>
    <row r="1167" spans="1:5">
      <c r="A1167">
        <f>HYPERLINK("http://www.twitter.com/nyc311/status/784419670807965696", "784419670807965696")</f>
        <v>0</v>
      </c>
      <c r="B1167" s="2">
        <v>42650.6573726852</v>
      </c>
      <c r="C1167">
        <v>0</v>
      </c>
      <c r="D1167">
        <v>0</v>
      </c>
      <c r="E1167" t="s">
        <v>1160</v>
      </c>
    </row>
    <row r="1168" spans="1:5">
      <c r="A1168">
        <f>HYPERLINK("http://www.twitter.com/nyc311/status/784416622815608833", "784416622815608833")</f>
        <v>0</v>
      </c>
      <c r="B1168" s="2">
        <v>42650.6489699074</v>
      </c>
      <c r="C1168">
        <v>0</v>
      </c>
      <c r="D1168">
        <v>0</v>
      </c>
      <c r="E1168" t="s">
        <v>1161</v>
      </c>
    </row>
    <row r="1169" spans="1:5">
      <c r="A1169">
        <f>HYPERLINK("http://www.twitter.com/nyc311/status/784413860325359616", "784413860325359616")</f>
        <v>0</v>
      </c>
      <c r="B1169" s="2">
        <v>42650.6413425926</v>
      </c>
      <c r="C1169">
        <v>0</v>
      </c>
      <c r="D1169">
        <v>0</v>
      </c>
      <c r="E1169" t="s">
        <v>1162</v>
      </c>
    </row>
    <row r="1170" spans="1:5">
      <c r="A1170">
        <f>HYPERLINK("http://www.twitter.com/nyc311/status/784401423895330820", "784401423895330820")</f>
        <v>0</v>
      </c>
      <c r="B1170" s="2">
        <v>42650.607025463</v>
      </c>
      <c r="C1170">
        <v>1</v>
      </c>
      <c r="D1170">
        <v>0</v>
      </c>
      <c r="E1170" t="s">
        <v>1163</v>
      </c>
    </row>
    <row r="1171" spans="1:5">
      <c r="A1171">
        <f>HYPERLINK("http://www.twitter.com/nyc311/status/784401230248443906", "784401230248443906")</f>
        <v>0</v>
      </c>
      <c r="B1171" s="2">
        <v>42650.6064930556</v>
      </c>
      <c r="C1171">
        <v>1</v>
      </c>
      <c r="D1171">
        <v>0</v>
      </c>
      <c r="E1171" t="s">
        <v>1164</v>
      </c>
    </row>
    <row r="1172" spans="1:5">
      <c r="A1172">
        <f>HYPERLINK("http://www.twitter.com/nyc311/status/784399350201978880", "784399350201978880")</f>
        <v>0</v>
      </c>
      <c r="B1172" s="2">
        <v>42650.6013078704</v>
      </c>
      <c r="C1172">
        <v>0</v>
      </c>
      <c r="D1172">
        <v>0</v>
      </c>
      <c r="E1172" t="s">
        <v>1165</v>
      </c>
    </row>
    <row r="1173" spans="1:5">
      <c r="A1173">
        <f>HYPERLINK("http://www.twitter.com/nyc311/status/784398934919802880", "784398934919802880")</f>
        <v>0</v>
      </c>
      <c r="B1173" s="2">
        <v>42650.600162037</v>
      </c>
      <c r="C1173">
        <v>0</v>
      </c>
      <c r="D1173">
        <v>0</v>
      </c>
      <c r="E1173" t="s">
        <v>1166</v>
      </c>
    </row>
    <row r="1174" spans="1:5">
      <c r="A1174">
        <f>HYPERLINK("http://www.twitter.com/nyc311/status/784398561429614592", "784398561429614592")</f>
        <v>0</v>
      </c>
      <c r="B1174" s="2">
        <v>42650.5991319444</v>
      </c>
      <c r="C1174">
        <v>0</v>
      </c>
      <c r="D1174">
        <v>0</v>
      </c>
      <c r="E1174" t="s">
        <v>1167</v>
      </c>
    </row>
    <row r="1175" spans="1:5">
      <c r="A1175">
        <f>HYPERLINK("http://www.twitter.com/nyc311/status/784397614259249152", "784397614259249152")</f>
        <v>0</v>
      </c>
      <c r="B1175" s="2">
        <v>42650.5965162037</v>
      </c>
      <c r="C1175">
        <v>0</v>
      </c>
      <c r="D1175">
        <v>0</v>
      </c>
      <c r="E1175" t="s">
        <v>1168</v>
      </c>
    </row>
    <row r="1176" spans="1:5">
      <c r="A1176">
        <f>HYPERLINK("http://www.twitter.com/nyc311/status/784395230892036097", "784395230892036097")</f>
        <v>0</v>
      </c>
      <c r="B1176" s="2">
        <v>42650.5899421296</v>
      </c>
      <c r="C1176">
        <v>0</v>
      </c>
      <c r="D1176">
        <v>0</v>
      </c>
      <c r="E1176" t="s">
        <v>1169</v>
      </c>
    </row>
    <row r="1177" spans="1:5">
      <c r="A1177">
        <f>HYPERLINK("http://www.twitter.com/nyc311/status/784393714789707776", "784393714789707776")</f>
        <v>0</v>
      </c>
      <c r="B1177" s="2">
        <v>42650.5857523148</v>
      </c>
      <c r="C1177">
        <v>1</v>
      </c>
      <c r="D1177">
        <v>0</v>
      </c>
      <c r="E1177" t="s">
        <v>1170</v>
      </c>
    </row>
    <row r="1178" spans="1:5">
      <c r="A1178">
        <f>HYPERLINK("http://www.twitter.com/nyc311/status/784144081995923456", "784144081995923456")</f>
        <v>0</v>
      </c>
      <c r="B1178" s="2">
        <v>42649.8968981481</v>
      </c>
      <c r="C1178">
        <v>0</v>
      </c>
      <c r="D1178">
        <v>0</v>
      </c>
      <c r="E1178" t="s">
        <v>1171</v>
      </c>
    </row>
    <row r="1179" spans="1:5">
      <c r="A1179">
        <f>HYPERLINK("http://www.twitter.com/nyc311/status/784143737253421056", "784143737253421056")</f>
        <v>0</v>
      </c>
      <c r="B1179" s="2">
        <v>42649.8959490741</v>
      </c>
      <c r="C1179">
        <v>0</v>
      </c>
      <c r="D1179">
        <v>0</v>
      </c>
      <c r="E1179" t="s">
        <v>1172</v>
      </c>
    </row>
    <row r="1180" spans="1:5">
      <c r="A1180">
        <f>HYPERLINK("http://www.twitter.com/nyc311/status/784129218632413184", "784129218632413184")</f>
        <v>0</v>
      </c>
      <c r="B1180" s="2">
        <v>42649.8558796296</v>
      </c>
      <c r="C1180">
        <v>1</v>
      </c>
      <c r="D1180">
        <v>0</v>
      </c>
      <c r="E1180" t="s">
        <v>1173</v>
      </c>
    </row>
    <row r="1181" spans="1:5">
      <c r="A1181">
        <f>HYPERLINK("http://www.twitter.com/nyc311/status/784121502350336000", "784121502350336000")</f>
        <v>0</v>
      </c>
      <c r="B1181" s="2">
        <v>42649.8345949074</v>
      </c>
      <c r="C1181">
        <v>1</v>
      </c>
      <c r="D1181">
        <v>1</v>
      </c>
      <c r="E1181" t="s">
        <v>1174</v>
      </c>
    </row>
    <row r="1182" spans="1:5">
      <c r="A1182">
        <f>HYPERLINK("http://www.twitter.com/nyc311/status/784117612972310528", "784117612972310528")</f>
        <v>0</v>
      </c>
      <c r="B1182" s="2">
        <v>42649.8238541667</v>
      </c>
      <c r="C1182">
        <v>1</v>
      </c>
      <c r="D1182">
        <v>0</v>
      </c>
      <c r="E1182" t="s">
        <v>1175</v>
      </c>
    </row>
    <row r="1183" spans="1:5">
      <c r="A1183">
        <f>HYPERLINK("http://www.twitter.com/nyc311/status/784093160221868032", "784093160221868032")</f>
        <v>0</v>
      </c>
      <c r="B1183" s="2">
        <v>42649.7563773148</v>
      </c>
      <c r="C1183">
        <v>1</v>
      </c>
      <c r="D1183">
        <v>0</v>
      </c>
      <c r="E1183" t="s">
        <v>1176</v>
      </c>
    </row>
    <row r="1184" spans="1:5">
      <c r="A1184">
        <f>HYPERLINK("http://www.twitter.com/nyc311/status/784091663065051136", "784091663065051136")</f>
        <v>0</v>
      </c>
      <c r="B1184" s="2">
        <v>42649.7522453704</v>
      </c>
      <c r="C1184">
        <v>4</v>
      </c>
      <c r="D1184">
        <v>8</v>
      </c>
      <c r="E1184" t="s">
        <v>1177</v>
      </c>
    </row>
    <row r="1185" spans="1:5">
      <c r="A1185">
        <f>HYPERLINK("http://www.twitter.com/nyc311/status/784085051076177921", "784085051076177921")</f>
        <v>0</v>
      </c>
      <c r="B1185" s="2">
        <v>42649.7340046296</v>
      </c>
      <c r="C1185">
        <v>1</v>
      </c>
      <c r="D1185">
        <v>2</v>
      </c>
      <c r="E1185" t="s">
        <v>1178</v>
      </c>
    </row>
    <row r="1186" spans="1:5">
      <c r="A1186">
        <f>HYPERLINK("http://www.twitter.com/nyc311/status/784083391247446016", "784083391247446016")</f>
        <v>0</v>
      </c>
      <c r="B1186" s="2">
        <v>42649.7294212963</v>
      </c>
      <c r="C1186">
        <v>2</v>
      </c>
      <c r="D1186">
        <v>0</v>
      </c>
      <c r="E1186" t="s">
        <v>1179</v>
      </c>
    </row>
    <row r="1187" spans="1:5">
      <c r="A1187">
        <f>HYPERLINK("http://www.twitter.com/nyc311/status/784082392126480384", "784082392126480384")</f>
        <v>0</v>
      </c>
      <c r="B1187" s="2">
        <v>42649.7266666667</v>
      </c>
      <c r="C1187">
        <v>0</v>
      </c>
      <c r="D1187">
        <v>0</v>
      </c>
      <c r="E1187" t="s">
        <v>1180</v>
      </c>
    </row>
    <row r="1188" spans="1:5">
      <c r="A1188">
        <f>HYPERLINK("http://www.twitter.com/nyc311/status/784082330319253504", "784082330319253504")</f>
        <v>0</v>
      </c>
      <c r="B1188" s="2">
        <v>42649.7264930556</v>
      </c>
      <c r="C1188">
        <v>0</v>
      </c>
      <c r="D1188">
        <v>0</v>
      </c>
      <c r="E1188" t="s">
        <v>1181</v>
      </c>
    </row>
    <row r="1189" spans="1:5">
      <c r="A1189">
        <f>HYPERLINK("http://www.twitter.com/nyc311/status/784078894437658624", "784078894437658624")</f>
        <v>0</v>
      </c>
      <c r="B1189" s="2">
        <v>42649.7170138889</v>
      </c>
      <c r="C1189">
        <v>0</v>
      </c>
      <c r="D1189">
        <v>0</v>
      </c>
      <c r="E1189" t="s">
        <v>1182</v>
      </c>
    </row>
    <row r="1190" spans="1:5">
      <c r="A1190">
        <f>HYPERLINK("http://www.twitter.com/nyc311/status/784061692745543680", "784061692745543680")</f>
        <v>0</v>
      </c>
      <c r="B1190" s="2">
        <v>42649.6695486111</v>
      </c>
      <c r="C1190">
        <v>1</v>
      </c>
      <c r="D1190">
        <v>0</v>
      </c>
      <c r="E1190" t="s">
        <v>1183</v>
      </c>
    </row>
    <row r="1191" spans="1:5">
      <c r="A1191">
        <f>HYPERLINK("http://www.twitter.com/nyc311/status/784048288240693248", "784048288240693248")</f>
        <v>0</v>
      </c>
      <c r="B1191" s="2">
        <v>42649.6325578704</v>
      </c>
      <c r="C1191">
        <v>2</v>
      </c>
      <c r="D1191">
        <v>0</v>
      </c>
      <c r="E1191" t="s">
        <v>1184</v>
      </c>
    </row>
    <row r="1192" spans="1:5">
      <c r="A1192">
        <f>HYPERLINK("http://www.twitter.com/nyc311/status/784047677789106176", "784047677789106176")</f>
        <v>0</v>
      </c>
      <c r="B1192" s="2">
        <v>42649.6308680556</v>
      </c>
      <c r="C1192">
        <v>0</v>
      </c>
      <c r="D1192">
        <v>0</v>
      </c>
      <c r="E1192" t="s">
        <v>1185</v>
      </c>
    </row>
    <row r="1193" spans="1:5">
      <c r="A1193">
        <f>HYPERLINK("http://www.twitter.com/nyc311/status/784047340575416320", "784047340575416320")</f>
        <v>0</v>
      </c>
      <c r="B1193" s="2">
        <v>42649.6299421296</v>
      </c>
      <c r="C1193">
        <v>0</v>
      </c>
      <c r="D1193">
        <v>0</v>
      </c>
      <c r="E1193" t="s">
        <v>1186</v>
      </c>
    </row>
    <row r="1194" spans="1:5">
      <c r="A1194">
        <f>HYPERLINK("http://www.twitter.com/nyc311/status/784047000174071808", "784047000174071808")</f>
        <v>0</v>
      </c>
      <c r="B1194" s="2">
        <v>42649.6290046296</v>
      </c>
      <c r="C1194">
        <v>0</v>
      </c>
      <c r="D1194">
        <v>0</v>
      </c>
      <c r="E1194" t="s">
        <v>1187</v>
      </c>
    </row>
    <row r="1195" spans="1:5">
      <c r="A1195">
        <f>HYPERLINK("http://www.twitter.com/nyc311/status/784046500724797440", "784046500724797440")</f>
        <v>0</v>
      </c>
      <c r="B1195" s="2">
        <v>42649.6276273148</v>
      </c>
      <c r="C1195">
        <v>5</v>
      </c>
      <c r="D1195">
        <v>2</v>
      </c>
      <c r="E1195" t="s">
        <v>1188</v>
      </c>
    </row>
    <row r="1196" spans="1:5">
      <c r="A1196">
        <f>HYPERLINK("http://www.twitter.com/nyc311/status/784043936159531008", "784043936159531008")</f>
        <v>0</v>
      </c>
      <c r="B1196" s="2">
        <v>42649.6205439815</v>
      </c>
      <c r="C1196">
        <v>0</v>
      </c>
      <c r="D1196">
        <v>0</v>
      </c>
      <c r="E1196" t="s">
        <v>1189</v>
      </c>
    </row>
    <row r="1197" spans="1:5">
      <c r="A1197">
        <f>HYPERLINK("http://www.twitter.com/nyc311/status/784043442745769984", "784043442745769984")</f>
        <v>0</v>
      </c>
      <c r="B1197" s="2">
        <v>42649.6191898148</v>
      </c>
      <c r="C1197">
        <v>0</v>
      </c>
      <c r="D1197">
        <v>0</v>
      </c>
      <c r="E1197" t="s">
        <v>1190</v>
      </c>
    </row>
    <row r="1198" spans="1:5">
      <c r="A1198">
        <f>HYPERLINK("http://www.twitter.com/nyc311/status/784042380123107328", "784042380123107328")</f>
        <v>0</v>
      </c>
      <c r="B1198" s="2">
        <v>42649.61625</v>
      </c>
      <c r="C1198">
        <v>0</v>
      </c>
      <c r="D1198">
        <v>0</v>
      </c>
      <c r="E1198" t="s">
        <v>1191</v>
      </c>
    </row>
    <row r="1199" spans="1:5">
      <c r="A1199">
        <f>HYPERLINK("http://www.twitter.com/nyc311/status/784038045758685184", "784038045758685184")</f>
        <v>0</v>
      </c>
      <c r="B1199" s="2">
        <v>42649.6042939815</v>
      </c>
      <c r="C1199">
        <v>1</v>
      </c>
      <c r="D1199">
        <v>0</v>
      </c>
      <c r="E1199" t="s">
        <v>1192</v>
      </c>
    </row>
    <row r="1200" spans="1:5">
      <c r="A1200">
        <f>HYPERLINK("http://www.twitter.com/nyc311/status/784037160232087552", "784037160232087552")</f>
        <v>0</v>
      </c>
      <c r="B1200" s="2">
        <v>42649.6018518519</v>
      </c>
      <c r="C1200">
        <v>1</v>
      </c>
      <c r="D1200">
        <v>0</v>
      </c>
      <c r="E1200" t="s">
        <v>1193</v>
      </c>
    </row>
    <row r="1201" spans="1:5">
      <c r="A1201">
        <f>HYPERLINK("http://www.twitter.com/nyc311/status/784031214973976576", "784031214973976576")</f>
        <v>0</v>
      </c>
      <c r="B1201" s="2">
        <v>42649.5854398148</v>
      </c>
      <c r="C1201">
        <v>26</v>
      </c>
      <c r="D1201">
        <v>32</v>
      </c>
      <c r="E1201" t="s">
        <v>1194</v>
      </c>
    </row>
    <row r="1202" spans="1:5">
      <c r="A1202">
        <f>HYPERLINK("http://www.twitter.com/nyc311/status/784028430107086848", "784028430107086848")</f>
        <v>0</v>
      </c>
      <c r="B1202" s="2">
        <v>42649.5777546296</v>
      </c>
      <c r="C1202">
        <v>0</v>
      </c>
      <c r="D1202">
        <v>0</v>
      </c>
      <c r="E1202" t="s">
        <v>1195</v>
      </c>
    </row>
    <row r="1203" spans="1:5">
      <c r="A1203">
        <f>HYPERLINK("http://www.twitter.com/nyc311/status/783759446807896064", "783759446807896064")</f>
        <v>0</v>
      </c>
      <c r="B1203" s="2">
        <v>42648.8355092593</v>
      </c>
      <c r="C1203">
        <v>3</v>
      </c>
      <c r="D1203">
        <v>2</v>
      </c>
      <c r="E1203" t="s">
        <v>1196</v>
      </c>
    </row>
    <row r="1204" spans="1:5">
      <c r="A1204">
        <f>HYPERLINK("http://www.twitter.com/nyc311/status/783755767191052288", "783755767191052288")</f>
        <v>0</v>
      </c>
      <c r="B1204" s="2">
        <v>42648.8253587963</v>
      </c>
      <c r="C1204">
        <v>0</v>
      </c>
      <c r="D1204">
        <v>0</v>
      </c>
      <c r="E1204" t="s">
        <v>1197</v>
      </c>
    </row>
    <row r="1205" spans="1:5">
      <c r="A1205">
        <f>HYPERLINK("http://www.twitter.com/nyc311/status/783744241147252737", "783744241147252737")</f>
        <v>0</v>
      </c>
      <c r="B1205" s="2">
        <v>42648.7935532407</v>
      </c>
      <c r="C1205">
        <v>19</v>
      </c>
      <c r="D1205">
        <v>17</v>
      </c>
      <c r="E1205" t="s">
        <v>1198</v>
      </c>
    </row>
    <row r="1206" spans="1:5">
      <c r="A1206">
        <f>HYPERLINK("http://www.twitter.com/nyc311/status/783728582010998784", "783728582010998784")</f>
        <v>0</v>
      </c>
      <c r="B1206" s="2">
        <v>42648.7503356481</v>
      </c>
      <c r="C1206">
        <v>6</v>
      </c>
      <c r="D1206">
        <v>1</v>
      </c>
      <c r="E1206" t="s">
        <v>1199</v>
      </c>
    </row>
    <row r="1207" spans="1:5">
      <c r="A1207">
        <f>HYPERLINK("http://www.twitter.com/nyc311/status/783723453404807169", "783723453404807169")</f>
        <v>0</v>
      </c>
      <c r="B1207" s="2">
        <v>42648.7361805556</v>
      </c>
      <c r="C1207">
        <v>0</v>
      </c>
      <c r="D1207">
        <v>0</v>
      </c>
      <c r="E1207" t="s">
        <v>1200</v>
      </c>
    </row>
    <row r="1208" spans="1:5">
      <c r="A1208">
        <f>HYPERLINK("http://www.twitter.com/nyc311/status/783718916048752640", "783718916048752640")</f>
        <v>0</v>
      </c>
      <c r="B1208" s="2">
        <v>42648.7236689815</v>
      </c>
      <c r="C1208">
        <v>0</v>
      </c>
      <c r="D1208">
        <v>0</v>
      </c>
      <c r="E1208" t="s">
        <v>1201</v>
      </c>
    </row>
    <row r="1209" spans="1:5">
      <c r="A1209">
        <f>HYPERLINK("http://www.twitter.com/nyc311/status/783699377080635392", "783699377080635392")</f>
        <v>0</v>
      </c>
      <c r="B1209" s="2">
        <v>42648.6697453704</v>
      </c>
      <c r="C1209">
        <v>2</v>
      </c>
      <c r="D1209">
        <v>2</v>
      </c>
      <c r="E1209" t="s">
        <v>294</v>
      </c>
    </row>
    <row r="1210" spans="1:5">
      <c r="A1210">
        <f>HYPERLINK("http://www.twitter.com/nyc311/status/783683954889089024", "783683954889089024")</f>
        <v>0</v>
      </c>
      <c r="B1210" s="2">
        <v>42648.6271875</v>
      </c>
      <c r="C1210">
        <v>1</v>
      </c>
      <c r="D1210">
        <v>0</v>
      </c>
      <c r="E1210" t="s">
        <v>1202</v>
      </c>
    </row>
    <row r="1211" spans="1:5">
      <c r="A1211">
        <f>HYPERLINK("http://www.twitter.com/nyc311/status/783680222667440129", "783680222667440129")</f>
        <v>0</v>
      </c>
      <c r="B1211" s="2">
        <v>42648.6168865741</v>
      </c>
      <c r="C1211">
        <v>0</v>
      </c>
      <c r="D1211">
        <v>0</v>
      </c>
      <c r="E1211" t="s">
        <v>1203</v>
      </c>
    </row>
    <row r="1212" spans="1:5">
      <c r="A1212">
        <f>HYPERLINK("http://www.twitter.com/nyc311/status/783677699684524032", "783677699684524032")</f>
        <v>0</v>
      </c>
      <c r="B1212" s="2">
        <v>42648.6099305556</v>
      </c>
      <c r="C1212">
        <v>0</v>
      </c>
      <c r="D1212">
        <v>1</v>
      </c>
      <c r="E1212" t="s">
        <v>1204</v>
      </c>
    </row>
    <row r="1213" spans="1:5">
      <c r="A1213">
        <f>HYPERLINK("http://www.twitter.com/nyc311/status/783676512549634049", "783676512549634049")</f>
        <v>0</v>
      </c>
      <c r="B1213" s="2">
        <v>42648.6066550926</v>
      </c>
      <c r="C1213">
        <v>0</v>
      </c>
      <c r="D1213">
        <v>0</v>
      </c>
      <c r="E1213" t="s">
        <v>1205</v>
      </c>
    </row>
    <row r="1214" spans="1:5">
      <c r="A1214">
        <f>HYPERLINK("http://www.twitter.com/nyc311/status/783673531641040896", "783673531641040896")</f>
        <v>0</v>
      </c>
      <c r="B1214" s="2">
        <v>42648.5984259259</v>
      </c>
      <c r="C1214">
        <v>0</v>
      </c>
      <c r="D1214">
        <v>0</v>
      </c>
      <c r="E1214" t="s">
        <v>1206</v>
      </c>
    </row>
    <row r="1215" spans="1:5">
      <c r="A1215">
        <f>HYPERLINK("http://www.twitter.com/nyc311/status/783671997863723009", "783671997863723009")</f>
        <v>0</v>
      </c>
      <c r="B1215" s="2">
        <v>42648.5941898148</v>
      </c>
      <c r="C1215">
        <v>0</v>
      </c>
      <c r="D1215">
        <v>0</v>
      </c>
      <c r="E1215" t="s">
        <v>1207</v>
      </c>
    </row>
    <row r="1216" spans="1:5">
      <c r="A1216">
        <f>HYPERLINK("http://www.twitter.com/nyc311/status/783671115919003648", "783671115919003648")</f>
        <v>0</v>
      </c>
      <c r="B1216" s="2">
        <v>42648.5917592593</v>
      </c>
      <c r="C1216">
        <v>0</v>
      </c>
      <c r="D1216">
        <v>0</v>
      </c>
      <c r="E1216" t="s">
        <v>1208</v>
      </c>
    </row>
    <row r="1217" spans="1:5">
      <c r="A1217">
        <f>HYPERLINK("http://www.twitter.com/nyc311/status/783669005550751744", "783669005550751744")</f>
        <v>0</v>
      </c>
      <c r="B1217" s="2">
        <v>42648.5859375</v>
      </c>
      <c r="C1217">
        <v>7</v>
      </c>
      <c r="D1217">
        <v>26</v>
      </c>
      <c r="E1217" t="s">
        <v>1209</v>
      </c>
    </row>
    <row r="1218" spans="1:5">
      <c r="A1218">
        <f>HYPERLINK("http://www.twitter.com/nyc311/status/783667174284128257", "783667174284128257")</f>
        <v>0</v>
      </c>
      <c r="B1218" s="2">
        <v>42648.5808796296</v>
      </c>
      <c r="C1218">
        <v>1</v>
      </c>
      <c r="D1218">
        <v>0</v>
      </c>
      <c r="E1218" t="s">
        <v>1210</v>
      </c>
    </row>
    <row r="1219" spans="1:5">
      <c r="A1219">
        <f>HYPERLINK("http://www.twitter.com/nyc311/status/783666395951276032", "783666395951276032")</f>
        <v>0</v>
      </c>
      <c r="B1219" s="2">
        <v>42648.5787384259</v>
      </c>
      <c r="C1219">
        <v>0</v>
      </c>
      <c r="D1219">
        <v>0</v>
      </c>
      <c r="E1219" t="s">
        <v>1211</v>
      </c>
    </row>
    <row r="1220" spans="1:5">
      <c r="A1220">
        <f>HYPERLINK("http://www.twitter.com/nyc311/status/783665982569086976", "783665982569086976")</f>
        <v>0</v>
      </c>
      <c r="B1220" s="2">
        <v>42648.5775925926</v>
      </c>
      <c r="C1220">
        <v>0</v>
      </c>
      <c r="D1220">
        <v>1</v>
      </c>
      <c r="E1220" t="s">
        <v>1212</v>
      </c>
    </row>
    <row r="1221" spans="1:5">
      <c r="A1221">
        <f>HYPERLINK("http://www.twitter.com/nyc311/status/783423442553102340", "783423442553102340")</f>
        <v>0</v>
      </c>
      <c r="B1221" s="2">
        <v>42647.9083101852</v>
      </c>
      <c r="C1221">
        <v>0</v>
      </c>
      <c r="D1221">
        <v>0</v>
      </c>
      <c r="E1221" t="s">
        <v>1213</v>
      </c>
    </row>
    <row r="1222" spans="1:5">
      <c r="A1222">
        <f>HYPERLINK("http://www.twitter.com/nyc311/status/783422918445436928", "783422918445436928")</f>
        <v>0</v>
      </c>
      <c r="B1222" s="2">
        <v>42647.9068634259</v>
      </c>
      <c r="C1222">
        <v>0</v>
      </c>
      <c r="D1222">
        <v>0</v>
      </c>
      <c r="E1222" t="s">
        <v>1214</v>
      </c>
    </row>
    <row r="1223" spans="1:5">
      <c r="A1223">
        <f>HYPERLINK("http://www.twitter.com/nyc311/status/783418930236882944", "783418930236882944")</f>
        <v>0</v>
      </c>
      <c r="B1223" s="2">
        <v>42647.8958564815</v>
      </c>
      <c r="C1223">
        <v>0</v>
      </c>
      <c r="D1223">
        <v>0</v>
      </c>
      <c r="E1223" t="s">
        <v>1215</v>
      </c>
    </row>
    <row r="1224" spans="1:5">
      <c r="A1224">
        <f>HYPERLINK("http://www.twitter.com/nyc311/status/783409701862121472", "783409701862121472")</f>
        <v>0</v>
      </c>
      <c r="B1224" s="2">
        <v>42647.8703935185</v>
      </c>
      <c r="C1224">
        <v>0</v>
      </c>
      <c r="D1224">
        <v>0</v>
      </c>
      <c r="E1224" t="s">
        <v>1216</v>
      </c>
    </row>
    <row r="1225" spans="1:5">
      <c r="A1225">
        <f>HYPERLINK("http://www.twitter.com/nyc311/status/783396425606565889", "783396425606565889")</f>
        <v>0</v>
      </c>
      <c r="B1225" s="2">
        <v>42647.8337615741</v>
      </c>
      <c r="C1225">
        <v>9</v>
      </c>
      <c r="D1225">
        <v>3</v>
      </c>
      <c r="E1225" t="s">
        <v>1217</v>
      </c>
    </row>
    <row r="1226" spans="1:5">
      <c r="A1226">
        <f>HYPERLINK("http://www.twitter.com/nyc311/status/783393386740973568", "783393386740973568")</f>
        <v>0</v>
      </c>
      <c r="B1226" s="2">
        <v>42647.8253703704</v>
      </c>
      <c r="C1226">
        <v>0</v>
      </c>
      <c r="D1226">
        <v>0</v>
      </c>
      <c r="E1226" t="s">
        <v>1218</v>
      </c>
    </row>
    <row r="1227" spans="1:5">
      <c r="A1227">
        <f>HYPERLINK("http://www.twitter.com/nyc311/status/783388762025889792", "783388762025889792")</f>
        <v>0</v>
      </c>
      <c r="B1227" s="2">
        <v>42647.8126157407</v>
      </c>
      <c r="C1227">
        <v>0</v>
      </c>
      <c r="D1227">
        <v>1</v>
      </c>
      <c r="E1227" t="s">
        <v>1219</v>
      </c>
    </row>
    <row r="1228" spans="1:5">
      <c r="A1228">
        <f>HYPERLINK("http://www.twitter.com/nyc311/status/783366958834151424", "783366958834151424")</f>
        <v>0</v>
      </c>
      <c r="B1228" s="2">
        <v>42647.7524421296</v>
      </c>
      <c r="C1228">
        <v>0</v>
      </c>
      <c r="D1228">
        <v>0</v>
      </c>
      <c r="E1228" t="s">
        <v>1220</v>
      </c>
    </row>
    <row r="1229" spans="1:5">
      <c r="A1229">
        <f>HYPERLINK("http://www.twitter.com/nyc311/status/783360647325163520", "783360647325163520")</f>
        <v>0</v>
      </c>
      <c r="B1229" s="2">
        <v>42647.7350347222</v>
      </c>
      <c r="C1229">
        <v>0</v>
      </c>
      <c r="D1229">
        <v>0</v>
      </c>
      <c r="E1229" t="s">
        <v>1221</v>
      </c>
    </row>
    <row r="1230" spans="1:5">
      <c r="A1230">
        <f>HYPERLINK("http://www.twitter.com/nyc311/status/783358017450369025", "783358017450369025")</f>
        <v>0</v>
      </c>
      <c r="B1230" s="2">
        <v>42647.7277777778</v>
      </c>
      <c r="C1230">
        <v>0</v>
      </c>
      <c r="D1230">
        <v>0</v>
      </c>
      <c r="E1230" t="s">
        <v>1222</v>
      </c>
    </row>
    <row r="1231" spans="1:5">
      <c r="A1231">
        <f>HYPERLINK("http://www.twitter.com/nyc311/status/783353631152144384", "783353631152144384")</f>
        <v>0</v>
      </c>
      <c r="B1231" s="2">
        <v>42647.7156712963</v>
      </c>
      <c r="C1231">
        <v>1</v>
      </c>
      <c r="D1231">
        <v>1</v>
      </c>
      <c r="E1231" t="s">
        <v>1223</v>
      </c>
    </row>
    <row r="1232" spans="1:5">
      <c r="A1232">
        <f>HYPERLINK("http://www.twitter.com/nyc311/status/783335878223618050", "783335878223618050")</f>
        <v>0</v>
      </c>
      <c r="B1232" s="2">
        <v>42647.6666782407</v>
      </c>
      <c r="C1232">
        <v>6</v>
      </c>
      <c r="D1232">
        <v>8</v>
      </c>
      <c r="E1232" t="s">
        <v>1224</v>
      </c>
    </row>
    <row r="1233" spans="1:5">
      <c r="A1233">
        <f>HYPERLINK("http://www.twitter.com/nyc311/status/783334794188947456", "783334794188947456")</f>
        <v>0</v>
      </c>
      <c r="B1233" s="2">
        <v>42647.6636921296</v>
      </c>
      <c r="C1233">
        <v>0</v>
      </c>
      <c r="D1233">
        <v>0</v>
      </c>
      <c r="E1233" t="s">
        <v>1225</v>
      </c>
    </row>
    <row r="1234" spans="1:5">
      <c r="A1234">
        <f>HYPERLINK("http://www.twitter.com/nyc311/status/783324472132702209", "783324472132702209")</f>
        <v>0</v>
      </c>
      <c r="B1234" s="2">
        <v>42647.6352083333</v>
      </c>
      <c r="C1234">
        <v>0</v>
      </c>
      <c r="D1234">
        <v>0</v>
      </c>
      <c r="E1234" t="s">
        <v>1226</v>
      </c>
    </row>
    <row r="1235" spans="1:5">
      <c r="A1235">
        <f>HYPERLINK("http://www.twitter.com/nyc311/status/783322287915278341", "783322287915278341")</f>
        <v>0</v>
      </c>
      <c r="B1235" s="2">
        <v>42647.6291782407</v>
      </c>
      <c r="C1235">
        <v>0</v>
      </c>
      <c r="D1235">
        <v>0</v>
      </c>
      <c r="E1235" t="s">
        <v>1227</v>
      </c>
    </row>
    <row r="1236" spans="1:5">
      <c r="A1236">
        <f>HYPERLINK("http://www.twitter.com/nyc311/status/783321436056350721", "783321436056350721")</f>
        <v>0</v>
      </c>
      <c r="B1236" s="2">
        <v>42647.6268287037</v>
      </c>
      <c r="C1236">
        <v>1</v>
      </c>
      <c r="D1236">
        <v>0</v>
      </c>
      <c r="E1236" t="s">
        <v>1228</v>
      </c>
    </row>
    <row r="1237" spans="1:5">
      <c r="A1237">
        <f>HYPERLINK("http://www.twitter.com/nyc311/status/783320565595697153", "783320565595697153")</f>
        <v>0</v>
      </c>
      <c r="B1237" s="2">
        <v>42647.6244212963</v>
      </c>
      <c r="C1237">
        <v>0</v>
      </c>
      <c r="D1237">
        <v>0</v>
      </c>
      <c r="E1237" t="s">
        <v>1229</v>
      </c>
    </row>
    <row r="1238" spans="1:5">
      <c r="A1238">
        <f>HYPERLINK("http://www.twitter.com/nyc311/status/783320320451158016", "783320320451158016")</f>
        <v>0</v>
      </c>
      <c r="B1238" s="2">
        <v>42647.62375</v>
      </c>
      <c r="C1238">
        <v>0</v>
      </c>
      <c r="D1238">
        <v>0</v>
      </c>
      <c r="E1238" t="s">
        <v>1230</v>
      </c>
    </row>
    <row r="1239" spans="1:5">
      <c r="A1239">
        <f>HYPERLINK("http://www.twitter.com/nyc311/status/783313075294339073", "783313075294339073")</f>
        <v>0</v>
      </c>
      <c r="B1239" s="2">
        <v>42647.6037615741</v>
      </c>
      <c r="C1239">
        <v>1</v>
      </c>
      <c r="D1239">
        <v>0</v>
      </c>
      <c r="E1239" t="s">
        <v>1231</v>
      </c>
    </row>
    <row r="1240" spans="1:5">
      <c r="A1240">
        <f>HYPERLINK("http://www.twitter.com/nyc311/status/783309924562591745", "783309924562591745")</f>
        <v>0</v>
      </c>
      <c r="B1240" s="2">
        <v>42647.5950578704</v>
      </c>
      <c r="C1240">
        <v>0</v>
      </c>
      <c r="D1240">
        <v>0</v>
      </c>
      <c r="E1240" t="s">
        <v>1232</v>
      </c>
    </row>
    <row r="1241" spans="1:5">
      <c r="A1241">
        <f>HYPERLINK("http://www.twitter.com/nyc311/status/783308361613836289", "783308361613836289")</f>
        <v>0</v>
      </c>
      <c r="B1241" s="2">
        <v>42647.5907523148</v>
      </c>
      <c r="C1241">
        <v>0</v>
      </c>
      <c r="D1241">
        <v>0</v>
      </c>
      <c r="E1241" t="s">
        <v>1233</v>
      </c>
    </row>
    <row r="1242" spans="1:5">
      <c r="A1242">
        <f>HYPERLINK("http://www.twitter.com/nyc311/status/783306661456973825", "783306661456973825")</f>
        <v>0</v>
      </c>
      <c r="B1242" s="2">
        <v>42647.5860532407</v>
      </c>
      <c r="C1242">
        <v>9</v>
      </c>
      <c r="D1242">
        <v>12</v>
      </c>
      <c r="E1242" t="s">
        <v>1234</v>
      </c>
    </row>
    <row r="1243" spans="1:5">
      <c r="A1243">
        <f>HYPERLINK("http://www.twitter.com/nyc311/status/783279427304251392", "783279427304251392")</f>
        <v>0</v>
      </c>
      <c r="B1243" s="2">
        <v>42647.5109027778</v>
      </c>
      <c r="C1243">
        <v>0</v>
      </c>
      <c r="D1243">
        <v>1</v>
      </c>
      <c r="E1243" t="s">
        <v>1235</v>
      </c>
    </row>
    <row r="1244" spans="1:5">
      <c r="A1244">
        <f>HYPERLINK("http://www.twitter.com/nyc311/status/783276256229986304", "783276256229986304")</f>
        <v>0</v>
      </c>
      <c r="B1244" s="2">
        <v>42647.5021527778</v>
      </c>
      <c r="C1244">
        <v>4</v>
      </c>
      <c r="D1244">
        <v>2</v>
      </c>
      <c r="E1244" t="s">
        <v>1236</v>
      </c>
    </row>
    <row r="1245" spans="1:5">
      <c r="A1245">
        <f>HYPERLINK("http://www.twitter.com/nyc311/status/783271839250407424", "783271839250407424")</f>
        <v>0</v>
      </c>
      <c r="B1245" s="2">
        <v>42647.4899652778</v>
      </c>
      <c r="C1245">
        <v>0</v>
      </c>
      <c r="D1245">
        <v>1</v>
      </c>
      <c r="E1245" t="s">
        <v>1237</v>
      </c>
    </row>
    <row r="1246" spans="1:5">
      <c r="A1246">
        <f>HYPERLINK("http://www.twitter.com/nyc311/status/783268288402980864", "783268288402980864")</f>
        <v>0</v>
      </c>
      <c r="B1246" s="2">
        <v>42647.4801736111</v>
      </c>
      <c r="C1246">
        <v>1</v>
      </c>
      <c r="D1246">
        <v>5</v>
      </c>
      <c r="E1246" t="s">
        <v>1238</v>
      </c>
    </row>
    <row r="1247" spans="1:5">
      <c r="A1247">
        <f>HYPERLINK("http://www.twitter.com/nyc311/status/783068914364350471", "783068914364350471")</f>
        <v>0</v>
      </c>
      <c r="B1247" s="2">
        <v>42646.93</v>
      </c>
      <c r="C1247">
        <v>0</v>
      </c>
      <c r="D1247">
        <v>0</v>
      </c>
      <c r="E1247" t="s">
        <v>1239</v>
      </c>
    </row>
    <row r="1248" spans="1:5">
      <c r="A1248">
        <f>HYPERLINK("http://www.twitter.com/nyc311/status/783051555276750848", "783051555276750848")</f>
        <v>0</v>
      </c>
      <c r="B1248" s="2">
        <v>42646.8820949074</v>
      </c>
      <c r="C1248">
        <v>1</v>
      </c>
      <c r="D1248">
        <v>0</v>
      </c>
      <c r="E1248" t="s">
        <v>1240</v>
      </c>
    </row>
    <row r="1249" spans="1:5">
      <c r="A1249">
        <f>HYPERLINK("http://www.twitter.com/nyc311/status/783050616025280512", "783050616025280512")</f>
        <v>0</v>
      </c>
      <c r="B1249" s="2">
        <v>42646.8795023148</v>
      </c>
      <c r="C1249">
        <v>1</v>
      </c>
      <c r="D1249">
        <v>0</v>
      </c>
      <c r="E1249" t="s">
        <v>1241</v>
      </c>
    </row>
    <row r="1250" spans="1:5">
      <c r="A1250">
        <f>HYPERLINK("http://www.twitter.com/nyc311/status/783050236004560896", "783050236004560896")</f>
        <v>0</v>
      </c>
      <c r="B1250" s="2">
        <v>42646.8784606481</v>
      </c>
      <c r="C1250">
        <v>0</v>
      </c>
      <c r="D1250">
        <v>0</v>
      </c>
      <c r="E1250" t="s">
        <v>1242</v>
      </c>
    </row>
    <row r="1251" spans="1:5">
      <c r="A1251">
        <f>HYPERLINK("http://www.twitter.com/nyc311/status/783038100985483268", "783038100985483268")</f>
        <v>0</v>
      </c>
      <c r="B1251" s="2">
        <v>42646.8449768519</v>
      </c>
      <c r="C1251">
        <v>0</v>
      </c>
      <c r="D1251">
        <v>0</v>
      </c>
      <c r="E1251" t="s">
        <v>1243</v>
      </c>
    </row>
    <row r="1252" spans="1:5">
      <c r="A1252">
        <f>HYPERLINK("http://www.twitter.com/nyc311/status/783037733321269248", "783037733321269248")</f>
        <v>0</v>
      </c>
      <c r="B1252" s="2">
        <v>42646.8439583333</v>
      </c>
      <c r="C1252">
        <v>0</v>
      </c>
      <c r="D1252">
        <v>0</v>
      </c>
      <c r="E1252" t="s">
        <v>1244</v>
      </c>
    </row>
    <row r="1253" spans="1:5">
      <c r="A1253">
        <f>HYPERLINK("http://www.twitter.com/nyc311/status/783036337771413504", "783036337771413504")</f>
        <v>0</v>
      </c>
      <c r="B1253" s="2">
        <v>42646.8401041667</v>
      </c>
      <c r="C1253">
        <v>0</v>
      </c>
      <c r="D1253">
        <v>0</v>
      </c>
      <c r="E1253" t="s">
        <v>1245</v>
      </c>
    </row>
    <row r="1254" spans="1:5">
      <c r="A1254">
        <f>HYPERLINK("http://www.twitter.com/nyc311/status/783034675757473792", "783034675757473792")</f>
        <v>0</v>
      </c>
      <c r="B1254" s="2">
        <v>42646.8355208333</v>
      </c>
      <c r="C1254">
        <v>1</v>
      </c>
      <c r="D1254">
        <v>0</v>
      </c>
      <c r="E1254" t="s">
        <v>1246</v>
      </c>
    </row>
    <row r="1255" spans="1:5">
      <c r="A1255">
        <f>HYPERLINK("http://www.twitter.com/nyc311/status/783019593900105728", "783019593900105728")</f>
        <v>0</v>
      </c>
      <c r="B1255" s="2">
        <v>42646.793900463</v>
      </c>
      <c r="C1255">
        <v>2</v>
      </c>
      <c r="D1255">
        <v>4</v>
      </c>
      <c r="E1255" t="s">
        <v>1247</v>
      </c>
    </row>
    <row r="1256" spans="1:5">
      <c r="A1256">
        <f>HYPERLINK("http://www.twitter.com/nyc311/status/783007651051560960", "783007651051560960")</f>
        <v>0</v>
      </c>
      <c r="B1256" s="2">
        <v>42646.7609490741</v>
      </c>
      <c r="C1256">
        <v>1</v>
      </c>
      <c r="D1256">
        <v>2</v>
      </c>
      <c r="E1256" t="s">
        <v>1248</v>
      </c>
    </row>
    <row r="1257" spans="1:5">
      <c r="A1257">
        <f>HYPERLINK("http://www.twitter.com/nyc311/status/783004423282954240", "783004423282954240")</f>
        <v>0</v>
      </c>
      <c r="B1257" s="2">
        <v>42646.752037037</v>
      </c>
      <c r="C1257">
        <v>2</v>
      </c>
      <c r="D1257">
        <v>2</v>
      </c>
      <c r="E1257" t="s">
        <v>1249</v>
      </c>
    </row>
    <row r="1258" spans="1:5">
      <c r="A1258">
        <f>HYPERLINK("http://www.twitter.com/nyc311/status/782985251803033600", "782985251803033600")</f>
        <v>0</v>
      </c>
      <c r="B1258" s="2">
        <v>42646.6991319444</v>
      </c>
      <c r="C1258">
        <v>1</v>
      </c>
      <c r="D1258">
        <v>0</v>
      </c>
      <c r="E1258" t="s">
        <v>1250</v>
      </c>
    </row>
    <row r="1259" spans="1:5">
      <c r="A1259">
        <f>HYPERLINK("http://www.twitter.com/nyc311/status/782984641221459972", "782984641221459972")</f>
        <v>0</v>
      </c>
      <c r="B1259" s="2">
        <v>42646.6974537037</v>
      </c>
      <c r="C1259">
        <v>0</v>
      </c>
      <c r="D1259">
        <v>0</v>
      </c>
      <c r="E1259" t="s">
        <v>1251</v>
      </c>
    </row>
    <row r="1260" spans="1:5">
      <c r="A1260">
        <f>HYPERLINK("http://www.twitter.com/nyc311/status/782983366782119938", "782983366782119938")</f>
        <v>0</v>
      </c>
      <c r="B1260" s="2">
        <v>42646.6939351852</v>
      </c>
      <c r="C1260">
        <v>0</v>
      </c>
      <c r="D1260">
        <v>0</v>
      </c>
      <c r="E1260" t="s">
        <v>1252</v>
      </c>
    </row>
    <row r="1261" spans="1:5">
      <c r="A1261">
        <f>HYPERLINK("http://www.twitter.com/nyc311/status/782983032517066754", "782983032517066754")</f>
        <v>0</v>
      </c>
      <c r="B1261" s="2">
        <v>42646.6930092593</v>
      </c>
      <c r="C1261">
        <v>1</v>
      </c>
      <c r="D1261">
        <v>1</v>
      </c>
      <c r="E1261" t="s">
        <v>1253</v>
      </c>
    </row>
    <row r="1262" spans="1:5">
      <c r="A1262">
        <f>HYPERLINK("http://www.twitter.com/nyc311/status/782981883810414596", "782981883810414596")</f>
        <v>0</v>
      </c>
      <c r="B1262" s="2">
        <v>42646.689837963</v>
      </c>
      <c r="C1262">
        <v>0</v>
      </c>
      <c r="D1262">
        <v>1</v>
      </c>
      <c r="E1262" t="s">
        <v>1254</v>
      </c>
    </row>
    <row r="1263" spans="1:5">
      <c r="A1263">
        <f>HYPERLINK("http://www.twitter.com/nyc311/status/782981263045033988", "782981263045033988")</f>
        <v>0</v>
      </c>
      <c r="B1263" s="2">
        <v>42646.688125</v>
      </c>
      <c r="C1263">
        <v>0</v>
      </c>
      <c r="D1263">
        <v>0</v>
      </c>
      <c r="E1263" t="s">
        <v>1255</v>
      </c>
    </row>
    <row r="1264" spans="1:5">
      <c r="A1264">
        <f>HYPERLINK("http://www.twitter.com/nyc311/status/782980676484227072", "782980676484227072")</f>
        <v>0</v>
      </c>
      <c r="B1264" s="2">
        <v>42646.6865162037</v>
      </c>
      <c r="C1264">
        <v>0</v>
      </c>
      <c r="D1264">
        <v>0</v>
      </c>
      <c r="E1264" t="s">
        <v>1256</v>
      </c>
    </row>
    <row r="1265" spans="1:5">
      <c r="A1265">
        <f>HYPERLINK("http://www.twitter.com/nyc311/status/782980102288179200", "782980102288179200")</f>
        <v>0</v>
      </c>
      <c r="B1265" s="2">
        <v>42646.6849305556</v>
      </c>
      <c r="C1265">
        <v>0</v>
      </c>
      <c r="D1265">
        <v>0</v>
      </c>
      <c r="E1265" t="s">
        <v>1257</v>
      </c>
    </row>
    <row r="1266" spans="1:5">
      <c r="A1266">
        <f>HYPERLINK("http://www.twitter.com/nyc311/status/782979459116888064", "782979459116888064")</f>
        <v>0</v>
      </c>
      <c r="B1266" s="2">
        <v>42646.6831481481</v>
      </c>
      <c r="C1266">
        <v>2</v>
      </c>
      <c r="D1266">
        <v>0</v>
      </c>
      <c r="E1266" t="s">
        <v>1258</v>
      </c>
    </row>
    <row r="1267" spans="1:5">
      <c r="A1267">
        <f>HYPERLINK("http://www.twitter.com/nyc311/status/782977304347676672", "782977304347676672")</f>
        <v>0</v>
      </c>
      <c r="B1267" s="2">
        <v>42646.6772106482</v>
      </c>
      <c r="C1267">
        <v>0</v>
      </c>
      <c r="D1267">
        <v>0</v>
      </c>
      <c r="E1267" t="s">
        <v>1259</v>
      </c>
    </row>
    <row r="1268" spans="1:5">
      <c r="A1268">
        <f>HYPERLINK("http://www.twitter.com/nyc311/status/782976170195288065", "782976170195288065")</f>
        <v>0</v>
      </c>
      <c r="B1268" s="2">
        <v>42646.6740740741</v>
      </c>
      <c r="C1268">
        <v>0</v>
      </c>
      <c r="D1268">
        <v>0</v>
      </c>
      <c r="E1268" t="s">
        <v>1260</v>
      </c>
    </row>
    <row r="1269" spans="1:5">
      <c r="A1269">
        <f>HYPERLINK("http://www.twitter.com/nyc311/status/782975290419060737", "782975290419060737")</f>
        <v>0</v>
      </c>
      <c r="B1269" s="2">
        <v>42646.6716435185</v>
      </c>
      <c r="C1269">
        <v>0</v>
      </c>
      <c r="D1269">
        <v>0</v>
      </c>
      <c r="E1269" t="s">
        <v>1261</v>
      </c>
    </row>
    <row r="1270" spans="1:5">
      <c r="A1270">
        <f>HYPERLINK("http://www.twitter.com/nyc311/status/782974471586054144", "782974471586054144")</f>
        <v>0</v>
      </c>
      <c r="B1270" s="2">
        <v>42646.6693865741</v>
      </c>
      <c r="C1270">
        <v>3</v>
      </c>
      <c r="D1270">
        <v>4</v>
      </c>
      <c r="E1270" t="s">
        <v>1262</v>
      </c>
    </row>
    <row r="1271" spans="1:5">
      <c r="A1271">
        <f>HYPERLINK("http://www.twitter.com/nyc311/status/782957680826671109", "782957680826671109")</f>
        <v>0</v>
      </c>
      <c r="B1271" s="2">
        <v>42646.6230555556</v>
      </c>
      <c r="C1271">
        <v>0</v>
      </c>
      <c r="D1271">
        <v>1</v>
      </c>
      <c r="E1271" t="s">
        <v>1263</v>
      </c>
    </row>
    <row r="1272" spans="1:5">
      <c r="A1272">
        <f>HYPERLINK("http://www.twitter.com/nyc311/status/782956954545188866", "782956954545188866")</f>
        <v>0</v>
      </c>
      <c r="B1272" s="2">
        <v>42646.6210532407</v>
      </c>
      <c r="C1272">
        <v>1</v>
      </c>
      <c r="D1272">
        <v>0</v>
      </c>
      <c r="E1272" t="s">
        <v>1264</v>
      </c>
    </row>
    <row r="1273" spans="1:5">
      <c r="A1273">
        <f>HYPERLINK("http://www.twitter.com/nyc311/status/782955348604907521", "782955348604907521")</f>
        <v>0</v>
      </c>
      <c r="B1273" s="2">
        <v>42646.6166203704</v>
      </c>
      <c r="C1273">
        <v>0</v>
      </c>
      <c r="D1273">
        <v>0</v>
      </c>
      <c r="E1273" t="s">
        <v>1265</v>
      </c>
    </row>
    <row r="1274" spans="1:5">
      <c r="A1274">
        <f>HYPERLINK("http://www.twitter.com/nyc311/status/782954584138518528", "782954584138518528")</f>
        <v>0</v>
      </c>
      <c r="B1274" s="2">
        <v>42646.6145138889</v>
      </c>
      <c r="C1274">
        <v>0</v>
      </c>
      <c r="D1274">
        <v>0</v>
      </c>
      <c r="E1274" t="s">
        <v>1266</v>
      </c>
    </row>
    <row r="1275" spans="1:5">
      <c r="A1275">
        <f>HYPERLINK("http://www.twitter.com/nyc311/status/782954427703554048", "782954427703554048")</f>
        <v>0</v>
      </c>
      <c r="B1275" s="2">
        <v>42646.6140740741</v>
      </c>
      <c r="C1275">
        <v>0</v>
      </c>
      <c r="D1275">
        <v>0</v>
      </c>
      <c r="E1275" t="s">
        <v>1267</v>
      </c>
    </row>
    <row r="1276" spans="1:5">
      <c r="A1276">
        <f>HYPERLINK("http://www.twitter.com/nyc311/status/782948797324333056", "782948797324333056")</f>
        <v>0</v>
      </c>
      <c r="B1276" s="2">
        <v>42646.5985416667</v>
      </c>
      <c r="C1276">
        <v>0</v>
      </c>
      <c r="D1276">
        <v>0</v>
      </c>
      <c r="E1276" t="s">
        <v>1268</v>
      </c>
    </row>
    <row r="1277" spans="1:5">
      <c r="A1277">
        <f>HYPERLINK("http://www.twitter.com/nyc311/status/782948630537900032", "782948630537900032")</f>
        <v>0</v>
      </c>
      <c r="B1277" s="2">
        <v>42646.5980787037</v>
      </c>
      <c r="C1277">
        <v>0</v>
      </c>
      <c r="D1277">
        <v>0</v>
      </c>
      <c r="E1277" t="s">
        <v>1269</v>
      </c>
    </row>
    <row r="1278" spans="1:5">
      <c r="A1278">
        <f>HYPERLINK("http://www.twitter.com/nyc311/status/782943944527253504", "782943944527253504")</f>
        <v>0</v>
      </c>
      <c r="B1278" s="2">
        <v>42646.585150463</v>
      </c>
      <c r="C1278">
        <v>4</v>
      </c>
      <c r="D1278">
        <v>5</v>
      </c>
      <c r="E1278" t="s">
        <v>1270</v>
      </c>
    </row>
    <row r="1279" spans="1:5">
      <c r="A1279">
        <f>HYPERLINK("http://www.twitter.com/nyc311/status/782934686247051264", "782934686247051264")</f>
        <v>0</v>
      </c>
      <c r="B1279" s="2">
        <v>42646.5596064815</v>
      </c>
      <c r="C1279">
        <v>2</v>
      </c>
      <c r="D1279">
        <v>0</v>
      </c>
      <c r="E1279" t="s">
        <v>1271</v>
      </c>
    </row>
    <row r="1280" spans="1:5">
      <c r="A1280">
        <f>HYPERLINK("http://www.twitter.com/nyc311/status/782934232377286656", "782934232377286656")</f>
        <v>0</v>
      </c>
      <c r="B1280" s="2">
        <v>42646.5583449074</v>
      </c>
      <c r="C1280">
        <v>2</v>
      </c>
      <c r="D1280">
        <v>1</v>
      </c>
      <c r="E1280" t="s">
        <v>1272</v>
      </c>
    </row>
    <row r="1281" spans="1:5">
      <c r="A1281">
        <f>HYPERLINK("http://www.twitter.com/nyc311/status/782933666045521924", "782933666045521924")</f>
        <v>0</v>
      </c>
      <c r="B1281" s="2">
        <v>42646.5567824074</v>
      </c>
      <c r="C1281">
        <v>0</v>
      </c>
      <c r="D1281">
        <v>0</v>
      </c>
      <c r="E1281" t="s">
        <v>1273</v>
      </c>
    </row>
    <row r="1282" spans="1:5">
      <c r="A1282">
        <f>HYPERLINK("http://www.twitter.com/nyc311/status/782933157037367296", "782933157037367296")</f>
        <v>0</v>
      </c>
      <c r="B1282" s="2">
        <v>42646.5553819444</v>
      </c>
      <c r="C1282">
        <v>0</v>
      </c>
      <c r="D1282">
        <v>0</v>
      </c>
      <c r="E1282" t="s">
        <v>1274</v>
      </c>
    </row>
    <row r="1283" spans="1:5">
      <c r="A1283">
        <f>HYPERLINK("http://www.twitter.com/nyc311/status/782932886970392580", "782932886970392580")</f>
        <v>0</v>
      </c>
      <c r="B1283" s="2">
        <v>42646.5546412037</v>
      </c>
      <c r="C1283">
        <v>0</v>
      </c>
      <c r="D1283">
        <v>0</v>
      </c>
      <c r="E1283" t="s">
        <v>1275</v>
      </c>
    </row>
    <row r="1284" spans="1:5">
      <c r="A1284">
        <f>HYPERLINK("http://www.twitter.com/nyc311/status/782931947152674817", "782931947152674817")</f>
        <v>0</v>
      </c>
      <c r="B1284" s="2">
        <v>42646.5520486111</v>
      </c>
      <c r="C1284">
        <v>0</v>
      </c>
      <c r="D1284">
        <v>0</v>
      </c>
      <c r="E1284" t="s">
        <v>1276</v>
      </c>
    </row>
    <row r="1285" spans="1:5">
      <c r="A1285">
        <f>HYPERLINK("http://www.twitter.com/nyc311/status/782931490510430208", "782931490510430208")</f>
        <v>0</v>
      </c>
      <c r="B1285" s="2">
        <v>42646.550787037</v>
      </c>
      <c r="C1285">
        <v>1</v>
      </c>
      <c r="D1285">
        <v>0</v>
      </c>
      <c r="E1285" t="s">
        <v>1277</v>
      </c>
    </row>
    <row r="1286" spans="1:5">
      <c r="A1286">
        <f>HYPERLINK("http://www.twitter.com/nyc311/status/782931368527421440", "782931368527421440")</f>
        <v>0</v>
      </c>
      <c r="B1286" s="2">
        <v>42646.5504513889</v>
      </c>
      <c r="C1286">
        <v>0</v>
      </c>
      <c r="D1286">
        <v>0</v>
      </c>
      <c r="E1286" t="s">
        <v>1278</v>
      </c>
    </row>
    <row r="1287" spans="1:5">
      <c r="A1287">
        <f>HYPERLINK("http://www.twitter.com/nyc311/status/782929276798722049", "782929276798722049")</f>
        <v>0</v>
      </c>
      <c r="B1287" s="2">
        <v>42646.5446759259</v>
      </c>
      <c r="C1287">
        <v>0</v>
      </c>
      <c r="D1287">
        <v>0</v>
      </c>
      <c r="E1287" t="s">
        <v>1279</v>
      </c>
    </row>
    <row r="1288" spans="1:5">
      <c r="A1288">
        <f>HYPERLINK("http://www.twitter.com/nyc311/status/782929099966844929", "782929099966844929")</f>
        <v>0</v>
      </c>
      <c r="B1288" s="2">
        <v>42646.5441898148</v>
      </c>
      <c r="C1288">
        <v>0</v>
      </c>
      <c r="D1288">
        <v>0</v>
      </c>
      <c r="E1288" t="s">
        <v>1280</v>
      </c>
    </row>
    <row r="1289" spans="1:5">
      <c r="A1289">
        <f>HYPERLINK("http://www.twitter.com/nyc311/status/782927370323886081", "782927370323886081")</f>
        <v>0</v>
      </c>
      <c r="B1289" s="2">
        <v>42646.5394097222</v>
      </c>
      <c r="C1289">
        <v>0</v>
      </c>
      <c r="D1289">
        <v>0</v>
      </c>
      <c r="E1289" t="s">
        <v>1281</v>
      </c>
    </row>
    <row r="1290" spans="1:5">
      <c r="A1290">
        <f>HYPERLINK("http://www.twitter.com/nyc311/status/782917036930244610", "782917036930244610")</f>
        <v>0</v>
      </c>
      <c r="B1290" s="2">
        <v>42646.5109027778</v>
      </c>
      <c r="C1290">
        <v>0</v>
      </c>
      <c r="D1290">
        <v>1</v>
      </c>
      <c r="E1290" t="s">
        <v>1282</v>
      </c>
    </row>
    <row r="1291" spans="1:5">
      <c r="A1291">
        <f>HYPERLINK("http://www.twitter.com/nyc311/status/782913811133112320", "782913811133112320")</f>
        <v>0</v>
      </c>
      <c r="B1291" s="2">
        <v>42646.5020023148</v>
      </c>
      <c r="C1291">
        <v>1</v>
      </c>
      <c r="D1291">
        <v>5</v>
      </c>
      <c r="E1291" t="s">
        <v>1283</v>
      </c>
    </row>
    <row r="1292" spans="1:5">
      <c r="A1292">
        <f>HYPERLINK("http://www.twitter.com/nyc311/status/782909465595088896", "782909465595088896")</f>
        <v>0</v>
      </c>
      <c r="B1292" s="2">
        <v>42646.4900115741</v>
      </c>
      <c r="C1292">
        <v>0</v>
      </c>
      <c r="D1292">
        <v>0</v>
      </c>
      <c r="E1292" t="s">
        <v>1284</v>
      </c>
    </row>
    <row r="1293" spans="1:5">
      <c r="A1293">
        <f>HYPERLINK("http://www.twitter.com/nyc311/status/782905886188666880", "782905886188666880")</f>
        <v>0</v>
      </c>
      <c r="B1293" s="2">
        <v>42646.4801273148</v>
      </c>
      <c r="C1293">
        <v>0</v>
      </c>
      <c r="D1293">
        <v>2</v>
      </c>
      <c r="E1293" t="s">
        <v>1285</v>
      </c>
    </row>
    <row r="1294" spans="1:5">
      <c r="A1294">
        <f>HYPERLINK("http://www.twitter.com/nyc311/status/782671890355785729", "782671890355785729")</f>
        <v>0</v>
      </c>
      <c r="B1294" s="2">
        <v>42645.8344212963</v>
      </c>
      <c r="C1294">
        <v>3</v>
      </c>
      <c r="D1294">
        <v>0</v>
      </c>
      <c r="E1294" t="s">
        <v>1286</v>
      </c>
    </row>
    <row r="1295" spans="1:5">
      <c r="A1295">
        <f>HYPERLINK("http://www.twitter.com/nyc311/status/782656847203471364", "782656847203471364")</f>
        <v>0</v>
      </c>
      <c r="B1295" s="2">
        <v>42645.7929166667</v>
      </c>
      <c r="C1295">
        <v>5</v>
      </c>
      <c r="D1295">
        <v>2</v>
      </c>
      <c r="E1295" t="s">
        <v>1287</v>
      </c>
    </row>
    <row r="1296" spans="1:5">
      <c r="A1296">
        <f>HYPERLINK("http://www.twitter.com/nyc311/status/782641777471844352", "782641777471844352")</f>
        <v>0</v>
      </c>
      <c r="B1296" s="2">
        <v>42645.7513310185</v>
      </c>
      <c r="C1296">
        <v>8</v>
      </c>
      <c r="D1296">
        <v>5</v>
      </c>
      <c r="E1296" t="s">
        <v>1288</v>
      </c>
    </row>
    <row r="1297" spans="1:5">
      <c r="A1297">
        <f>HYPERLINK("http://www.twitter.com/nyc311/status/782626775578935296", "782626775578935296")</f>
        <v>0</v>
      </c>
      <c r="B1297" s="2">
        <v>42645.7099305556</v>
      </c>
      <c r="C1297">
        <v>12</v>
      </c>
      <c r="D1297">
        <v>9</v>
      </c>
      <c r="E1297" t="s">
        <v>1289</v>
      </c>
    </row>
    <row r="1298" spans="1:5">
      <c r="A1298">
        <f>HYPERLINK("http://www.twitter.com/nyc311/status/782581363358793728", "782581363358793728")</f>
        <v>0</v>
      </c>
      <c r="B1298" s="2">
        <v>42645.5846180556</v>
      </c>
      <c r="C1298">
        <v>2</v>
      </c>
      <c r="D1298">
        <v>6</v>
      </c>
      <c r="E1298" t="s">
        <v>1290</v>
      </c>
    </row>
    <row r="1299" spans="1:5">
      <c r="A1299">
        <f>HYPERLINK("http://www.twitter.com/nyc311/status/782309544009629697", "782309544009629697")</f>
        <v>0</v>
      </c>
      <c r="B1299" s="2">
        <v>42644.834537037</v>
      </c>
      <c r="C1299">
        <v>1</v>
      </c>
      <c r="D1299">
        <v>1</v>
      </c>
      <c r="E1299" t="s">
        <v>1291</v>
      </c>
    </row>
    <row r="1300" spans="1:5">
      <c r="A1300">
        <f>HYPERLINK("http://www.twitter.com/nyc311/status/782279454429151232", "782279454429151232")</f>
        <v>0</v>
      </c>
      <c r="B1300" s="2">
        <v>42644.7515046296</v>
      </c>
      <c r="C1300">
        <v>8</v>
      </c>
      <c r="D1300">
        <v>11</v>
      </c>
      <c r="E1300" t="s">
        <v>1292</v>
      </c>
    </row>
    <row r="1301" spans="1:5">
      <c r="A1301">
        <f>HYPERLINK("http://www.twitter.com/nyc311/status/782264319773904896", "782264319773904896")</f>
        <v>0</v>
      </c>
      <c r="B1301" s="2">
        <v>42644.7097453704</v>
      </c>
      <c r="C1301">
        <v>4</v>
      </c>
      <c r="D1301">
        <v>1</v>
      </c>
      <c r="E1301" t="s">
        <v>1293</v>
      </c>
    </row>
    <row r="1302" spans="1:5">
      <c r="A1302">
        <f>HYPERLINK("http://www.twitter.com/nyc311/status/782249367881314304", "782249367881314304")</f>
        <v>0</v>
      </c>
      <c r="B1302" s="2">
        <v>42644.6684837963</v>
      </c>
      <c r="C1302">
        <v>1</v>
      </c>
      <c r="D1302">
        <v>6</v>
      </c>
      <c r="E1302" t="s">
        <v>1294</v>
      </c>
    </row>
    <row r="1303" spans="1:5">
      <c r="A1303">
        <f>HYPERLINK("http://www.twitter.com/nyc311/status/782234268751785984", "782234268751785984")</f>
        <v>0</v>
      </c>
      <c r="B1303" s="2">
        <v>42644.6268171296</v>
      </c>
      <c r="C1303">
        <v>4</v>
      </c>
      <c r="D1303">
        <v>6</v>
      </c>
      <c r="E1303" t="s">
        <v>1295</v>
      </c>
    </row>
    <row r="1304" spans="1:5">
      <c r="A1304">
        <f>HYPERLINK("http://www.twitter.com/nyc311/status/782219099216736256", "782219099216736256")</f>
        <v>0</v>
      </c>
      <c r="B1304" s="2">
        <v>42644.5849537037</v>
      </c>
      <c r="C1304">
        <v>15</v>
      </c>
      <c r="D1304">
        <v>24</v>
      </c>
      <c r="E1304" t="s">
        <v>1296</v>
      </c>
    </row>
    <row r="1305" spans="1:5">
      <c r="A1305">
        <f>HYPERLINK("http://www.twitter.com/nyc311/status/781947392740458496", "781947392740458496")</f>
        <v>0</v>
      </c>
      <c r="B1305" s="2">
        <v>42643.8351851852</v>
      </c>
      <c r="C1305">
        <v>2</v>
      </c>
      <c r="D1305">
        <v>0</v>
      </c>
      <c r="E1305" t="s">
        <v>1297</v>
      </c>
    </row>
    <row r="1306" spans="1:5">
      <c r="A1306">
        <f>HYPERLINK("http://www.twitter.com/nyc311/status/781945595535691776", "781945595535691776")</f>
        <v>0</v>
      </c>
      <c r="B1306" s="2">
        <v>42643.8302314815</v>
      </c>
      <c r="C1306">
        <v>0</v>
      </c>
      <c r="D1306">
        <v>0</v>
      </c>
      <c r="E1306" t="s">
        <v>1298</v>
      </c>
    </row>
    <row r="1307" spans="1:5">
      <c r="A1307">
        <f>HYPERLINK("http://www.twitter.com/nyc311/status/781934274111045633", "781934274111045633")</f>
        <v>0</v>
      </c>
      <c r="B1307" s="2">
        <v>42643.7989930556</v>
      </c>
      <c r="C1307">
        <v>1</v>
      </c>
      <c r="D1307">
        <v>0</v>
      </c>
      <c r="E1307" t="s">
        <v>1299</v>
      </c>
    </row>
    <row r="1308" spans="1:5">
      <c r="A1308">
        <f>HYPERLINK("http://www.twitter.com/nyc311/status/781933728885014528", "781933728885014528")</f>
        <v>0</v>
      </c>
      <c r="B1308" s="2">
        <v>42643.7974884259</v>
      </c>
      <c r="C1308">
        <v>0</v>
      </c>
      <c r="D1308">
        <v>0</v>
      </c>
      <c r="E1308" t="s">
        <v>1300</v>
      </c>
    </row>
    <row r="1309" spans="1:5">
      <c r="A1309">
        <f>HYPERLINK("http://www.twitter.com/nyc311/status/781917395652935682", "781917395652935682")</f>
        <v>0</v>
      </c>
      <c r="B1309" s="2">
        <v>42643.7524189815</v>
      </c>
      <c r="C1309">
        <v>5</v>
      </c>
      <c r="D1309">
        <v>1</v>
      </c>
      <c r="E1309" t="s">
        <v>1301</v>
      </c>
    </row>
    <row r="1310" spans="1:5">
      <c r="A1310">
        <f>HYPERLINK("http://www.twitter.com/nyc311/status/781888199002120192", "781888199002120192")</f>
        <v>0</v>
      </c>
      <c r="B1310" s="2">
        <v>42643.6718518519</v>
      </c>
      <c r="C1310">
        <v>0</v>
      </c>
      <c r="D1310">
        <v>0</v>
      </c>
      <c r="E1310" t="s">
        <v>1302</v>
      </c>
    </row>
    <row r="1311" spans="1:5">
      <c r="A1311">
        <f>HYPERLINK("http://www.twitter.com/nyc311/status/781886573025558528", "781886573025558528")</f>
        <v>0</v>
      </c>
      <c r="B1311" s="2">
        <v>42643.6673611111</v>
      </c>
      <c r="C1311">
        <v>1</v>
      </c>
      <c r="D1311">
        <v>1</v>
      </c>
      <c r="E1311" t="s">
        <v>1303</v>
      </c>
    </row>
    <row r="1312" spans="1:5">
      <c r="A1312">
        <f>HYPERLINK("http://www.twitter.com/nyc311/status/781886141679202309", "781886141679202309")</f>
        <v>0</v>
      </c>
      <c r="B1312" s="2">
        <v>42643.6661689815</v>
      </c>
      <c r="C1312">
        <v>0</v>
      </c>
      <c r="D1312">
        <v>0</v>
      </c>
      <c r="E1312" t="s">
        <v>1304</v>
      </c>
    </row>
    <row r="1313" spans="1:5">
      <c r="A1313">
        <f>HYPERLINK("http://www.twitter.com/nyc311/status/781879480629338112", "781879480629338112")</f>
        <v>0</v>
      </c>
      <c r="B1313" s="2">
        <v>42643.6477893519</v>
      </c>
      <c r="C1313">
        <v>0</v>
      </c>
      <c r="D1313">
        <v>0</v>
      </c>
      <c r="E1313" t="s">
        <v>1305</v>
      </c>
    </row>
    <row r="1314" spans="1:5">
      <c r="A1314">
        <f>HYPERLINK("http://www.twitter.com/nyc311/status/781877106410160128", "781877106410160128")</f>
        <v>0</v>
      </c>
      <c r="B1314" s="2">
        <v>42643.6412384259</v>
      </c>
      <c r="C1314">
        <v>1</v>
      </c>
      <c r="D1314">
        <v>0</v>
      </c>
      <c r="E1314" t="s">
        <v>1306</v>
      </c>
    </row>
    <row r="1315" spans="1:5">
      <c r="A1315">
        <f>HYPERLINK("http://www.twitter.com/nyc311/status/781874765288075264", "781874765288075264")</f>
        <v>0</v>
      </c>
      <c r="B1315" s="2">
        <v>42643.6347800926</v>
      </c>
      <c r="C1315">
        <v>0</v>
      </c>
      <c r="D1315">
        <v>0</v>
      </c>
      <c r="E1315" t="s">
        <v>1307</v>
      </c>
    </row>
    <row r="1316" spans="1:5">
      <c r="A1316">
        <f>HYPERLINK("http://www.twitter.com/nyc311/status/781867463646539778", "781867463646539778")</f>
        <v>0</v>
      </c>
      <c r="B1316" s="2">
        <v>42643.6146296296</v>
      </c>
      <c r="C1316">
        <v>0</v>
      </c>
      <c r="D1316">
        <v>0</v>
      </c>
      <c r="E1316" t="s">
        <v>1308</v>
      </c>
    </row>
    <row r="1317" spans="1:5">
      <c r="A1317">
        <f>HYPERLINK("http://www.twitter.com/nyc311/status/781863340054290433", "781863340054290433")</f>
        <v>0</v>
      </c>
      <c r="B1317" s="2">
        <v>42643.6032523148</v>
      </c>
      <c r="C1317">
        <v>0</v>
      </c>
      <c r="D1317">
        <v>0</v>
      </c>
      <c r="E1317" t="s">
        <v>1309</v>
      </c>
    </row>
    <row r="1318" spans="1:5">
      <c r="A1318">
        <f>HYPERLINK("http://www.twitter.com/nyc311/status/781862016097157125", "781862016097157125")</f>
        <v>0</v>
      </c>
      <c r="B1318" s="2">
        <v>42643.5995949074</v>
      </c>
      <c r="C1318">
        <v>1</v>
      </c>
      <c r="D1318">
        <v>0</v>
      </c>
      <c r="E1318" t="s">
        <v>1310</v>
      </c>
    </row>
    <row r="1319" spans="1:5">
      <c r="A1319">
        <f>HYPERLINK("http://www.twitter.com/nyc311/status/781861682960302080", "781861682960302080")</f>
        <v>0</v>
      </c>
      <c r="B1319" s="2">
        <v>42643.5986805556</v>
      </c>
      <c r="C1319">
        <v>1</v>
      </c>
      <c r="D1319">
        <v>0</v>
      </c>
      <c r="E1319" t="s">
        <v>1311</v>
      </c>
    </row>
    <row r="1320" spans="1:5">
      <c r="A1320">
        <f>HYPERLINK("http://www.twitter.com/nyc311/status/781858431716167681", "781858431716167681")</f>
        <v>0</v>
      </c>
      <c r="B1320" s="2">
        <v>42643.5897106481</v>
      </c>
      <c r="C1320">
        <v>0</v>
      </c>
      <c r="D1320">
        <v>0</v>
      </c>
      <c r="E1320" t="s">
        <v>1312</v>
      </c>
    </row>
    <row r="1321" spans="1:5">
      <c r="A1321">
        <f>HYPERLINK("http://www.twitter.com/nyc311/status/781857581698613248", "781857581698613248")</f>
        <v>0</v>
      </c>
      <c r="B1321" s="2">
        <v>42643.5873611111</v>
      </c>
      <c r="C1321">
        <v>0</v>
      </c>
      <c r="D1321">
        <v>0</v>
      </c>
      <c r="E1321" t="s">
        <v>1313</v>
      </c>
    </row>
    <row r="1322" spans="1:5">
      <c r="A1322">
        <f>HYPERLINK("http://www.twitter.com/nyc311/status/781857128147476480", "781857128147476480")</f>
        <v>0</v>
      </c>
      <c r="B1322" s="2">
        <v>42643.5861111111</v>
      </c>
      <c r="C1322">
        <v>0</v>
      </c>
      <c r="D1322">
        <v>4</v>
      </c>
      <c r="E1322" t="s">
        <v>1314</v>
      </c>
    </row>
    <row r="1323" spans="1:5">
      <c r="A1323">
        <f>HYPERLINK("http://www.twitter.com/nyc311/status/781855151934103552", "781855151934103552")</f>
        <v>0</v>
      </c>
      <c r="B1323" s="2">
        <v>42643.5806597222</v>
      </c>
      <c r="C1323">
        <v>0</v>
      </c>
      <c r="D1323">
        <v>0</v>
      </c>
      <c r="E1323" t="s">
        <v>1315</v>
      </c>
    </row>
    <row r="1324" spans="1:5">
      <c r="A1324">
        <f>HYPERLINK("http://www.twitter.com/nyc311/status/781851526528692225", "781851526528692225")</f>
        <v>0</v>
      </c>
      <c r="B1324" s="2">
        <v>42643.5706481481</v>
      </c>
      <c r="C1324">
        <v>0</v>
      </c>
      <c r="D1324">
        <v>0</v>
      </c>
      <c r="E1324" t="s">
        <v>1316</v>
      </c>
    </row>
    <row r="1325" spans="1:5">
      <c r="A1325">
        <f>HYPERLINK("http://www.twitter.com/nyc311/status/781606070020104192", "781606070020104192")</f>
        <v>0</v>
      </c>
      <c r="B1325" s="2">
        <v>42642.8933217593</v>
      </c>
      <c r="C1325">
        <v>0</v>
      </c>
      <c r="D1325">
        <v>0</v>
      </c>
      <c r="E1325" t="s">
        <v>1317</v>
      </c>
    </row>
    <row r="1326" spans="1:5">
      <c r="A1326">
        <f>HYPERLINK("http://www.twitter.com/nyc311/status/781606005583085569", "781606005583085569")</f>
        <v>0</v>
      </c>
      <c r="B1326" s="2">
        <v>42642.8931365741</v>
      </c>
      <c r="C1326">
        <v>0</v>
      </c>
      <c r="D1326">
        <v>0</v>
      </c>
      <c r="E1326" t="s">
        <v>1318</v>
      </c>
    </row>
    <row r="1327" spans="1:5">
      <c r="A1327">
        <f>HYPERLINK("http://www.twitter.com/nyc311/status/781584998306574336", "781584998306574336")</f>
        <v>0</v>
      </c>
      <c r="B1327" s="2">
        <v>42642.8351736111</v>
      </c>
      <c r="C1327">
        <v>0</v>
      </c>
      <c r="D1327">
        <v>2</v>
      </c>
      <c r="E1327" t="s">
        <v>1319</v>
      </c>
    </row>
    <row r="1328" spans="1:5">
      <c r="A1328">
        <f>HYPERLINK("http://www.twitter.com/nyc311/status/781572139249983488", "781572139249983488")</f>
        <v>0</v>
      </c>
      <c r="B1328" s="2">
        <v>42642.7996875</v>
      </c>
      <c r="C1328">
        <v>0</v>
      </c>
      <c r="D1328">
        <v>0</v>
      </c>
      <c r="E1328" t="s">
        <v>1320</v>
      </c>
    </row>
    <row r="1329" spans="1:5">
      <c r="A1329">
        <f>HYPERLINK("http://www.twitter.com/nyc311/status/781571265295450112", "781571265295450112")</f>
        <v>0</v>
      </c>
      <c r="B1329" s="2">
        <v>42642.7972800926</v>
      </c>
      <c r="C1329">
        <v>1</v>
      </c>
      <c r="D1329">
        <v>0</v>
      </c>
      <c r="E1329" t="s">
        <v>1321</v>
      </c>
    </row>
    <row r="1330" spans="1:5">
      <c r="A1330">
        <f>HYPERLINK("http://www.twitter.com/nyc311/status/781570992221085696", "781570992221085696")</f>
        <v>0</v>
      </c>
      <c r="B1330" s="2">
        <v>42642.7965277778</v>
      </c>
      <c r="C1330">
        <v>2</v>
      </c>
      <c r="D1330">
        <v>0</v>
      </c>
      <c r="E1330" t="s">
        <v>1322</v>
      </c>
    </row>
    <row r="1331" spans="1:5">
      <c r="A1331">
        <f>HYPERLINK("http://www.twitter.com/nyc311/status/781554898651508736", "781554898651508736")</f>
        <v>0</v>
      </c>
      <c r="B1331" s="2">
        <v>42642.7521180556</v>
      </c>
      <c r="C1331">
        <v>1</v>
      </c>
      <c r="D1331">
        <v>1</v>
      </c>
      <c r="E1331" t="s">
        <v>1323</v>
      </c>
    </row>
    <row r="1332" spans="1:5">
      <c r="A1332">
        <f>HYPERLINK("http://www.twitter.com/nyc311/status/781542441589567488", "781542441589567488")</f>
        <v>0</v>
      </c>
      <c r="B1332" s="2">
        <v>42642.7177430556</v>
      </c>
      <c r="C1332">
        <v>0</v>
      </c>
      <c r="D1332">
        <v>0</v>
      </c>
      <c r="E1332" t="s">
        <v>1324</v>
      </c>
    </row>
    <row r="1333" spans="1:5">
      <c r="A1333">
        <f>HYPERLINK("http://www.twitter.com/nyc311/status/781541158891782144", "781541158891782144")</f>
        <v>0</v>
      </c>
      <c r="B1333" s="2">
        <v>42642.7142013889</v>
      </c>
      <c r="C1333">
        <v>1</v>
      </c>
      <c r="D1333">
        <v>0</v>
      </c>
      <c r="E1333" t="s">
        <v>1325</v>
      </c>
    </row>
    <row r="1334" spans="1:5">
      <c r="A1334">
        <f>HYPERLINK("http://www.twitter.com/nyc311/status/781539804932702212", "781539804932702212")</f>
        <v>0</v>
      </c>
      <c r="B1334" s="2">
        <v>42642.710462963</v>
      </c>
      <c r="C1334">
        <v>3</v>
      </c>
      <c r="D1334">
        <v>0</v>
      </c>
      <c r="E1334" t="s">
        <v>1326</v>
      </c>
    </row>
    <row r="1335" spans="1:5">
      <c r="A1335">
        <f>HYPERLINK("http://www.twitter.com/nyc311/status/781532853268021248", "781532853268021248")</f>
        <v>0</v>
      </c>
      <c r="B1335" s="2">
        <v>42642.6912847222</v>
      </c>
      <c r="C1335">
        <v>1</v>
      </c>
      <c r="D1335">
        <v>0</v>
      </c>
      <c r="E1335" t="s">
        <v>1327</v>
      </c>
    </row>
    <row r="1336" spans="1:5">
      <c r="A1336">
        <f>HYPERLINK("http://www.twitter.com/nyc311/status/781532747613540352", "781532747613540352")</f>
        <v>0</v>
      </c>
      <c r="B1336" s="2">
        <v>42642.6909837963</v>
      </c>
      <c r="C1336">
        <v>2</v>
      </c>
      <c r="D1336">
        <v>0</v>
      </c>
      <c r="E1336" t="s">
        <v>1328</v>
      </c>
    </row>
    <row r="1337" spans="1:5">
      <c r="A1337">
        <f>HYPERLINK("http://www.twitter.com/nyc311/status/781532478603395072", "781532478603395072")</f>
        <v>0</v>
      </c>
      <c r="B1337" s="2">
        <v>42642.6902430556</v>
      </c>
      <c r="C1337">
        <v>0</v>
      </c>
      <c r="D1337">
        <v>0</v>
      </c>
      <c r="E1337" t="s">
        <v>1329</v>
      </c>
    </row>
    <row r="1338" spans="1:5">
      <c r="A1338">
        <f>HYPERLINK("http://www.twitter.com/nyc311/status/781531986146029572", "781531986146029572")</f>
        <v>0</v>
      </c>
      <c r="B1338" s="2">
        <v>42642.6888888889</v>
      </c>
      <c r="C1338">
        <v>0</v>
      </c>
      <c r="D1338">
        <v>0</v>
      </c>
      <c r="E1338" t="s">
        <v>1330</v>
      </c>
    </row>
    <row r="1339" spans="1:5">
      <c r="A1339">
        <f>HYPERLINK("http://www.twitter.com/nyc311/status/781529299253944320", "781529299253944320")</f>
        <v>0</v>
      </c>
      <c r="B1339" s="2">
        <v>42642.6814699074</v>
      </c>
      <c r="C1339">
        <v>1</v>
      </c>
      <c r="D1339">
        <v>0</v>
      </c>
      <c r="E1339" t="s">
        <v>1331</v>
      </c>
    </row>
    <row r="1340" spans="1:5">
      <c r="A1340">
        <f>HYPERLINK("http://www.twitter.com/nyc311/status/781528100261822464", "781528100261822464")</f>
        <v>0</v>
      </c>
      <c r="B1340" s="2">
        <v>42642.6781597222</v>
      </c>
      <c r="C1340">
        <v>1</v>
      </c>
      <c r="D1340">
        <v>0</v>
      </c>
      <c r="E1340" t="s">
        <v>1332</v>
      </c>
    </row>
    <row r="1341" spans="1:5">
      <c r="A1341">
        <f>HYPERLINK("http://www.twitter.com/nyc311/status/781524867099295745", "781524867099295745")</f>
        <v>0</v>
      </c>
      <c r="B1341" s="2">
        <v>42642.6692476852</v>
      </c>
      <c r="C1341">
        <v>5</v>
      </c>
      <c r="D1341">
        <v>4</v>
      </c>
      <c r="E1341" t="s">
        <v>1333</v>
      </c>
    </row>
    <row r="1342" spans="1:5">
      <c r="A1342">
        <f>HYPERLINK("http://www.twitter.com/nyc311/status/781524028834058245", "781524028834058245")</f>
        <v>0</v>
      </c>
      <c r="B1342" s="2">
        <v>42642.6669328704</v>
      </c>
      <c r="C1342">
        <v>0</v>
      </c>
      <c r="D1342">
        <v>0</v>
      </c>
      <c r="E1342" t="s">
        <v>1334</v>
      </c>
    </row>
    <row r="1343" spans="1:5">
      <c r="A1343">
        <f>HYPERLINK("http://www.twitter.com/nyc311/status/781523025107750912", "781523025107750912")</f>
        <v>0</v>
      </c>
      <c r="B1343" s="2">
        <v>42642.6641550926</v>
      </c>
      <c r="C1343">
        <v>0</v>
      </c>
      <c r="D1343">
        <v>0</v>
      </c>
      <c r="E1343" t="s">
        <v>1335</v>
      </c>
    </row>
    <row r="1344" spans="1:5">
      <c r="A1344">
        <f>HYPERLINK("http://www.twitter.com/nyc311/status/781513631137685504", "781513631137685504")</f>
        <v>0</v>
      </c>
      <c r="B1344" s="2">
        <v>42642.6382407407</v>
      </c>
      <c r="C1344">
        <v>1</v>
      </c>
      <c r="D1344">
        <v>0</v>
      </c>
      <c r="E1344" t="s">
        <v>1336</v>
      </c>
    </row>
    <row r="1345" spans="1:5">
      <c r="A1345">
        <f>HYPERLINK("http://www.twitter.com/nyc311/status/781513176827305984", "781513176827305984")</f>
        <v>0</v>
      </c>
      <c r="B1345" s="2">
        <v>42642.6369791667</v>
      </c>
      <c r="C1345">
        <v>1</v>
      </c>
      <c r="D1345">
        <v>0</v>
      </c>
      <c r="E1345" t="s">
        <v>1337</v>
      </c>
    </row>
    <row r="1346" spans="1:5">
      <c r="A1346">
        <f>HYPERLINK("http://www.twitter.com/nyc311/status/781508178039152641", "781508178039152641")</f>
        <v>0</v>
      </c>
      <c r="B1346" s="2">
        <v>42642.6231944444</v>
      </c>
      <c r="C1346">
        <v>0</v>
      </c>
      <c r="D1346">
        <v>0</v>
      </c>
      <c r="E1346" t="s">
        <v>1338</v>
      </c>
    </row>
    <row r="1347" spans="1:5">
      <c r="A1347">
        <f>HYPERLINK("http://www.twitter.com/nyc311/status/781508100092268544", "781508100092268544")</f>
        <v>0</v>
      </c>
      <c r="B1347" s="2">
        <v>42642.622974537</v>
      </c>
      <c r="C1347">
        <v>0</v>
      </c>
      <c r="D1347">
        <v>0</v>
      </c>
      <c r="E1347" t="s">
        <v>1339</v>
      </c>
    </row>
    <row r="1348" spans="1:5">
      <c r="A1348">
        <f>HYPERLINK("http://www.twitter.com/nyc311/status/781505279221465088", "781505279221465088")</f>
        <v>0</v>
      </c>
      <c r="B1348" s="2">
        <v>42642.6151851852</v>
      </c>
      <c r="C1348">
        <v>1</v>
      </c>
      <c r="D1348">
        <v>0</v>
      </c>
      <c r="E1348" t="s">
        <v>1340</v>
      </c>
    </row>
    <row r="1349" spans="1:5">
      <c r="A1349">
        <f>HYPERLINK("http://www.twitter.com/nyc311/status/781495819522506752", "781495819522506752")</f>
        <v>0</v>
      </c>
      <c r="B1349" s="2">
        <v>42642.5890856481</v>
      </c>
      <c r="C1349">
        <v>0</v>
      </c>
      <c r="D1349">
        <v>0</v>
      </c>
      <c r="E1349" t="s">
        <v>1341</v>
      </c>
    </row>
    <row r="1350" spans="1:5">
      <c r="A1350">
        <f>HYPERLINK("http://www.twitter.com/nyc311/status/781494613903368192", "781494613903368192")</f>
        <v>0</v>
      </c>
      <c r="B1350" s="2">
        <v>42642.5857638889</v>
      </c>
      <c r="C1350">
        <v>2</v>
      </c>
      <c r="D1350">
        <v>4</v>
      </c>
      <c r="E1350" t="s">
        <v>1342</v>
      </c>
    </row>
    <row r="1351" spans="1:5">
      <c r="A1351">
        <f>HYPERLINK("http://www.twitter.com/nyc311/status/781493609187176448", "781493609187176448")</f>
        <v>0</v>
      </c>
      <c r="B1351" s="2">
        <v>42642.5829861111</v>
      </c>
      <c r="C1351">
        <v>1</v>
      </c>
      <c r="D1351">
        <v>0</v>
      </c>
      <c r="E1351" t="s">
        <v>1343</v>
      </c>
    </row>
    <row r="1352" spans="1:5">
      <c r="A1352">
        <f>HYPERLINK("http://www.twitter.com/nyc311/status/781222699192446976", "781222699192446976")</f>
        <v>0</v>
      </c>
      <c r="B1352" s="2">
        <v>42641.8354166667</v>
      </c>
      <c r="C1352">
        <v>5</v>
      </c>
      <c r="D1352">
        <v>2</v>
      </c>
      <c r="E1352" t="s">
        <v>1344</v>
      </c>
    </row>
    <row r="1353" spans="1:5">
      <c r="A1353">
        <f>HYPERLINK("http://www.twitter.com/nyc311/status/781210656615923712", "781210656615923712")</f>
        <v>0</v>
      </c>
      <c r="B1353" s="2">
        <v>42641.8021875</v>
      </c>
      <c r="C1353">
        <v>1</v>
      </c>
      <c r="D1353">
        <v>0</v>
      </c>
      <c r="E1353" t="s">
        <v>1345</v>
      </c>
    </row>
    <row r="1354" spans="1:5">
      <c r="A1354">
        <f>HYPERLINK("http://www.twitter.com/nyc311/status/781192572119187457", "781192572119187457")</f>
        <v>0</v>
      </c>
      <c r="B1354" s="2">
        <v>42641.7522800926</v>
      </c>
      <c r="C1354">
        <v>1</v>
      </c>
      <c r="D1354">
        <v>2</v>
      </c>
      <c r="E1354" t="s">
        <v>1346</v>
      </c>
    </row>
    <row r="1355" spans="1:5">
      <c r="A1355">
        <f>HYPERLINK("http://www.twitter.com/nyc311/status/781191324116582400", "781191324116582400")</f>
        <v>0</v>
      </c>
      <c r="B1355" s="2">
        <v>42641.7488425926</v>
      </c>
      <c r="C1355">
        <v>0</v>
      </c>
      <c r="D1355">
        <v>0</v>
      </c>
      <c r="E1355" t="s">
        <v>1347</v>
      </c>
    </row>
    <row r="1356" spans="1:5">
      <c r="A1356">
        <f>HYPERLINK("http://www.twitter.com/nyc311/status/781178959081988096", "781178959081988096")</f>
        <v>0</v>
      </c>
      <c r="B1356" s="2">
        <v>42641.7147222222</v>
      </c>
      <c r="C1356">
        <v>1</v>
      </c>
      <c r="D1356">
        <v>0</v>
      </c>
      <c r="E1356" t="s">
        <v>1348</v>
      </c>
    </row>
    <row r="1357" spans="1:5">
      <c r="A1357">
        <f>HYPERLINK("http://www.twitter.com/nyc311/status/781162510674169856", "781162510674169856")</f>
        <v>0</v>
      </c>
      <c r="B1357" s="2">
        <v>42641.6693287037</v>
      </c>
      <c r="C1357">
        <v>2</v>
      </c>
      <c r="D1357">
        <v>4</v>
      </c>
      <c r="E1357" t="s">
        <v>1349</v>
      </c>
    </row>
    <row r="1358" spans="1:5">
      <c r="A1358">
        <f>HYPERLINK("http://www.twitter.com/nyc311/status/781158035335053312", "781158035335053312")</f>
        <v>0</v>
      </c>
      <c r="B1358" s="2">
        <v>42641.6569791667</v>
      </c>
      <c r="C1358">
        <v>1</v>
      </c>
      <c r="D1358">
        <v>0</v>
      </c>
      <c r="E1358" t="s">
        <v>1350</v>
      </c>
    </row>
    <row r="1359" spans="1:5">
      <c r="A1359">
        <f>HYPERLINK("http://www.twitter.com/nyc311/status/781142883042750464", "781142883042750464")</f>
        <v>0</v>
      </c>
      <c r="B1359" s="2">
        <v>42641.615162037</v>
      </c>
      <c r="C1359">
        <v>1</v>
      </c>
      <c r="D1359">
        <v>0</v>
      </c>
      <c r="E1359" t="s">
        <v>1351</v>
      </c>
    </row>
    <row r="1360" spans="1:5">
      <c r="A1360">
        <f>HYPERLINK("http://www.twitter.com/nyc311/status/781140767561711617", "781140767561711617")</f>
        <v>0</v>
      </c>
      <c r="B1360" s="2">
        <v>42641.6093287037</v>
      </c>
      <c r="C1360">
        <v>2</v>
      </c>
      <c r="D1360">
        <v>0</v>
      </c>
      <c r="E1360" t="s">
        <v>1352</v>
      </c>
    </row>
    <row r="1361" spans="1:5">
      <c r="A1361">
        <f>HYPERLINK("http://www.twitter.com/nyc311/status/781140307433889793", "781140307433889793")</f>
        <v>0</v>
      </c>
      <c r="B1361" s="2">
        <v>42641.6080555556</v>
      </c>
      <c r="C1361">
        <v>0</v>
      </c>
      <c r="D1361">
        <v>0</v>
      </c>
      <c r="E1361" t="s">
        <v>1353</v>
      </c>
    </row>
    <row r="1362" spans="1:5">
      <c r="A1362">
        <f>HYPERLINK("http://www.twitter.com/nyc311/status/781139402491883520", "781139402491883520")</f>
        <v>0</v>
      </c>
      <c r="B1362" s="2">
        <v>42641.6055671296</v>
      </c>
      <c r="C1362">
        <v>1</v>
      </c>
      <c r="D1362">
        <v>0</v>
      </c>
      <c r="E1362" t="s">
        <v>1354</v>
      </c>
    </row>
    <row r="1363" spans="1:5">
      <c r="A1363">
        <f>HYPERLINK("http://www.twitter.com/nyc311/status/781139074274959360", "781139074274959360")</f>
        <v>0</v>
      </c>
      <c r="B1363" s="2">
        <v>42641.6046527778</v>
      </c>
      <c r="C1363">
        <v>1</v>
      </c>
      <c r="D1363">
        <v>0</v>
      </c>
      <c r="E1363" t="s">
        <v>1355</v>
      </c>
    </row>
    <row r="1364" spans="1:5">
      <c r="A1364">
        <f>HYPERLINK("http://www.twitter.com/nyc311/status/781138238375333888", "781138238375333888")</f>
        <v>0</v>
      </c>
      <c r="B1364" s="2">
        <v>42641.602349537</v>
      </c>
      <c r="C1364">
        <v>1</v>
      </c>
      <c r="D1364">
        <v>0</v>
      </c>
      <c r="E1364" t="s">
        <v>1356</v>
      </c>
    </row>
    <row r="1365" spans="1:5">
      <c r="A1365">
        <f>HYPERLINK("http://www.twitter.com/nyc311/status/781135967616901120", "781135967616901120")</f>
        <v>0</v>
      </c>
      <c r="B1365" s="2">
        <v>42641.596087963</v>
      </c>
      <c r="C1365">
        <v>1</v>
      </c>
      <c r="D1365">
        <v>0</v>
      </c>
      <c r="E1365" t="s">
        <v>1357</v>
      </c>
    </row>
    <row r="1366" spans="1:5">
      <c r="A1366">
        <f>HYPERLINK("http://www.twitter.com/nyc311/status/781134569005350912", "781134569005350912")</f>
        <v>0</v>
      </c>
      <c r="B1366" s="2">
        <v>42641.5922222222</v>
      </c>
      <c r="C1366">
        <v>1</v>
      </c>
      <c r="D1366">
        <v>0</v>
      </c>
      <c r="E1366" t="s">
        <v>1358</v>
      </c>
    </row>
    <row r="1367" spans="1:5">
      <c r="A1367">
        <f>HYPERLINK("http://www.twitter.com/nyc311/status/781134233565851649", "781134233565851649")</f>
        <v>0</v>
      </c>
      <c r="B1367" s="2">
        <v>42641.5912962963</v>
      </c>
      <c r="C1367">
        <v>0</v>
      </c>
      <c r="D1367">
        <v>0</v>
      </c>
      <c r="E1367" t="s">
        <v>1359</v>
      </c>
    </row>
    <row r="1368" spans="1:5">
      <c r="A1368">
        <f>HYPERLINK("http://www.twitter.com/nyc311/status/781132205099741184", "781132205099741184")</f>
        <v>0</v>
      </c>
      <c r="B1368" s="2">
        <v>42641.5857060185</v>
      </c>
      <c r="C1368">
        <v>3</v>
      </c>
      <c r="D1368">
        <v>1</v>
      </c>
      <c r="E1368" t="s">
        <v>1360</v>
      </c>
    </row>
    <row r="1369" spans="1:5">
      <c r="A1369">
        <f>HYPERLINK("http://www.twitter.com/nyc311/status/780875044507553796", "780875044507553796")</f>
        <v>0</v>
      </c>
      <c r="B1369" s="2">
        <v>42640.8760763889</v>
      </c>
      <c r="C1369">
        <v>2</v>
      </c>
      <c r="D1369">
        <v>1</v>
      </c>
      <c r="E1369" t="s">
        <v>1361</v>
      </c>
    </row>
    <row r="1370" spans="1:5">
      <c r="A1370">
        <f>HYPERLINK("http://www.twitter.com/nyc311/status/780870844826476544", "780870844826476544")</f>
        <v>0</v>
      </c>
      <c r="B1370" s="2">
        <v>42640.8644791667</v>
      </c>
      <c r="C1370">
        <v>1</v>
      </c>
      <c r="D1370">
        <v>0</v>
      </c>
      <c r="E1370" t="s">
        <v>1362</v>
      </c>
    </row>
    <row r="1371" spans="1:5">
      <c r="A1371">
        <f>HYPERLINK("http://www.twitter.com/nyc311/status/780870055433236481", "780870055433236481")</f>
        <v>0</v>
      </c>
      <c r="B1371" s="2">
        <v>42640.8623032407</v>
      </c>
      <c r="C1371">
        <v>0</v>
      </c>
      <c r="D1371">
        <v>0</v>
      </c>
      <c r="E1371" t="s">
        <v>1363</v>
      </c>
    </row>
    <row r="1372" spans="1:5">
      <c r="A1372">
        <f>HYPERLINK("http://www.twitter.com/nyc311/status/780865595067817984", "780865595067817984")</f>
        <v>0</v>
      </c>
      <c r="B1372" s="2">
        <v>42640.85</v>
      </c>
      <c r="C1372">
        <v>0</v>
      </c>
      <c r="D1372">
        <v>0</v>
      </c>
      <c r="E1372" t="s">
        <v>1364</v>
      </c>
    </row>
    <row r="1373" spans="1:5">
      <c r="A1373">
        <f>HYPERLINK("http://www.twitter.com/nyc311/status/780864858984177664", "780864858984177664")</f>
        <v>0</v>
      </c>
      <c r="B1373" s="2">
        <v>42640.847962963</v>
      </c>
      <c r="C1373">
        <v>0</v>
      </c>
      <c r="D1373">
        <v>0</v>
      </c>
      <c r="E1373" t="s">
        <v>1365</v>
      </c>
    </row>
    <row r="1374" spans="1:5">
      <c r="A1374">
        <f>HYPERLINK("http://www.twitter.com/nyc311/status/780860167965507584", "780860167965507584")</f>
        <v>0</v>
      </c>
      <c r="B1374" s="2">
        <v>42640.8350231481</v>
      </c>
      <c r="C1374">
        <v>0</v>
      </c>
      <c r="D1374">
        <v>0</v>
      </c>
      <c r="E1374" t="s">
        <v>1366</v>
      </c>
    </row>
    <row r="1375" spans="1:5">
      <c r="A1375">
        <f>HYPERLINK("http://www.twitter.com/nyc311/status/780859864872517639", "780859864872517639")</f>
        <v>0</v>
      </c>
      <c r="B1375" s="2">
        <v>42640.8341898148</v>
      </c>
      <c r="C1375">
        <v>0</v>
      </c>
      <c r="D1375">
        <v>0</v>
      </c>
      <c r="E1375" t="s">
        <v>1367</v>
      </c>
    </row>
    <row r="1376" spans="1:5">
      <c r="A1376">
        <f>HYPERLINK("http://www.twitter.com/nyc311/status/780859769707954177", "780859769707954177")</f>
        <v>0</v>
      </c>
      <c r="B1376" s="2">
        <v>42640.8339236111</v>
      </c>
      <c r="C1376">
        <v>0</v>
      </c>
      <c r="D1376">
        <v>0</v>
      </c>
      <c r="E1376" t="s">
        <v>1368</v>
      </c>
    </row>
    <row r="1377" spans="1:5">
      <c r="A1377">
        <f>HYPERLINK("http://www.twitter.com/nyc311/status/780859626560552960", "780859626560552960")</f>
        <v>0</v>
      </c>
      <c r="B1377" s="2">
        <v>42640.8335300926</v>
      </c>
      <c r="C1377">
        <v>0</v>
      </c>
      <c r="D1377">
        <v>0</v>
      </c>
      <c r="E1377" t="s">
        <v>1369</v>
      </c>
    </row>
    <row r="1378" spans="1:5">
      <c r="A1378">
        <f>HYPERLINK("http://www.twitter.com/nyc311/status/780852749416169476", "780852749416169476")</f>
        <v>0</v>
      </c>
      <c r="B1378" s="2">
        <v>42640.8145486111</v>
      </c>
      <c r="C1378">
        <v>0</v>
      </c>
      <c r="D1378">
        <v>0</v>
      </c>
      <c r="E1378" t="s">
        <v>1370</v>
      </c>
    </row>
    <row r="1379" spans="1:5">
      <c r="A1379">
        <f>HYPERLINK("http://www.twitter.com/nyc311/status/780830073926651905", "780830073926651905")</f>
        <v>0</v>
      </c>
      <c r="B1379" s="2">
        <v>42640.7519791667</v>
      </c>
      <c r="C1379">
        <v>1</v>
      </c>
      <c r="D1379">
        <v>2</v>
      </c>
      <c r="E1379" t="s">
        <v>1371</v>
      </c>
    </row>
    <row r="1380" spans="1:5">
      <c r="A1380">
        <f>HYPERLINK("http://www.twitter.com/nyc311/status/780821787689058304", "780821787689058304")</f>
        <v>0</v>
      </c>
      <c r="B1380" s="2">
        <v>42640.7291087963</v>
      </c>
      <c r="C1380">
        <v>0</v>
      </c>
      <c r="D1380">
        <v>0</v>
      </c>
      <c r="E1380" t="s">
        <v>1372</v>
      </c>
    </row>
    <row r="1381" spans="1:5">
      <c r="A1381">
        <f>HYPERLINK("http://www.twitter.com/nyc311/status/780814942672920576", "780814942672920576")</f>
        <v>0</v>
      </c>
      <c r="B1381" s="2">
        <v>42640.7102199074</v>
      </c>
      <c r="C1381">
        <v>16</v>
      </c>
      <c r="D1381">
        <v>31</v>
      </c>
      <c r="E1381" t="s">
        <v>1373</v>
      </c>
    </row>
    <row r="1382" spans="1:5">
      <c r="A1382">
        <f>HYPERLINK("http://www.twitter.com/nyc311/status/780800054844153856", "780800054844153856")</f>
        <v>0</v>
      </c>
      <c r="B1382" s="2">
        <v>42640.6691435185</v>
      </c>
      <c r="C1382">
        <v>4</v>
      </c>
      <c r="D1382">
        <v>0</v>
      </c>
      <c r="E1382" t="s">
        <v>1374</v>
      </c>
    </row>
    <row r="1383" spans="1:5">
      <c r="A1383">
        <f>HYPERLINK("http://www.twitter.com/nyc311/status/780784915730292736", "780784915730292736")</f>
        <v>0</v>
      </c>
      <c r="B1383" s="2">
        <v>42640.6273611111</v>
      </c>
      <c r="C1383">
        <v>2</v>
      </c>
      <c r="D1383">
        <v>1</v>
      </c>
      <c r="E1383" t="s">
        <v>1375</v>
      </c>
    </row>
    <row r="1384" spans="1:5">
      <c r="A1384">
        <f>HYPERLINK("http://www.twitter.com/nyc311/status/780784414104100864", "780784414104100864")</f>
        <v>0</v>
      </c>
      <c r="B1384" s="2">
        <v>42640.6259837963</v>
      </c>
      <c r="C1384">
        <v>0</v>
      </c>
      <c r="D1384">
        <v>22</v>
      </c>
      <c r="E1384" t="s">
        <v>1376</v>
      </c>
    </row>
    <row r="1385" spans="1:5">
      <c r="A1385">
        <f>HYPERLINK("http://www.twitter.com/nyc311/status/780776592138272768", "780776592138272768")</f>
        <v>0</v>
      </c>
      <c r="B1385" s="2">
        <v>42640.6043981481</v>
      </c>
      <c r="C1385">
        <v>1</v>
      </c>
      <c r="D1385">
        <v>0</v>
      </c>
      <c r="E1385" t="s">
        <v>1377</v>
      </c>
    </row>
    <row r="1386" spans="1:5">
      <c r="A1386">
        <f>HYPERLINK("http://www.twitter.com/nyc311/status/780769505576423425", "780769505576423425")</f>
        <v>0</v>
      </c>
      <c r="B1386" s="2">
        <v>42640.584837963</v>
      </c>
      <c r="C1386">
        <v>13</v>
      </c>
      <c r="D1386">
        <v>21</v>
      </c>
      <c r="E1386" t="s">
        <v>1378</v>
      </c>
    </row>
    <row r="1387" spans="1:5">
      <c r="A1387">
        <f>HYPERLINK("http://www.twitter.com/nyc311/status/780768435001262080", "780768435001262080")</f>
        <v>0</v>
      </c>
      <c r="B1387" s="2">
        <v>42640.5818865741</v>
      </c>
      <c r="C1387">
        <v>0</v>
      </c>
      <c r="D1387">
        <v>0</v>
      </c>
      <c r="E1387" t="s">
        <v>1379</v>
      </c>
    </row>
    <row r="1388" spans="1:5">
      <c r="A1388">
        <f>HYPERLINK("http://www.twitter.com/nyc311/status/780768339484344320", "780768339484344320")</f>
        <v>0</v>
      </c>
      <c r="B1388" s="2">
        <v>42640.5816203704</v>
      </c>
      <c r="C1388">
        <v>0</v>
      </c>
      <c r="D1388">
        <v>0</v>
      </c>
      <c r="E1388" t="s">
        <v>1380</v>
      </c>
    </row>
    <row r="1389" spans="1:5">
      <c r="A1389">
        <f>HYPERLINK("http://www.twitter.com/nyc311/status/780767872020865024", "780767872020865024")</f>
        <v>0</v>
      </c>
      <c r="B1389" s="2">
        <v>42640.5803356481</v>
      </c>
      <c r="C1389">
        <v>0</v>
      </c>
      <c r="D1389">
        <v>0</v>
      </c>
      <c r="E1389" t="s">
        <v>1381</v>
      </c>
    </row>
    <row r="1390" spans="1:5">
      <c r="A1390">
        <f>HYPERLINK("http://www.twitter.com/nyc311/status/780767464124719104", "780767464124719104")</f>
        <v>0</v>
      </c>
      <c r="B1390" s="2">
        <v>42640.579212963</v>
      </c>
      <c r="C1390">
        <v>0</v>
      </c>
      <c r="D1390">
        <v>0</v>
      </c>
      <c r="E1390" t="s">
        <v>1382</v>
      </c>
    </row>
    <row r="1391" spans="1:5">
      <c r="A1391">
        <f>HYPERLINK("http://www.twitter.com/nyc311/status/780766312360505346", "780766312360505346")</f>
        <v>0</v>
      </c>
      <c r="B1391" s="2">
        <v>42640.5760300926</v>
      </c>
      <c r="C1391">
        <v>0</v>
      </c>
      <c r="D1391">
        <v>0</v>
      </c>
      <c r="E1391" t="s">
        <v>1383</v>
      </c>
    </row>
    <row r="1392" spans="1:5">
      <c r="A1392">
        <f>HYPERLINK("http://www.twitter.com/nyc311/status/780765460413485057", "780765460413485057")</f>
        <v>0</v>
      </c>
      <c r="B1392" s="2">
        <v>42640.5736805556</v>
      </c>
      <c r="C1392">
        <v>0</v>
      </c>
      <c r="D1392">
        <v>0</v>
      </c>
      <c r="E1392" t="s">
        <v>1384</v>
      </c>
    </row>
    <row r="1393" spans="1:5">
      <c r="A1393">
        <f>HYPERLINK("http://www.twitter.com/nyc311/status/780764750988926976", "780764750988926976")</f>
        <v>0</v>
      </c>
      <c r="B1393" s="2">
        <v>42640.571724537</v>
      </c>
      <c r="C1393">
        <v>0</v>
      </c>
      <c r="D1393">
        <v>0</v>
      </c>
      <c r="E1393" t="s">
        <v>1385</v>
      </c>
    </row>
    <row r="1394" spans="1:5">
      <c r="A1394">
        <f>HYPERLINK("http://www.twitter.com/nyc311/status/780519783041204224", "780519783041204224")</f>
        <v>0</v>
      </c>
      <c r="B1394" s="2">
        <v>42639.8957407407</v>
      </c>
      <c r="C1394">
        <v>0</v>
      </c>
      <c r="D1394">
        <v>0</v>
      </c>
      <c r="E1394" t="s">
        <v>1386</v>
      </c>
    </row>
    <row r="1395" spans="1:5">
      <c r="A1395">
        <f>HYPERLINK("http://www.twitter.com/nyc311/status/780519532586762240", "780519532586762240")</f>
        <v>0</v>
      </c>
      <c r="B1395" s="2">
        <v>42639.8950462963</v>
      </c>
      <c r="C1395">
        <v>0</v>
      </c>
      <c r="D1395">
        <v>0</v>
      </c>
      <c r="E1395" t="s">
        <v>1387</v>
      </c>
    </row>
    <row r="1396" spans="1:5">
      <c r="A1396">
        <f>HYPERLINK("http://www.twitter.com/nyc311/status/780497815898247168", "780497815898247168")</f>
        <v>0</v>
      </c>
      <c r="B1396" s="2">
        <v>42639.8351157407</v>
      </c>
      <c r="C1396">
        <v>2</v>
      </c>
      <c r="D1396">
        <v>0</v>
      </c>
      <c r="E1396" t="s">
        <v>1388</v>
      </c>
    </row>
    <row r="1397" spans="1:5">
      <c r="A1397">
        <f>HYPERLINK("http://www.twitter.com/nyc311/status/780494255911469056", "780494255911469056")</f>
        <v>0</v>
      </c>
      <c r="B1397" s="2">
        <v>42639.8253009259</v>
      </c>
      <c r="C1397">
        <v>0</v>
      </c>
      <c r="D1397">
        <v>0</v>
      </c>
      <c r="E1397" t="s">
        <v>1389</v>
      </c>
    </row>
    <row r="1398" spans="1:5">
      <c r="A1398">
        <f>HYPERLINK("http://www.twitter.com/nyc311/status/780478849268256768", "780478849268256768")</f>
        <v>0</v>
      </c>
      <c r="B1398" s="2">
        <v>42639.7827777778</v>
      </c>
      <c r="C1398">
        <v>0</v>
      </c>
      <c r="D1398">
        <v>0</v>
      </c>
      <c r="E1398" t="s">
        <v>1390</v>
      </c>
    </row>
    <row r="1399" spans="1:5">
      <c r="A1399">
        <f>HYPERLINK("http://www.twitter.com/nyc311/status/780467711587586048", "780467711587586048")</f>
        <v>0</v>
      </c>
      <c r="B1399" s="2">
        <v>42639.7520486111</v>
      </c>
      <c r="C1399">
        <v>4</v>
      </c>
      <c r="D1399">
        <v>2</v>
      </c>
      <c r="E1399" t="s">
        <v>1391</v>
      </c>
    </row>
    <row r="1400" spans="1:5">
      <c r="A1400">
        <f>HYPERLINK("http://www.twitter.com/nyc311/status/780452490517118976", "780452490517118976")</f>
        <v>0</v>
      </c>
      <c r="B1400" s="2">
        <v>42639.7100462963</v>
      </c>
      <c r="C1400">
        <v>1</v>
      </c>
      <c r="D1400">
        <v>2</v>
      </c>
      <c r="E1400" t="s">
        <v>1392</v>
      </c>
    </row>
    <row r="1401" spans="1:5">
      <c r="A1401">
        <f>HYPERLINK("http://www.twitter.com/nyc311/status/780452064455516160", "780452064455516160")</f>
        <v>0</v>
      </c>
      <c r="B1401" s="2">
        <v>42639.7088657407</v>
      </c>
      <c r="C1401">
        <v>0</v>
      </c>
      <c r="D1401">
        <v>0</v>
      </c>
      <c r="E1401" t="s">
        <v>1393</v>
      </c>
    </row>
    <row r="1402" spans="1:5">
      <c r="A1402">
        <f>HYPERLINK("http://www.twitter.com/nyc311/status/780441959517286401", "780441959517286401")</f>
        <v>0</v>
      </c>
      <c r="B1402" s="2">
        <v>42639.6809837963</v>
      </c>
      <c r="C1402">
        <v>0</v>
      </c>
      <c r="D1402">
        <v>0</v>
      </c>
      <c r="E1402" t="s">
        <v>1394</v>
      </c>
    </row>
    <row r="1403" spans="1:5">
      <c r="A1403">
        <f>HYPERLINK("http://www.twitter.com/nyc311/status/780437715456290816", "780437715456290816")</f>
        <v>0</v>
      </c>
      <c r="B1403" s="2">
        <v>42639.6692708333</v>
      </c>
      <c r="C1403">
        <v>3</v>
      </c>
      <c r="D1403">
        <v>2</v>
      </c>
      <c r="E1403" t="s">
        <v>1395</v>
      </c>
    </row>
    <row r="1404" spans="1:5">
      <c r="A1404">
        <f>HYPERLINK("http://www.twitter.com/nyc311/status/780437475714076672", "780437475714076672")</f>
        <v>0</v>
      </c>
      <c r="B1404" s="2">
        <v>42639.6686111111</v>
      </c>
      <c r="C1404">
        <v>0</v>
      </c>
      <c r="D1404">
        <v>0</v>
      </c>
      <c r="E1404" t="s">
        <v>1396</v>
      </c>
    </row>
    <row r="1405" spans="1:5">
      <c r="A1405">
        <f>HYPERLINK("http://www.twitter.com/nyc311/status/780436011109220353", "780436011109220353")</f>
        <v>0</v>
      </c>
      <c r="B1405" s="2">
        <v>42639.6645717593</v>
      </c>
      <c r="C1405">
        <v>0</v>
      </c>
      <c r="D1405">
        <v>0</v>
      </c>
      <c r="E1405" t="s">
        <v>1397</v>
      </c>
    </row>
    <row r="1406" spans="1:5">
      <c r="A1406">
        <f>HYPERLINK("http://www.twitter.com/nyc311/status/780434788511584256", "780434788511584256")</f>
        <v>0</v>
      </c>
      <c r="B1406" s="2">
        <v>42639.6612037037</v>
      </c>
      <c r="C1406">
        <v>0</v>
      </c>
      <c r="D1406">
        <v>0</v>
      </c>
      <c r="E1406" t="s">
        <v>1398</v>
      </c>
    </row>
    <row r="1407" spans="1:5">
      <c r="A1407">
        <f>HYPERLINK("http://www.twitter.com/nyc311/status/780433378009120768", "780433378009120768")</f>
        <v>0</v>
      </c>
      <c r="B1407" s="2">
        <v>42639.6573032407</v>
      </c>
      <c r="C1407">
        <v>1</v>
      </c>
      <c r="D1407">
        <v>0</v>
      </c>
      <c r="E1407" t="s">
        <v>1399</v>
      </c>
    </row>
    <row r="1408" spans="1:5">
      <c r="A1408">
        <f>HYPERLINK("http://www.twitter.com/nyc311/status/780433031370768384", "780433031370768384")</f>
        <v>0</v>
      </c>
      <c r="B1408" s="2">
        <v>42639.6563541667</v>
      </c>
      <c r="C1408">
        <v>1</v>
      </c>
      <c r="D1408">
        <v>0</v>
      </c>
      <c r="E1408" t="s">
        <v>1400</v>
      </c>
    </row>
    <row r="1409" spans="1:5">
      <c r="A1409">
        <f>HYPERLINK("http://www.twitter.com/nyc311/status/780432667611394048", "780432667611394048")</f>
        <v>0</v>
      </c>
      <c r="B1409" s="2">
        <v>42639.6553472222</v>
      </c>
      <c r="C1409">
        <v>0</v>
      </c>
      <c r="D1409">
        <v>0</v>
      </c>
      <c r="E1409" t="s">
        <v>1401</v>
      </c>
    </row>
    <row r="1410" spans="1:5">
      <c r="A1410">
        <f>HYPERLINK("http://www.twitter.com/nyc311/status/780431656431869952", "780431656431869952")</f>
        <v>0</v>
      </c>
      <c r="B1410" s="2">
        <v>42639.6525578704</v>
      </c>
      <c r="C1410">
        <v>0</v>
      </c>
      <c r="D1410">
        <v>0</v>
      </c>
      <c r="E1410" t="s">
        <v>1402</v>
      </c>
    </row>
    <row r="1411" spans="1:5">
      <c r="A1411">
        <f>HYPERLINK("http://www.twitter.com/nyc311/status/780431063063662592", "780431063063662592")</f>
        <v>0</v>
      </c>
      <c r="B1411" s="2">
        <v>42639.6509143518</v>
      </c>
      <c r="C1411">
        <v>0</v>
      </c>
      <c r="D1411">
        <v>0</v>
      </c>
      <c r="E1411" t="s">
        <v>1403</v>
      </c>
    </row>
    <row r="1412" spans="1:5">
      <c r="A1412">
        <f>HYPERLINK("http://www.twitter.com/nyc311/status/780429769125007360", "780429769125007360")</f>
        <v>0</v>
      </c>
      <c r="B1412" s="2">
        <v>42639.647349537</v>
      </c>
      <c r="C1412">
        <v>0</v>
      </c>
      <c r="D1412">
        <v>0</v>
      </c>
      <c r="E1412" t="s">
        <v>1404</v>
      </c>
    </row>
    <row r="1413" spans="1:5">
      <c r="A1413">
        <f>HYPERLINK("http://www.twitter.com/nyc311/status/780429472654827520", "780429472654827520")</f>
        <v>0</v>
      </c>
      <c r="B1413" s="2">
        <v>42639.6465277778</v>
      </c>
      <c r="C1413">
        <v>0</v>
      </c>
      <c r="D1413">
        <v>0</v>
      </c>
      <c r="E1413" t="s">
        <v>1405</v>
      </c>
    </row>
    <row r="1414" spans="1:5">
      <c r="A1414">
        <f>HYPERLINK("http://www.twitter.com/nyc311/status/780429318895919104", "780429318895919104")</f>
        <v>0</v>
      </c>
      <c r="B1414" s="2">
        <v>42639.646099537</v>
      </c>
      <c r="C1414">
        <v>0</v>
      </c>
      <c r="D1414">
        <v>0</v>
      </c>
      <c r="E1414" t="s">
        <v>1406</v>
      </c>
    </row>
    <row r="1415" spans="1:5">
      <c r="A1415">
        <f>HYPERLINK("http://www.twitter.com/nyc311/status/780428781257449472", "780428781257449472")</f>
        <v>0</v>
      </c>
      <c r="B1415" s="2">
        <v>42639.6446180556</v>
      </c>
      <c r="C1415">
        <v>1</v>
      </c>
      <c r="D1415">
        <v>0</v>
      </c>
      <c r="E1415" t="s">
        <v>1407</v>
      </c>
    </row>
    <row r="1416" spans="1:5">
      <c r="A1416">
        <f>HYPERLINK("http://www.twitter.com/nyc311/status/780427908565364737", "780427908565364737")</f>
        <v>0</v>
      </c>
      <c r="B1416" s="2">
        <v>42639.6422106481</v>
      </c>
      <c r="C1416">
        <v>0</v>
      </c>
      <c r="D1416">
        <v>0</v>
      </c>
      <c r="E1416" t="s">
        <v>1408</v>
      </c>
    </row>
    <row r="1417" spans="1:5">
      <c r="A1417">
        <f>HYPERLINK("http://www.twitter.com/nyc311/status/780427855142486016", "780427855142486016")</f>
        <v>0</v>
      </c>
      <c r="B1417" s="2">
        <v>42639.6420601852</v>
      </c>
      <c r="C1417">
        <v>0</v>
      </c>
      <c r="D1417">
        <v>0</v>
      </c>
      <c r="E1417" t="s">
        <v>1409</v>
      </c>
    </row>
    <row r="1418" spans="1:5">
      <c r="A1418">
        <f>HYPERLINK("http://www.twitter.com/nyc311/status/780427446466318336", "780427446466318336")</f>
        <v>0</v>
      </c>
      <c r="B1418" s="2">
        <v>42639.6409375</v>
      </c>
      <c r="C1418">
        <v>0</v>
      </c>
      <c r="D1418">
        <v>0</v>
      </c>
      <c r="E1418" t="s">
        <v>1410</v>
      </c>
    </row>
    <row r="1419" spans="1:5">
      <c r="A1419">
        <f>HYPERLINK("http://www.twitter.com/nyc311/status/780425444185219072", "780425444185219072")</f>
        <v>0</v>
      </c>
      <c r="B1419" s="2">
        <v>42639.6354166667</v>
      </c>
      <c r="C1419">
        <v>0</v>
      </c>
      <c r="D1419">
        <v>0</v>
      </c>
      <c r="E1419" t="s">
        <v>1411</v>
      </c>
    </row>
    <row r="1420" spans="1:5">
      <c r="A1420">
        <f>HYPERLINK("http://www.twitter.com/nyc311/status/780425268326457344", "780425268326457344")</f>
        <v>0</v>
      </c>
      <c r="B1420" s="2">
        <v>42639.6349305556</v>
      </c>
      <c r="C1420">
        <v>0</v>
      </c>
      <c r="D1420">
        <v>0</v>
      </c>
      <c r="E1420" t="s">
        <v>1412</v>
      </c>
    </row>
    <row r="1421" spans="1:5">
      <c r="A1421">
        <f>HYPERLINK("http://www.twitter.com/nyc311/status/780423850571993089", "780423850571993089")</f>
        <v>0</v>
      </c>
      <c r="B1421" s="2">
        <v>42639.6310185185</v>
      </c>
      <c r="C1421">
        <v>0</v>
      </c>
      <c r="D1421">
        <v>0</v>
      </c>
      <c r="E1421" t="s">
        <v>1413</v>
      </c>
    </row>
    <row r="1422" spans="1:5">
      <c r="A1422">
        <f>HYPERLINK("http://www.twitter.com/nyc311/status/780423837464879108", "780423837464879108")</f>
        <v>0</v>
      </c>
      <c r="B1422" s="2">
        <v>42639.6309837963</v>
      </c>
      <c r="C1422">
        <v>0</v>
      </c>
      <c r="D1422">
        <v>0</v>
      </c>
      <c r="E1422" t="s">
        <v>1414</v>
      </c>
    </row>
    <row r="1423" spans="1:5">
      <c r="A1423">
        <f>HYPERLINK("http://www.twitter.com/nyc311/status/780422939816652801", "780422939816652801")</f>
        <v>0</v>
      </c>
      <c r="B1423" s="2">
        <v>42639.6285069444</v>
      </c>
      <c r="C1423">
        <v>1</v>
      </c>
      <c r="D1423">
        <v>0</v>
      </c>
      <c r="E1423" t="s">
        <v>1415</v>
      </c>
    </row>
    <row r="1424" spans="1:5">
      <c r="A1424">
        <f>HYPERLINK("http://www.twitter.com/nyc311/status/780422582726193152", "780422582726193152")</f>
        <v>0</v>
      </c>
      <c r="B1424" s="2">
        <v>42639.6275115741</v>
      </c>
      <c r="C1424">
        <v>0</v>
      </c>
      <c r="D1424">
        <v>0</v>
      </c>
      <c r="E1424" t="s">
        <v>1416</v>
      </c>
    </row>
    <row r="1425" spans="1:5">
      <c r="A1425">
        <f>HYPERLINK("http://www.twitter.com/nyc311/status/780422412198346752", "780422412198346752")</f>
        <v>0</v>
      </c>
      <c r="B1425" s="2">
        <v>42639.6270486111</v>
      </c>
      <c r="C1425">
        <v>0</v>
      </c>
      <c r="D1425">
        <v>0</v>
      </c>
      <c r="E1425" t="s">
        <v>1417</v>
      </c>
    </row>
    <row r="1426" spans="1:5">
      <c r="A1426">
        <f>HYPERLINK("http://www.twitter.com/nyc311/status/780420626477621250", "780420626477621250")</f>
        <v>0</v>
      </c>
      <c r="B1426" s="2">
        <v>42639.6221180556</v>
      </c>
      <c r="C1426">
        <v>0</v>
      </c>
      <c r="D1426">
        <v>0</v>
      </c>
      <c r="E1426" t="s">
        <v>1418</v>
      </c>
    </row>
    <row r="1427" spans="1:5">
      <c r="A1427">
        <f>HYPERLINK("http://www.twitter.com/nyc311/status/780420285099044865", "780420285099044865")</f>
        <v>0</v>
      </c>
      <c r="B1427" s="2">
        <v>42639.6211805556</v>
      </c>
      <c r="C1427">
        <v>0</v>
      </c>
      <c r="D1427">
        <v>0</v>
      </c>
      <c r="E1427" t="s">
        <v>1419</v>
      </c>
    </row>
    <row r="1428" spans="1:5">
      <c r="A1428">
        <f>HYPERLINK("http://www.twitter.com/nyc311/status/780419990877040640", "780419990877040640")</f>
        <v>0</v>
      </c>
      <c r="B1428" s="2">
        <v>42639.6203587963</v>
      </c>
      <c r="C1428">
        <v>0</v>
      </c>
      <c r="D1428">
        <v>0</v>
      </c>
      <c r="E1428" t="s">
        <v>1420</v>
      </c>
    </row>
    <row r="1429" spans="1:5">
      <c r="A1429">
        <f>HYPERLINK("http://www.twitter.com/nyc311/status/780419369243467777", "780419369243467777")</f>
        <v>0</v>
      </c>
      <c r="B1429" s="2">
        <v>42639.6186458333</v>
      </c>
      <c r="C1429">
        <v>0</v>
      </c>
      <c r="D1429">
        <v>0</v>
      </c>
      <c r="E1429" t="s">
        <v>1421</v>
      </c>
    </row>
    <row r="1430" spans="1:5">
      <c r="A1430">
        <f>HYPERLINK("http://www.twitter.com/nyc311/status/780419201211232256", "780419201211232256")</f>
        <v>0</v>
      </c>
      <c r="B1430" s="2">
        <v>42639.6181828704</v>
      </c>
      <c r="C1430">
        <v>0</v>
      </c>
      <c r="D1430">
        <v>0</v>
      </c>
      <c r="E1430" t="s">
        <v>1422</v>
      </c>
    </row>
    <row r="1431" spans="1:5">
      <c r="A1431">
        <f>HYPERLINK("http://www.twitter.com/nyc311/status/780417614786990081", "780417614786990081")</f>
        <v>0</v>
      </c>
      <c r="B1431" s="2">
        <v>42639.6138078704</v>
      </c>
      <c r="C1431">
        <v>0</v>
      </c>
      <c r="D1431">
        <v>0</v>
      </c>
      <c r="E1431" t="s">
        <v>1423</v>
      </c>
    </row>
    <row r="1432" spans="1:5">
      <c r="A1432">
        <f>HYPERLINK("http://www.twitter.com/nyc311/status/780415564187590656", "780415564187590656")</f>
        <v>0</v>
      </c>
      <c r="B1432" s="2">
        <v>42639.6081481481</v>
      </c>
      <c r="C1432">
        <v>1</v>
      </c>
      <c r="D1432">
        <v>0</v>
      </c>
      <c r="E1432" t="s">
        <v>1424</v>
      </c>
    </row>
    <row r="1433" spans="1:5">
      <c r="A1433">
        <f>HYPERLINK("http://www.twitter.com/nyc311/status/780414819782520832", "780414819782520832")</f>
        <v>0</v>
      </c>
      <c r="B1433" s="2">
        <v>42639.606099537</v>
      </c>
      <c r="C1433">
        <v>0</v>
      </c>
      <c r="D1433">
        <v>0</v>
      </c>
      <c r="E1433" t="s">
        <v>1425</v>
      </c>
    </row>
    <row r="1434" spans="1:5">
      <c r="A1434">
        <f>HYPERLINK("http://www.twitter.com/nyc311/status/780414670301691908", "780414670301691908")</f>
        <v>0</v>
      </c>
      <c r="B1434" s="2">
        <v>42639.6056828704</v>
      </c>
      <c r="C1434">
        <v>0</v>
      </c>
      <c r="D1434">
        <v>0</v>
      </c>
      <c r="E1434" t="s">
        <v>1426</v>
      </c>
    </row>
    <row r="1435" spans="1:5">
      <c r="A1435">
        <f>HYPERLINK("http://www.twitter.com/nyc311/status/780414304478699520", "780414304478699520")</f>
        <v>0</v>
      </c>
      <c r="B1435" s="2">
        <v>42639.6046759259</v>
      </c>
      <c r="C1435">
        <v>0</v>
      </c>
      <c r="D1435">
        <v>0</v>
      </c>
      <c r="E1435" t="s">
        <v>1427</v>
      </c>
    </row>
    <row r="1436" spans="1:5">
      <c r="A1436">
        <f>HYPERLINK("http://www.twitter.com/nyc311/status/780412204327862272", "780412204327862272")</f>
        <v>0</v>
      </c>
      <c r="B1436" s="2">
        <v>42639.5988773148</v>
      </c>
      <c r="C1436">
        <v>0</v>
      </c>
      <c r="D1436">
        <v>0</v>
      </c>
      <c r="E1436" t="s">
        <v>1428</v>
      </c>
    </row>
    <row r="1437" spans="1:5">
      <c r="A1437">
        <f>HYPERLINK("http://www.twitter.com/nyc311/status/780412114380943360", "780412114380943360")</f>
        <v>0</v>
      </c>
      <c r="B1437" s="2">
        <v>42639.5986342593</v>
      </c>
      <c r="C1437">
        <v>0</v>
      </c>
      <c r="D1437">
        <v>0</v>
      </c>
      <c r="E1437" t="s">
        <v>1429</v>
      </c>
    </row>
    <row r="1438" spans="1:5">
      <c r="A1438">
        <f>HYPERLINK("http://www.twitter.com/nyc311/status/780411303835885568", "780411303835885568")</f>
        <v>0</v>
      </c>
      <c r="B1438" s="2">
        <v>42639.5963888889</v>
      </c>
      <c r="C1438">
        <v>1</v>
      </c>
      <c r="D1438">
        <v>0</v>
      </c>
      <c r="E1438" t="s">
        <v>1430</v>
      </c>
    </row>
    <row r="1439" spans="1:5">
      <c r="A1439">
        <f>HYPERLINK("http://www.twitter.com/nyc311/status/780410974964682752", "780410974964682752")</f>
        <v>0</v>
      </c>
      <c r="B1439" s="2">
        <v>42639.5954861111</v>
      </c>
      <c r="C1439">
        <v>1</v>
      </c>
      <c r="D1439">
        <v>0</v>
      </c>
      <c r="E1439" t="s">
        <v>1431</v>
      </c>
    </row>
    <row r="1440" spans="1:5">
      <c r="A1440">
        <f>HYPERLINK("http://www.twitter.com/nyc311/status/780410178340589568", "780410178340589568")</f>
        <v>0</v>
      </c>
      <c r="B1440" s="2">
        <v>42639.593287037</v>
      </c>
      <c r="C1440">
        <v>0</v>
      </c>
      <c r="D1440">
        <v>0</v>
      </c>
      <c r="E1440" t="s">
        <v>1432</v>
      </c>
    </row>
    <row r="1441" spans="1:5">
      <c r="A1441">
        <f>HYPERLINK("http://www.twitter.com/nyc311/status/780407448326795265", "780407448326795265")</f>
        <v>0</v>
      </c>
      <c r="B1441" s="2">
        <v>42639.5857523148</v>
      </c>
      <c r="C1441">
        <v>5</v>
      </c>
      <c r="D1441">
        <v>1</v>
      </c>
      <c r="E1441" t="s">
        <v>1433</v>
      </c>
    </row>
    <row r="1442" spans="1:5">
      <c r="A1442">
        <f>HYPERLINK("http://www.twitter.com/nyc311/status/780406287414792192", "780406287414792192")</f>
        <v>0</v>
      </c>
      <c r="B1442" s="2">
        <v>42639.5825462963</v>
      </c>
      <c r="C1442">
        <v>0</v>
      </c>
      <c r="D1442">
        <v>0</v>
      </c>
      <c r="E1442" t="s">
        <v>1434</v>
      </c>
    </row>
    <row r="1443" spans="1:5">
      <c r="A1443">
        <f>HYPERLINK("http://www.twitter.com/nyc311/status/780405445504753664", "780405445504753664")</f>
        <v>0</v>
      </c>
      <c r="B1443" s="2">
        <v>42639.5802314815</v>
      </c>
      <c r="C1443">
        <v>1</v>
      </c>
      <c r="D1443">
        <v>0</v>
      </c>
      <c r="E1443" t="s">
        <v>1435</v>
      </c>
    </row>
    <row r="1444" spans="1:5">
      <c r="A1444">
        <f>HYPERLINK("http://www.twitter.com/nyc311/status/780135252534652928", "780135252534652928")</f>
        <v>0</v>
      </c>
      <c r="B1444" s="2">
        <v>42638.8346412037</v>
      </c>
      <c r="C1444">
        <v>1</v>
      </c>
      <c r="D1444">
        <v>0</v>
      </c>
      <c r="E1444" t="s">
        <v>1436</v>
      </c>
    </row>
    <row r="1445" spans="1:5">
      <c r="A1445">
        <f>HYPERLINK("http://www.twitter.com/nyc311/status/780105091642687492", "780105091642687492")</f>
        <v>0</v>
      </c>
      <c r="B1445" s="2">
        <v>42638.751412037</v>
      </c>
      <c r="C1445">
        <v>6</v>
      </c>
      <c r="D1445">
        <v>3</v>
      </c>
      <c r="E1445" t="s">
        <v>1437</v>
      </c>
    </row>
    <row r="1446" spans="1:5">
      <c r="A1446">
        <f>HYPERLINK("http://www.twitter.com/nyc311/status/780074960958197760", "780074960958197760")</f>
        <v>0</v>
      </c>
      <c r="B1446" s="2">
        <v>42638.6682638889</v>
      </c>
      <c r="C1446">
        <v>5</v>
      </c>
      <c r="D1446">
        <v>3</v>
      </c>
      <c r="E1446" t="s">
        <v>1438</v>
      </c>
    </row>
    <row r="1447" spans="1:5">
      <c r="A1447">
        <f>HYPERLINK("http://www.twitter.com/nyc311/status/780044727693545472", "780044727693545472")</f>
        <v>0</v>
      </c>
      <c r="B1447" s="2">
        <v>42638.584837963</v>
      </c>
      <c r="C1447">
        <v>4</v>
      </c>
      <c r="D1447">
        <v>5</v>
      </c>
      <c r="E1447" t="s">
        <v>1439</v>
      </c>
    </row>
    <row r="1448" spans="1:5">
      <c r="A1448">
        <f>HYPERLINK("http://www.twitter.com/nyc311/status/779772857270304768", "779772857270304768")</f>
        <v>0</v>
      </c>
      <c r="B1448" s="2">
        <v>42637.8346180556</v>
      </c>
      <c r="C1448">
        <v>1</v>
      </c>
      <c r="D1448">
        <v>1</v>
      </c>
      <c r="E1448" t="s">
        <v>1440</v>
      </c>
    </row>
    <row r="1449" spans="1:5">
      <c r="A1449">
        <f>HYPERLINK("http://www.twitter.com/nyc311/status/779742748408680448", "779742748408680448")</f>
        <v>0</v>
      </c>
      <c r="B1449" s="2">
        <v>42637.7515277778</v>
      </c>
      <c r="C1449">
        <v>4</v>
      </c>
      <c r="D1449">
        <v>2</v>
      </c>
      <c r="E1449" t="s">
        <v>1441</v>
      </c>
    </row>
    <row r="1450" spans="1:5">
      <c r="A1450">
        <f>HYPERLINK("http://www.twitter.com/nyc311/status/779712647415619584", "779712647415619584")</f>
        <v>0</v>
      </c>
      <c r="B1450" s="2">
        <v>42637.6684722222</v>
      </c>
      <c r="C1450">
        <v>3</v>
      </c>
      <c r="D1450">
        <v>6</v>
      </c>
      <c r="E1450" t="s">
        <v>1442</v>
      </c>
    </row>
    <row r="1451" spans="1:5">
      <c r="A1451">
        <f>HYPERLINK("http://www.twitter.com/nyc311/status/779682124760776704", "779682124760776704")</f>
        <v>0</v>
      </c>
      <c r="B1451" s="2">
        <v>42637.5842361111</v>
      </c>
      <c r="C1451">
        <v>11</v>
      </c>
      <c r="D1451">
        <v>4</v>
      </c>
      <c r="E1451" t="s">
        <v>1443</v>
      </c>
    </row>
    <row r="1452" spans="1:5">
      <c r="A1452">
        <f>HYPERLINK("http://www.twitter.com/nyc311/status/779432247950712832", "779432247950712832")</f>
        <v>0</v>
      </c>
      <c r="B1452" s="2">
        <v>42636.8947106482</v>
      </c>
      <c r="C1452">
        <v>0</v>
      </c>
      <c r="D1452">
        <v>0</v>
      </c>
      <c r="E1452" t="s">
        <v>1444</v>
      </c>
    </row>
    <row r="1453" spans="1:5">
      <c r="A1453">
        <f>HYPERLINK("http://www.twitter.com/nyc311/status/779410692344545280", "779410692344545280")</f>
        <v>0</v>
      </c>
      <c r="B1453" s="2">
        <v>42636.8352314815</v>
      </c>
      <c r="C1453">
        <v>2</v>
      </c>
      <c r="D1453">
        <v>2</v>
      </c>
      <c r="E1453" t="s">
        <v>1445</v>
      </c>
    </row>
    <row r="1454" spans="1:5">
      <c r="A1454">
        <f>HYPERLINK("http://www.twitter.com/nyc311/status/779405855896764416", "779405855896764416")</f>
        <v>0</v>
      </c>
      <c r="B1454" s="2">
        <v>42636.8218865741</v>
      </c>
      <c r="C1454">
        <v>1</v>
      </c>
      <c r="D1454">
        <v>0</v>
      </c>
      <c r="E1454" t="s">
        <v>1446</v>
      </c>
    </row>
    <row r="1455" spans="1:5">
      <c r="A1455">
        <f>HYPERLINK("http://www.twitter.com/nyc311/status/779399772230684672", "779399772230684672")</f>
        <v>0</v>
      </c>
      <c r="B1455" s="2">
        <v>42636.8050925926</v>
      </c>
      <c r="C1455">
        <v>0</v>
      </c>
      <c r="D1455">
        <v>0</v>
      </c>
      <c r="E1455" t="s">
        <v>1447</v>
      </c>
    </row>
    <row r="1456" spans="1:5">
      <c r="A1456">
        <f>HYPERLINK("http://www.twitter.com/nyc311/status/779397325936533504", "779397325936533504")</f>
        <v>0</v>
      </c>
      <c r="B1456" s="2">
        <v>42636.7983449074</v>
      </c>
      <c r="C1456">
        <v>0</v>
      </c>
      <c r="D1456">
        <v>0</v>
      </c>
      <c r="E1456" t="s">
        <v>1448</v>
      </c>
    </row>
    <row r="1457" spans="1:5">
      <c r="A1457">
        <f>HYPERLINK("http://www.twitter.com/nyc311/status/779395959184916481", "779395959184916481")</f>
        <v>0</v>
      </c>
      <c r="B1457" s="2">
        <v>42636.7945717593</v>
      </c>
      <c r="C1457">
        <v>0</v>
      </c>
      <c r="D1457">
        <v>0</v>
      </c>
      <c r="E1457" t="s">
        <v>1449</v>
      </c>
    </row>
    <row r="1458" spans="1:5">
      <c r="A1458">
        <f>HYPERLINK("http://www.twitter.com/nyc311/status/779380542806618112", "779380542806618112")</f>
        <v>0</v>
      </c>
      <c r="B1458" s="2">
        <v>42636.752037037</v>
      </c>
      <c r="C1458">
        <v>3</v>
      </c>
      <c r="D1458">
        <v>4</v>
      </c>
      <c r="E1458" t="s">
        <v>1450</v>
      </c>
    </row>
    <row r="1459" spans="1:5">
      <c r="A1459">
        <f>HYPERLINK("http://www.twitter.com/nyc311/status/779370535042023424", "779370535042023424")</f>
        <v>0</v>
      </c>
      <c r="B1459" s="2">
        <v>42636.7244212963</v>
      </c>
      <c r="C1459">
        <v>0</v>
      </c>
      <c r="D1459">
        <v>0</v>
      </c>
      <c r="E1459" t="s">
        <v>1451</v>
      </c>
    </row>
    <row r="1460" spans="1:5">
      <c r="A1460">
        <f>HYPERLINK("http://www.twitter.com/nyc311/status/779369910065561600", "779369910065561600")</f>
        <v>0</v>
      </c>
      <c r="B1460" s="2">
        <v>42636.7226967593</v>
      </c>
      <c r="C1460">
        <v>0</v>
      </c>
      <c r="D1460">
        <v>0</v>
      </c>
      <c r="E1460" t="s">
        <v>1452</v>
      </c>
    </row>
    <row r="1461" spans="1:5">
      <c r="A1461">
        <f>HYPERLINK("http://www.twitter.com/nyc311/status/779367708840357889", "779367708840357889")</f>
        <v>0</v>
      </c>
      <c r="B1461" s="2">
        <v>42636.7166203704</v>
      </c>
      <c r="C1461">
        <v>0</v>
      </c>
      <c r="D1461">
        <v>0</v>
      </c>
      <c r="E1461" t="s">
        <v>1453</v>
      </c>
    </row>
    <row r="1462" spans="1:5">
      <c r="A1462">
        <f>HYPERLINK("http://www.twitter.com/nyc311/status/779366403833036800", "779366403833036800")</f>
        <v>0</v>
      </c>
      <c r="B1462" s="2">
        <v>42636.7130208333</v>
      </c>
      <c r="C1462">
        <v>0</v>
      </c>
      <c r="D1462">
        <v>0</v>
      </c>
      <c r="E1462" t="s">
        <v>1454</v>
      </c>
    </row>
    <row r="1463" spans="1:5">
      <c r="A1463">
        <f>HYPERLINK("http://www.twitter.com/nyc311/status/779362511791489032", "779362511791489032")</f>
        <v>0</v>
      </c>
      <c r="B1463" s="2">
        <v>42636.7022800926</v>
      </c>
      <c r="C1463">
        <v>0</v>
      </c>
      <c r="D1463">
        <v>0</v>
      </c>
      <c r="E1463" t="s">
        <v>1455</v>
      </c>
    </row>
    <row r="1464" spans="1:5">
      <c r="A1464">
        <f>HYPERLINK("http://www.twitter.com/nyc311/status/779350583211876352", "779350583211876352")</f>
        <v>0</v>
      </c>
      <c r="B1464" s="2">
        <v>42636.6693634259</v>
      </c>
      <c r="C1464">
        <v>3</v>
      </c>
      <c r="D1464">
        <v>4</v>
      </c>
      <c r="E1464" t="s">
        <v>1456</v>
      </c>
    </row>
    <row r="1465" spans="1:5">
      <c r="A1465">
        <f>HYPERLINK("http://www.twitter.com/nyc311/status/779341688095535104", "779341688095535104")</f>
        <v>0</v>
      </c>
      <c r="B1465" s="2">
        <v>42636.6448148148</v>
      </c>
      <c r="C1465">
        <v>0</v>
      </c>
      <c r="D1465">
        <v>0</v>
      </c>
      <c r="E1465" t="s">
        <v>1457</v>
      </c>
    </row>
    <row r="1466" spans="1:5">
      <c r="A1466">
        <f>HYPERLINK("http://www.twitter.com/nyc311/status/779334958787784704", "779334958787784704")</f>
        <v>0</v>
      </c>
      <c r="B1466" s="2">
        <v>42636.62625</v>
      </c>
      <c r="C1466">
        <v>0</v>
      </c>
      <c r="D1466">
        <v>0</v>
      </c>
      <c r="E1466" t="s">
        <v>1458</v>
      </c>
    </row>
    <row r="1467" spans="1:5">
      <c r="A1467">
        <f>HYPERLINK("http://www.twitter.com/nyc311/status/779330448791105536", "779330448791105536")</f>
        <v>0</v>
      </c>
      <c r="B1467" s="2">
        <v>42636.6137962963</v>
      </c>
      <c r="C1467">
        <v>0</v>
      </c>
      <c r="D1467">
        <v>0</v>
      </c>
      <c r="E1467" t="s">
        <v>1459</v>
      </c>
    </row>
    <row r="1468" spans="1:5">
      <c r="A1468">
        <f>HYPERLINK("http://www.twitter.com/nyc311/status/779329414681202688", "779329414681202688")</f>
        <v>0</v>
      </c>
      <c r="B1468" s="2">
        <v>42636.6109490741</v>
      </c>
      <c r="C1468">
        <v>0</v>
      </c>
      <c r="D1468">
        <v>0</v>
      </c>
      <c r="E1468" t="s">
        <v>1460</v>
      </c>
    </row>
    <row r="1469" spans="1:5">
      <c r="A1469">
        <f>HYPERLINK("http://www.twitter.com/nyc311/status/779326478081220608", "779326478081220608")</f>
        <v>0</v>
      </c>
      <c r="B1469" s="2">
        <v>42636.6028472222</v>
      </c>
      <c r="C1469">
        <v>2</v>
      </c>
      <c r="D1469">
        <v>0</v>
      </c>
      <c r="E1469" t="s">
        <v>1461</v>
      </c>
    </row>
    <row r="1470" spans="1:5">
      <c r="A1470">
        <f>HYPERLINK("http://www.twitter.com/nyc311/status/779325138034630661", "779325138034630661")</f>
        <v>0</v>
      </c>
      <c r="B1470" s="2">
        <v>42636.5991435185</v>
      </c>
      <c r="C1470">
        <v>0</v>
      </c>
      <c r="D1470">
        <v>0</v>
      </c>
      <c r="E1470" t="s">
        <v>1462</v>
      </c>
    </row>
    <row r="1471" spans="1:5">
      <c r="A1471">
        <f>HYPERLINK("http://www.twitter.com/nyc311/status/779325032031977472", "779325032031977472")</f>
        <v>0</v>
      </c>
      <c r="B1471" s="2">
        <v>42636.5988541667</v>
      </c>
      <c r="C1471">
        <v>0</v>
      </c>
      <c r="D1471">
        <v>0</v>
      </c>
      <c r="E1471" t="s">
        <v>1463</v>
      </c>
    </row>
    <row r="1472" spans="1:5">
      <c r="A1472">
        <f>HYPERLINK("http://www.twitter.com/nyc311/status/779324425225302016", "779324425225302016")</f>
        <v>0</v>
      </c>
      <c r="B1472" s="2">
        <v>42636.5971759259</v>
      </c>
      <c r="C1472">
        <v>0</v>
      </c>
      <c r="D1472">
        <v>0</v>
      </c>
      <c r="E1472" t="s">
        <v>1464</v>
      </c>
    </row>
    <row r="1473" spans="1:5">
      <c r="A1473">
        <f>HYPERLINK("http://www.twitter.com/nyc311/status/779320347854266368", "779320347854266368")</f>
        <v>0</v>
      </c>
      <c r="B1473" s="2">
        <v>42636.5859259259</v>
      </c>
      <c r="C1473">
        <v>3</v>
      </c>
      <c r="D1473">
        <v>8</v>
      </c>
      <c r="E1473" t="s">
        <v>1465</v>
      </c>
    </row>
    <row r="1474" spans="1:5">
      <c r="A1474">
        <f>HYPERLINK("http://www.twitter.com/nyc311/status/779063996733358084", "779063996733358084")</f>
        <v>0</v>
      </c>
      <c r="B1474" s="2">
        <v>42635.8785300926</v>
      </c>
      <c r="C1474">
        <v>0</v>
      </c>
      <c r="D1474">
        <v>0</v>
      </c>
      <c r="E1474" t="s">
        <v>1466</v>
      </c>
    </row>
    <row r="1475" spans="1:5">
      <c r="A1475">
        <f>HYPERLINK("http://www.twitter.com/nyc311/status/779048342823268353", "779048342823268353")</f>
        <v>0</v>
      </c>
      <c r="B1475" s="2">
        <v>42635.8353356481</v>
      </c>
      <c r="C1475">
        <v>1</v>
      </c>
      <c r="D1475">
        <v>1</v>
      </c>
      <c r="E1475" t="s">
        <v>1467</v>
      </c>
    </row>
    <row r="1476" spans="1:5">
      <c r="A1476">
        <f>HYPERLINK("http://www.twitter.com/nyc311/status/779029245385408513", "779029245385408513")</f>
        <v>0</v>
      </c>
      <c r="B1476" s="2">
        <v>42635.7826388889</v>
      </c>
      <c r="C1476">
        <v>0</v>
      </c>
      <c r="D1476">
        <v>0</v>
      </c>
      <c r="E1476" t="s">
        <v>1468</v>
      </c>
    </row>
    <row r="1477" spans="1:5">
      <c r="A1477">
        <f>HYPERLINK("http://www.twitter.com/nyc311/status/779025098086846464", "779025098086846464")</f>
        <v>0</v>
      </c>
      <c r="B1477" s="2">
        <v>42635.7711921296</v>
      </c>
      <c r="C1477">
        <v>0</v>
      </c>
      <c r="D1477">
        <v>0</v>
      </c>
      <c r="E1477" t="s">
        <v>1469</v>
      </c>
    </row>
    <row r="1478" spans="1:5">
      <c r="A1478">
        <f>HYPERLINK("http://www.twitter.com/nyc311/status/779018196057751552", "779018196057751552")</f>
        <v>0</v>
      </c>
      <c r="B1478" s="2">
        <v>42635.7521527778</v>
      </c>
      <c r="C1478">
        <v>4</v>
      </c>
      <c r="D1478">
        <v>6</v>
      </c>
      <c r="E1478" t="s">
        <v>1470</v>
      </c>
    </row>
    <row r="1479" spans="1:5">
      <c r="A1479">
        <f>HYPERLINK("http://www.twitter.com/nyc311/status/779017809863016448", "779017809863016448")</f>
        <v>0</v>
      </c>
      <c r="B1479" s="2">
        <v>42635.7510763889</v>
      </c>
      <c r="C1479">
        <v>0</v>
      </c>
      <c r="D1479">
        <v>0</v>
      </c>
      <c r="E1479" t="s">
        <v>1471</v>
      </c>
    </row>
    <row r="1480" spans="1:5">
      <c r="A1480">
        <f>HYPERLINK("http://www.twitter.com/nyc311/status/779017761565581312", "779017761565581312")</f>
        <v>0</v>
      </c>
      <c r="B1480" s="2">
        <v>42635.7509490741</v>
      </c>
      <c r="C1480">
        <v>0</v>
      </c>
      <c r="D1480">
        <v>0</v>
      </c>
      <c r="E1480" t="s">
        <v>1472</v>
      </c>
    </row>
    <row r="1481" spans="1:5">
      <c r="A1481">
        <f>HYPERLINK("http://www.twitter.com/nyc311/status/779003865094127617", "779003865094127617")</f>
        <v>0</v>
      </c>
      <c r="B1481" s="2">
        <v>42635.7126041667</v>
      </c>
      <c r="C1481">
        <v>0</v>
      </c>
      <c r="D1481">
        <v>6</v>
      </c>
      <c r="E1481" t="s">
        <v>1473</v>
      </c>
    </row>
    <row r="1482" spans="1:5">
      <c r="A1482">
        <f>HYPERLINK("http://www.twitter.com/nyc311/status/778996543944855552", "778996543944855552")</f>
        <v>0</v>
      </c>
      <c r="B1482" s="2">
        <v>42635.6923958333</v>
      </c>
      <c r="C1482">
        <v>0</v>
      </c>
      <c r="D1482">
        <v>0</v>
      </c>
      <c r="E1482" t="s">
        <v>1474</v>
      </c>
    </row>
    <row r="1483" spans="1:5">
      <c r="A1483">
        <f>HYPERLINK("http://www.twitter.com/nyc311/status/778991776145281024", "778991776145281024")</f>
        <v>0</v>
      </c>
      <c r="B1483" s="2">
        <v>42635.6792476852</v>
      </c>
      <c r="C1483">
        <v>0</v>
      </c>
      <c r="D1483">
        <v>0</v>
      </c>
      <c r="E1483" t="s">
        <v>1475</v>
      </c>
    </row>
    <row r="1484" spans="1:5">
      <c r="A1484">
        <f>HYPERLINK("http://www.twitter.com/nyc311/status/778988742707179520", "778988742707179520")</f>
        <v>0</v>
      </c>
      <c r="B1484" s="2">
        <v>42635.6708680556</v>
      </c>
      <c r="C1484">
        <v>0</v>
      </c>
      <c r="D1484">
        <v>0</v>
      </c>
      <c r="E1484" t="s">
        <v>1476</v>
      </c>
    </row>
    <row r="1485" spans="1:5">
      <c r="A1485">
        <f>HYPERLINK("http://www.twitter.com/nyc311/status/778988169228419072", "778988169228419072")</f>
        <v>0</v>
      </c>
      <c r="B1485" s="2">
        <v>42635.6692939815</v>
      </c>
      <c r="C1485">
        <v>7</v>
      </c>
      <c r="D1485">
        <v>4</v>
      </c>
      <c r="E1485" t="s">
        <v>1477</v>
      </c>
    </row>
    <row r="1486" spans="1:5">
      <c r="A1486">
        <f>HYPERLINK("http://www.twitter.com/nyc311/status/778985144875188225", "778985144875188225")</f>
        <v>0</v>
      </c>
      <c r="B1486" s="2">
        <v>42635.6609490741</v>
      </c>
      <c r="C1486">
        <v>1</v>
      </c>
      <c r="D1486">
        <v>0</v>
      </c>
      <c r="E1486" t="s">
        <v>1478</v>
      </c>
    </row>
    <row r="1487" spans="1:5">
      <c r="A1487">
        <f>HYPERLINK("http://www.twitter.com/nyc311/status/778983336463200256", "778983336463200256")</f>
        <v>0</v>
      </c>
      <c r="B1487" s="2">
        <v>42635.6559490741</v>
      </c>
      <c r="C1487">
        <v>0</v>
      </c>
      <c r="D1487">
        <v>0</v>
      </c>
      <c r="E1487" t="s">
        <v>1479</v>
      </c>
    </row>
    <row r="1488" spans="1:5">
      <c r="A1488">
        <f>HYPERLINK("http://www.twitter.com/nyc311/status/778983194901315584", "778983194901315584")</f>
        <v>0</v>
      </c>
      <c r="B1488" s="2">
        <v>42635.6555671296</v>
      </c>
      <c r="C1488">
        <v>0</v>
      </c>
      <c r="D1488">
        <v>0</v>
      </c>
      <c r="E1488" t="s">
        <v>1480</v>
      </c>
    </row>
    <row r="1489" spans="1:5">
      <c r="A1489">
        <f>HYPERLINK("http://www.twitter.com/nyc311/status/778971344595812352", "778971344595812352")</f>
        <v>0</v>
      </c>
      <c r="B1489" s="2">
        <v>42635.6228587963</v>
      </c>
      <c r="C1489">
        <v>0</v>
      </c>
      <c r="D1489">
        <v>0</v>
      </c>
      <c r="E1489" t="s">
        <v>1481</v>
      </c>
    </row>
    <row r="1490" spans="1:5">
      <c r="A1490">
        <f>HYPERLINK("http://www.twitter.com/nyc311/status/778970125433245696", "778970125433245696")</f>
        <v>0</v>
      </c>
      <c r="B1490" s="2">
        <v>42635.6195023148</v>
      </c>
      <c r="C1490">
        <v>1</v>
      </c>
      <c r="D1490">
        <v>0</v>
      </c>
      <c r="E1490" t="s">
        <v>1482</v>
      </c>
    </row>
    <row r="1491" spans="1:5">
      <c r="A1491">
        <f>HYPERLINK("http://www.twitter.com/nyc311/status/778969857241079808", "778969857241079808")</f>
        <v>0</v>
      </c>
      <c r="B1491" s="2">
        <v>42635.6187615741</v>
      </c>
      <c r="C1491">
        <v>1</v>
      </c>
      <c r="D1491">
        <v>0</v>
      </c>
      <c r="E1491" t="s">
        <v>1483</v>
      </c>
    </row>
    <row r="1492" spans="1:5">
      <c r="A1492">
        <f>HYPERLINK("http://www.twitter.com/nyc311/status/778968293730385920", "778968293730385920")</f>
        <v>0</v>
      </c>
      <c r="B1492" s="2">
        <v>42635.6144444444</v>
      </c>
      <c r="C1492">
        <v>0</v>
      </c>
      <c r="D1492">
        <v>0</v>
      </c>
      <c r="E1492" t="s">
        <v>1484</v>
      </c>
    </row>
    <row r="1493" spans="1:5">
      <c r="A1493">
        <f>HYPERLINK("http://www.twitter.com/nyc311/status/778967794033582083", "778967794033582083")</f>
        <v>0</v>
      </c>
      <c r="B1493" s="2">
        <v>42635.6130671296</v>
      </c>
      <c r="C1493">
        <v>0</v>
      </c>
      <c r="D1493">
        <v>0</v>
      </c>
      <c r="E1493" t="s">
        <v>1485</v>
      </c>
    </row>
    <row r="1494" spans="1:5">
      <c r="A1494">
        <f>HYPERLINK("http://www.twitter.com/nyc311/status/778962610653921280", "778962610653921280")</f>
        <v>0</v>
      </c>
      <c r="B1494" s="2">
        <v>42635.5987615741</v>
      </c>
      <c r="C1494">
        <v>1</v>
      </c>
      <c r="D1494">
        <v>0</v>
      </c>
      <c r="E1494" t="s">
        <v>1486</v>
      </c>
    </row>
    <row r="1495" spans="1:5">
      <c r="A1495">
        <f>HYPERLINK("http://www.twitter.com/nyc311/status/778960838594035712", "778960838594035712")</f>
        <v>0</v>
      </c>
      <c r="B1495" s="2">
        <v>42635.5938657407</v>
      </c>
      <c r="C1495">
        <v>0</v>
      </c>
      <c r="D1495">
        <v>0</v>
      </c>
      <c r="E1495" t="s">
        <v>1487</v>
      </c>
    </row>
    <row r="1496" spans="1:5">
      <c r="A1496">
        <f>HYPERLINK("http://www.twitter.com/nyc311/status/778960045652471808", "778960045652471808")</f>
        <v>0</v>
      </c>
      <c r="B1496" s="2">
        <v>42635.5916782407</v>
      </c>
      <c r="C1496">
        <v>0</v>
      </c>
      <c r="D1496">
        <v>0</v>
      </c>
      <c r="E1496" t="s">
        <v>1488</v>
      </c>
    </row>
    <row r="1497" spans="1:5">
      <c r="A1497">
        <f>HYPERLINK("http://www.twitter.com/nyc311/status/778957889448865794", "778957889448865794")</f>
        <v>0</v>
      </c>
      <c r="B1497" s="2">
        <v>42635.5857291667</v>
      </c>
      <c r="C1497">
        <v>3</v>
      </c>
      <c r="D1497">
        <v>3</v>
      </c>
      <c r="E1497" t="s">
        <v>1489</v>
      </c>
    </row>
    <row r="1498" spans="1:5">
      <c r="A1498">
        <f>HYPERLINK("http://www.twitter.com/nyc311/status/778955962543706112", "778955962543706112")</f>
        <v>0</v>
      </c>
      <c r="B1498" s="2">
        <v>42635.5804166667</v>
      </c>
      <c r="C1498">
        <v>0</v>
      </c>
      <c r="D1498">
        <v>0</v>
      </c>
      <c r="E1498" t="s">
        <v>1490</v>
      </c>
    </row>
    <row r="1499" spans="1:5">
      <c r="A1499">
        <f>HYPERLINK("http://www.twitter.com/nyc311/status/778700243277754368", "778700243277754368")</f>
        <v>0</v>
      </c>
      <c r="B1499" s="2">
        <v>42634.8747685185</v>
      </c>
      <c r="C1499">
        <v>0</v>
      </c>
      <c r="D1499">
        <v>0</v>
      </c>
      <c r="E1499" t="s">
        <v>1491</v>
      </c>
    </row>
    <row r="1500" spans="1:5">
      <c r="A1500">
        <f>HYPERLINK("http://www.twitter.com/nyc311/status/778700168682090497", "778700168682090497")</f>
        <v>0</v>
      </c>
      <c r="B1500" s="2">
        <v>42634.8745601852</v>
      </c>
      <c r="C1500">
        <v>0</v>
      </c>
      <c r="D1500">
        <v>0</v>
      </c>
      <c r="E1500" t="s">
        <v>1492</v>
      </c>
    </row>
    <row r="1501" spans="1:5">
      <c r="A1501">
        <f>HYPERLINK("http://www.twitter.com/nyc311/status/778698486145351680", "778698486145351680")</f>
        <v>0</v>
      </c>
      <c r="B1501" s="2">
        <v>42634.8699189815</v>
      </c>
      <c r="C1501">
        <v>0</v>
      </c>
      <c r="D1501">
        <v>0</v>
      </c>
      <c r="E1501" t="s">
        <v>1493</v>
      </c>
    </row>
    <row r="1502" spans="1:5">
      <c r="A1502">
        <f>HYPERLINK("http://www.twitter.com/nyc311/status/778692508691763200", "778692508691763200")</f>
        <v>0</v>
      </c>
      <c r="B1502" s="2">
        <v>42634.8534259259</v>
      </c>
      <c r="C1502">
        <v>0</v>
      </c>
      <c r="D1502">
        <v>0</v>
      </c>
      <c r="E1502" t="s">
        <v>1494</v>
      </c>
    </row>
    <row r="1503" spans="1:5">
      <c r="A1503">
        <f>HYPERLINK("http://www.twitter.com/nyc311/status/778690818534023172", "778690818534023172")</f>
        <v>0</v>
      </c>
      <c r="B1503" s="2">
        <v>42634.8487615741</v>
      </c>
      <c r="C1503">
        <v>0</v>
      </c>
      <c r="D1503">
        <v>0</v>
      </c>
      <c r="E1503" t="s">
        <v>1495</v>
      </c>
    </row>
    <row r="1504" spans="1:5">
      <c r="A1504">
        <f>HYPERLINK("http://www.twitter.com/nyc311/status/778686036255707137", "778686036255707137")</f>
        <v>0</v>
      </c>
      <c r="B1504" s="2">
        <v>42634.8355555556</v>
      </c>
      <c r="C1504">
        <v>1</v>
      </c>
      <c r="D1504">
        <v>0</v>
      </c>
      <c r="E1504" t="s">
        <v>295</v>
      </c>
    </row>
    <row r="1505" spans="1:5">
      <c r="A1505">
        <f>HYPERLINK("http://www.twitter.com/nyc311/status/778678475859255296", "778678475859255296")</f>
        <v>0</v>
      </c>
      <c r="B1505" s="2">
        <v>42634.8146990741</v>
      </c>
      <c r="C1505">
        <v>0</v>
      </c>
      <c r="D1505">
        <v>0</v>
      </c>
      <c r="E1505" t="s">
        <v>1496</v>
      </c>
    </row>
    <row r="1506" spans="1:5">
      <c r="A1506">
        <f>HYPERLINK("http://www.twitter.com/nyc311/status/778677746427834368", "778677746427834368")</f>
        <v>0</v>
      </c>
      <c r="B1506" s="2">
        <v>42634.8126851852</v>
      </c>
      <c r="C1506">
        <v>10</v>
      </c>
      <c r="D1506">
        <v>0</v>
      </c>
      <c r="E1506" t="s">
        <v>1497</v>
      </c>
    </row>
    <row r="1507" spans="1:5">
      <c r="A1507">
        <f>HYPERLINK("http://www.twitter.com/nyc311/status/778672859719864320", "778672859719864320")</f>
        <v>0</v>
      </c>
      <c r="B1507" s="2">
        <v>42634.7992013889</v>
      </c>
      <c r="C1507">
        <v>0</v>
      </c>
      <c r="D1507">
        <v>0</v>
      </c>
      <c r="E1507" t="s">
        <v>1498</v>
      </c>
    </row>
    <row r="1508" spans="1:5">
      <c r="A1508">
        <f>HYPERLINK("http://www.twitter.com/nyc311/status/778672418927902720", "778672418927902720")</f>
        <v>0</v>
      </c>
      <c r="B1508" s="2">
        <v>42634.7979861111</v>
      </c>
      <c r="C1508">
        <v>0</v>
      </c>
      <c r="D1508">
        <v>0</v>
      </c>
      <c r="E1508" t="s">
        <v>1499</v>
      </c>
    </row>
    <row r="1509" spans="1:5">
      <c r="A1509">
        <f>HYPERLINK("http://www.twitter.com/nyc311/status/778655830858227716", "778655830858227716")</f>
        <v>0</v>
      </c>
      <c r="B1509" s="2">
        <v>42634.7522106481</v>
      </c>
      <c r="C1509">
        <v>5</v>
      </c>
      <c r="D1509">
        <v>4</v>
      </c>
      <c r="E1509" t="s">
        <v>1500</v>
      </c>
    </row>
    <row r="1510" spans="1:5">
      <c r="A1510">
        <f>HYPERLINK("http://www.twitter.com/nyc311/status/778641355442716672", "778641355442716672")</f>
        <v>0</v>
      </c>
      <c r="B1510" s="2">
        <v>42634.7122685185</v>
      </c>
      <c r="C1510">
        <v>0</v>
      </c>
      <c r="D1510">
        <v>0</v>
      </c>
      <c r="E1510" t="s">
        <v>1501</v>
      </c>
    </row>
    <row r="1511" spans="1:5">
      <c r="A1511">
        <f>HYPERLINK("http://www.twitter.com/nyc311/status/778641183077785602", "778641183077785602")</f>
        <v>0</v>
      </c>
      <c r="B1511" s="2">
        <v>42634.7117939815</v>
      </c>
      <c r="C1511">
        <v>0</v>
      </c>
      <c r="D1511">
        <v>0</v>
      </c>
      <c r="E1511" t="s">
        <v>1502</v>
      </c>
    </row>
    <row r="1512" spans="1:5">
      <c r="A1512">
        <f>HYPERLINK("http://www.twitter.com/nyc311/status/778638606810419200", "778638606810419200")</f>
        <v>0</v>
      </c>
      <c r="B1512" s="2">
        <v>42634.7046759259</v>
      </c>
      <c r="C1512">
        <v>0</v>
      </c>
      <c r="D1512">
        <v>0</v>
      </c>
      <c r="E1512" t="s">
        <v>1503</v>
      </c>
    </row>
    <row r="1513" spans="1:5">
      <c r="A1513">
        <f>HYPERLINK("http://www.twitter.com/nyc311/status/778638108715778048", "778638108715778048")</f>
        <v>0</v>
      </c>
      <c r="B1513" s="2">
        <v>42634.7033101852</v>
      </c>
      <c r="C1513">
        <v>0</v>
      </c>
      <c r="D1513">
        <v>0</v>
      </c>
      <c r="E1513" t="s">
        <v>1504</v>
      </c>
    </row>
    <row r="1514" spans="1:5">
      <c r="A1514">
        <f>HYPERLINK("http://www.twitter.com/nyc311/status/778637928792719360", "778637928792719360")</f>
        <v>0</v>
      </c>
      <c r="B1514" s="2">
        <v>42634.7028125</v>
      </c>
      <c r="C1514">
        <v>0</v>
      </c>
      <c r="D1514">
        <v>0</v>
      </c>
      <c r="E1514" t="s">
        <v>1505</v>
      </c>
    </row>
    <row r="1515" spans="1:5">
      <c r="A1515">
        <f>HYPERLINK("http://www.twitter.com/nyc311/status/778625818276798464", "778625818276798464")</f>
        <v>0</v>
      </c>
      <c r="B1515" s="2">
        <v>42634.6693865741</v>
      </c>
      <c r="C1515">
        <v>5</v>
      </c>
      <c r="D1515">
        <v>3</v>
      </c>
      <c r="E1515" t="s">
        <v>1506</v>
      </c>
    </row>
    <row r="1516" spans="1:5">
      <c r="A1516">
        <f>HYPERLINK("http://www.twitter.com/nyc311/status/778623993259712512", "778623993259712512")</f>
        <v>0</v>
      </c>
      <c r="B1516" s="2">
        <v>42634.6643518519</v>
      </c>
      <c r="C1516">
        <v>0</v>
      </c>
      <c r="D1516">
        <v>0</v>
      </c>
      <c r="E1516" t="s">
        <v>1507</v>
      </c>
    </row>
    <row r="1517" spans="1:5">
      <c r="A1517">
        <f>HYPERLINK("http://www.twitter.com/nyc311/status/778623538714509312", "778623538714509312")</f>
        <v>0</v>
      </c>
      <c r="B1517" s="2">
        <v>42634.6631018519</v>
      </c>
      <c r="C1517">
        <v>0</v>
      </c>
      <c r="D1517">
        <v>0</v>
      </c>
      <c r="E1517" t="s">
        <v>1508</v>
      </c>
    </row>
    <row r="1518" spans="1:5">
      <c r="A1518">
        <f>HYPERLINK("http://www.twitter.com/nyc311/status/778622988820373504", "778622988820373504")</f>
        <v>0</v>
      </c>
      <c r="B1518" s="2">
        <v>42634.6615856482</v>
      </c>
      <c r="C1518">
        <v>0</v>
      </c>
      <c r="D1518">
        <v>0</v>
      </c>
      <c r="E1518" t="s">
        <v>1509</v>
      </c>
    </row>
    <row r="1519" spans="1:5">
      <c r="A1519">
        <f>HYPERLINK("http://www.twitter.com/nyc311/status/778621613638115328", "778621613638115328")</f>
        <v>0</v>
      </c>
      <c r="B1519" s="2">
        <v>42634.6577893519</v>
      </c>
      <c r="C1519">
        <v>0</v>
      </c>
      <c r="D1519">
        <v>0</v>
      </c>
      <c r="E1519" t="s">
        <v>1510</v>
      </c>
    </row>
    <row r="1520" spans="1:5">
      <c r="A1520">
        <f>HYPERLINK("http://www.twitter.com/nyc311/status/778621465734291456", "778621465734291456")</f>
        <v>0</v>
      </c>
      <c r="B1520" s="2">
        <v>42634.6573842593</v>
      </c>
      <c r="C1520">
        <v>0</v>
      </c>
      <c r="D1520">
        <v>0</v>
      </c>
      <c r="E1520" t="s">
        <v>1511</v>
      </c>
    </row>
    <row r="1521" spans="1:5">
      <c r="A1521">
        <f>HYPERLINK("http://www.twitter.com/nyc311/status/778609423006756865", "778609423006756865")</f>
        <v>0</v>
      </c>
      <c r="B1521" s="2">
        <v>42634.6241435185</v>
      </c>
      <c r="C1521">
        <v>0</v>
      </c>
      <c r="D1521">
        <v>0</v>
      </c>
      <c r="E1521" t="s">
        <v>1512</v>
      </c>
    </row>
    <row r="1522" spans="1:5">
      <c r="A1522">
        <f>HYPERLINK("http://www.twitter.com/nyc311/status/778600526028083200", "778600526028083200")</f>
        <v>0</v>
      </c>
      <c r="B1522" s="2">
        <v>42634.5995949074</v>
      </c>
      <c r="C1522">
        <v>1</v>
      </c>
      <c r="D1522">
        <v>0</v>
      </c>
      <c r="E1522" t="s">
        <v>1513</v>
      </c>
    </row>
    <row r="1523" spans="1:5">
      <c r="A1523">
        <f>HYPERLINK("http://www.twitter.com/nyc311/status/778597802784030720", "778597802784030720")</f>
        <v>0</v>
      </c>
      <c r="B1523" s="2">
        <v>42634.5920833333</v>
      </c>
      <c r="C1523">
        <v>1</v>
      </c>
      <c r="D1523">
        <v>0</v>
      </c>
      <c r="E1523" t="s">
        <v>1514</v>
      </c>
    </row>
    <row r="1524" spans="1:5">
      <c r="A1524">
        <f>HYPERLINK("http://www.twitter.com/nyc311/status/778595552351154176", "778595552351154176")</f>
        <v>0</v>
      </c>
      <c r="B1524" s="2">
        <v>42634.5858680556</v>
      </c>
      <c r="C1524">
        <v>4</v>
      </c>
      <c r="D1524">
        <v>9</v>
      </c>
      <c r="E1524" t="s">
        <v>294</v>
      </c>
    </row>
    <row r="1525" spans="1:5">
      <c r="A1525">
        <f>HYPERLINK("http://www.twitter.com/nyc311/status/778346562862874624", "778346562862874624")</f>
        <v>0</v>
      </c>
      <c r="B1525" s="2">
        <v>42633.8987962963</v>
      </c>
      <c r="C1525">
        <v>0</v>
      </c>
      <c r="D1525">
        <v>0</v>
      </c>
      <c r="E1525" t="s">
        <v>1515</v>
      </c>
    </row>
    <row r="1526" spans="1:5">
      <c r="A1526">
        <f>HYPERLINK("http://www.twitter.com/nyc311/status/778335311260684288", "778335311260684288")</f>
        <v>0</v>
      </c>
      <c r="B1526" s="2">
        <v>42633.8677430556</v>
      </c>
      <c r="C1526">
        <v>0</v>
      </c>
      <c r="D1526">
        <v>0</v>
      </c>
      <c r="E1526" t="s">
        <v>1516</v>
      </c>
    </row>
    <row r="1527" spans="1:5">
      <c r="A1527">
        <f>HYPERLINK("http://www.twitter.com/nyc311/status/778334553228382213", "778334553228382213")</f>
        <v>0</v>
      </c>
      <c r="B1527" s="2">
        <v>42633.8656481481</v>
      </c>
      <c r="C1527">
        <v>0</v>
      </c>
      <c r="D1527">
        <v>0</v>
      </c>
      <c r="E1527" t="s">
        <v>1517</v>
      </c>
    </row>
    <row r="1528" spans="1:5">
      <c r="A1528">
        <f>HYPERLINK("http://www.twitter.com/nyc311/status/778323567788392448", "778323567788392448")</f>
        <v>0</v>
      </c>
      <c r="B1528" s="2">
        <v>42633.8353356481</v>
      </c>
      <c r="C1528">
        <v>1</v>
      </c>
      <c r="D1528">
        <v>1</v>
      </c>
      <c r="E1528" t="s">
        <v>1518</v>
      </c>
    </row>
    <row r="1529" spans="1:5">
      <c r="A1529">
        <f>HYPERLINK("http://www.twitter.com/nyc311/status/778301958184660992", "778301958184660992")</f>
        <v>0</v>
      </c>
      <c r="B1529" s="2">
        <v>42633.7757060185</v>
      </c>
      <c r="C1529">
        <v>0</v>
      </c>
      <c r="D1529">
        <v>0</v>
      </c>
      <c r="E1529" t="s">
        <v>1519</v>
      </c>
    </row>
    <row r="1530" spans="1:5">
      <c r="A1530">
        <f>HYPERLINK("http://www.twitter.com/nyc311/status/778300349383905280", "778300349383905280")</f>
        <v>0</v>
      </c>
      <c r="B1530" s="2">
        <v>42633.7712731482</v>
      </c>
      <c r="C1530">
        <v>0</v>
      </c>
      <c r="D1530">
        <v>0</v>
      </c>
      <c r="E1530" t="s">
        <v>1520</v>
      </c>
    </row>
    <row r="1531" spans="1:5">
      <c r="A1531">
        <f>HYPERLINK("http://www.twitter.com/nyc311/status/778298308754345984", "778298308754345984")</f>
        <v>0</v>
      </c>
      <c r="B1531" s="2">
        <v>42633.7656365741</v>
      </c>
      <c r="C1531">
        <v>0</v>
      </c>
      <c r="D1531">
        <v>0</v>
      </c>
      <c r="E1531" t="s">
        <v>1521</v>
      </c>
    </row>
    <row r="1532" spans="1:5">
      <c r="A1532">
        <f>HYPERLINK("http://www.twitter.com/nyc311/status/778297905505570820", "778297905505570820")</f>
        <v>0</v>
      </c>
      <c r="B1532" s="2">
        <v>42633.764525463</v>
      </c>
      <c r="C1532">
        <v>0</v>
      </c>
      <c r="D1532">
        <v>0</v>
      </c>
      <c r="E1532" t="s">
        <v>1522</v>
      </c>
    </row>
    <row r="1533" spans="1:5">
      <c r="A1533">
        <f>HYPERLINK("http://www.twitter.com/nyc311/status/778293428232790016", "778293428232790016")</f>
        <v>0</v>
      </c>
      <c r="B1533" s="2">
        <v>42633.7521643518</v>
      </c>
      <c r="C1533">
        <v>5</v>
      </c>
      <c r="D1533">
        <v>3</v>
      </c>
      <c r="E1533" t="s">
        <v>1523</v>
      </c>
    </row>
    <row r="1534" spans="1:5">
      <c r="A1534">
        <f>HYPERLINK("http://www.twitter.com/nyc311/status/778277773702037508", "778277773702037508")</f>
        <v>0</v>
      </c>
      <c r="B1534" s="2">
        <v>42633.7089699074</v>
      </c>
      <c r="C1534">
        <v>9</v>
      </c>
      <c r="D1534">
        <v>9</v>
      </c>
      <c r="E1534" t="s">
        <v>1524</v>
      </c>
    </row>
    <row r="1535" spans="1:5">
      <c r="A1535">
        <f>HYPERLINK("http://www.twitter.com/nyc311/status/778268976728145920", "778268976728145920")</f>
        <v>0</v>
      </c>
      <c r="B1535" s="2">
        <v>42633.6846990741</v>
      </c>
      <c r="C1535">
        <v>0</v>
      </c>
      <c r="D1535">
        <v>0</v>
      </c>
      <c r="E1535" t="s">
        <v>1525</v>
      </c>
    </row>
    <row r="1536" spans="1:5">
      <c r="A1536">
        <f>HYPERLINK("http://www.twitter.com/nyc311/status/778263106770309120", "778263106770309120")</f>
        <v>0</v>
      </c>
      <c r="B1536" s="2">
        <v>42633.6684953704</v>
      </c>
      <c r="C1536">
        <v>0</v>
      </c>
      <c r="D1536">
        <v>0</v>
      </c>
      <c r="E1536" t="s">
        <v>1526</v>
      </c>
    </row>
    <row r="1537" spans="1:5">
      <c r="A1537">
        <f>HYPERLINK("http://www.twitter.com/nyc311/status/778247150148943872", "778247150148943872")</f>
        <v>0</v>
      </c>
      <c r="B1537" s="2">
        <v>42633.6244675926</v>
      </c>
      <c r="C1537">
        <v>0</v>
      </c>
      <c r="D1537">
        <v>0</v>
      </c>
      <c r="E1537" t="s">
        <v>1527</v>
      </c>
    </row>
    <row r="1538" spans="1:5">
      <c r="A1538">
        <f>HYPERLINK("http://www.twitter.com/nyc311/status/778246956116238336", "778246956116238336")</f>
        <v>0</v>
      </c>
      <c r="B1538" s="2">
        <v>42633.6239351852</v>
      </c>
      <c r="C1538">
        <v>0</v>
      </c>
      <c r="D1538">
        <v>0</v>
      </c>
      <c r="E1538" t="s">
        <v>1528</v>
      </c>
    </row>
    <row r="1539" spans="1:5">
      <c r="A1539">
        <f>HYPERLINK("http://www.twitter.com/nyc311/status/778245323227529216", "778245323227529216")</f>
        <v>0</v>
      </c>
      <c r="B1539" s="2">
        <v>42633.6194212963</v>
      </c>
      <c r="C1539">
        <v>0</v>
      </c>
      <c r="D1539">
        <v>0</v>
      </c>
      <c r="E1539" t="s">
        <v>1529</v>
      </c>
    </row>
    <row r="1540" spans="1:5">
      <c r="A1540">
        <f>HYPERLINK("http://www.twitter.com/nyc311/status/778245178943533056", "778245178943533056")</f>
        <v>0</v>
      </c>
      <c r="B1540" s="2">
        <v>42633.6190277778</v>
      </c>
      <c r="C1540">
        <v>0</v>
      </c>
      <c r="D1540">
        <v>0</v>
      </c>
      <c r="E1540" t="s">
        <v>1530</v>
      </c>
    </row>
    <row r="1541" spans="1:5">
      <c r="A1541">
        <f>HYPERLINK("http://www.twitter.com/nyc311/status/778243466430210048", "778243466430210048")</f>
        <v>0</v>
      </c>
      <c r="B1541" s="2">
        <v>42633.6143055556</v>
      </c>
      <c r="C1541">
        <v>1</v>
      </c>
      <c r="D1541">
        <v>0</v>
      </c>
      <c r="E1541" t="s">
        <v>1531</v>
      </c>
    </row>
    <row r="1542" spans="1:5">
      <c r="A1542">
        <f>HYPERLINK("http://www.twitter.com/nyc311/status/778241438085705729", "778241438085705729")</f>
        <v>0</v>
      </c>
      <c r="B1542" s="2">
        <v>42633.6087037037</v>
      </c>
      <c r="C1542">
        <v>0</v>
      </c>
      <c r="D1542">
        <v>0</v>
      </c>
      <c r="E1542" t="s">
        <v>1532</v>
      </c>
    </row>
    <row r="1543" spans="1:5">
      <c r="A1543">
        <f>HYPERLINK("http://www.twitter.com/nyc311/status/778241139094749184", "778241139094749184")</f>
        <v>0</v>
      </c>
      <c r="B1543" s="2">
        <v>42633.6078819444</v>
      </c>
      <c r="C1543">
        <v>0</v>
      </c>
      <c r="D1543">
        <v>0</v>
      </c>
      <c r="E1543" t="s">
        <v>1533</v>
      </c>
    </row>
    <row r="1544" spans="1:5">
      <c r="A1544">
        <f>HYPERLINK("http://www.twitter.com/nyc311/status/778238560902213632", "778238560902213632")</f>
        <v>0</v>
      </c>
      <c r="B1544" s="2">
        <v>42633.6007638889</v>
      </c>
      <c r="C1544">
        <v>0</v>
      </c>
      <c r="D1544">
        <v>0</v>
      </c>
      <c r="E1544" t="s">
        <v>1534</v>
      </c>
    </row>
    <row r="1545" spans="1:5">
      <c r="A1545">
        <f>HYPERLINK("http://www.twitter.com/nyc311/status/778237916405530624", "778237916405530624")</f>
        <v>0</v>
      </c>
      <c r="B1545" s="2">
        <v>42633.5989814815</v>
      </c>
      <c r="C1545">
        <v>0</v>
      </c>
      <c r="D1545">
        <v>0</v>
      </c>
      <c r="E1545" t="s">
        <v>1535</v>
      </c>
    </row>
    <row r="1546" spans="1:5">
      <c r="A1546">
        <f>HYPERLINK("http://www.twitter.com/nyc311/status/778237401714008064", "778237401714008064")</f>
        <v>0</v>
      </c>
      <c r="B1546" s="2">
        <v>42633.5975694444</v>
      </c>
      <c r="C1546">
        <v>0</v>
      </c>
      <c r="D1546">
        <v>0</v>
      </c>
      <c r="E1546" t="s">
        <v>1536</v>
      </c>
    </row>
    <row r="1547" spans="1:5">
      <c r="A1547">
        <f>HYPERLINK("http://www.twitter.com/nyc311/status/778237304880128000", "778237304880128000")</f>
        <v>0</v>
      </c>
      <c r="B1547" s="2">
        <v>42633.5973032407</v>
      </c>
      <c r="C1547">
        <v>0</v>
      </c>
      <c r="D1547">
        <v>0</v>
      </c>
      <c r="E1547" t="s">
        <v>1537</v>
      </c>
    </row>
    <row r="1548" spans="1:5">
      <c r="A1548">
        <f>HYPERLINK("http://www.twitter.com/nyc311/status/778233548939681792", "778233548939681792")</f>
        <v>0</v>
      </c>
      <c r="B1548" s="2">
        <v>42633.5869328704</v>
      </c>
      <c r="C1548">
        <v>0</v>
      </c>
      <c r="D1548">
        <v>0</v>
      </c>
      <c r="E1548" t="s">
        <v>1538</v>
      </c>
    </row>
    <row r="1549" spans="1:5">
      <c r="A1549">
        <f>HYPERLINK("http://www.twitter.com/nyc311/status/778233057048457216", "778233057048457216")</f>
        <v>0</v>
      </c>
      <c r="B1549" s="2">
        <v>42633.5855787037</v>
      </c>
      <c r="C1549">
        <v>1</v>
      </c>
      <c r="D1549">
        <v>1</v>
      </c>
      <c r="E1549" t="s">
        <v>1539</v>
      </c>
    </row>
    <row r="1550" spans="1:5">
      <c r="A1550">
        <f>HYPERLINK("http://www.twitter.com/nyc311/status/778232344444633088", "778232344444633088")</f>
        <v>0</v>
      </c>
      <c r="B1550" s="2">
        <v>42633.5836111111</v>
      </c>
      <c r="C1550">
        <v>0</v>
      </c>
      <c r="D1550">
        <v>0</v>
      </c>
      <c r="E1550" t="s">
        <v>1540</v>
      </c>
    </row>
    <row r="1551" spans="1:5">
      <c r="A1551">
        <f>HYPERLINK("http://www.twitter.com/nyc311/status/778228735384424448", "778228735384424448")</f>
        <v>0</v>
      </c>
      <c r="B1551" s="2">
        <v>42633.5736458333</v>
      </c>
      <c r="C1551">
        <v>0</v>
      </c>
      <c r="D1551">
        <v>0</v>
      </c>
      <c r="E1551" t="s">
        <v>1541</v>
      </c>
    </row>
    <row r="1552" spans="1:5">
      <c r="A1552">
        <f>HYPERLINK("http://www.twitter.com/nyc311/status/777981687590510592", "777981687590510592")</f>
        <v>0</v>
      </c>
      <c r="B1552" s="2">
        <v>42632.8919328704</v>
      </c>
      <c r="C1552">
        <v>0</v>
      </c>
      <c r="D1552">
        <v>0</v>
      </c>
      <c r="E1552" t="s">
        <v>1542</v>
      </c>
    </row>
    <row r="1553" spans="1:5">
      <c r="A1553">
        <f>HYPERLINK("http://www.twitter.com/nyc311/status/777961017695358976", "777961017695358976")</f>
        <v>0</v>
      </c>
      <c r="B1553" s="2">
        <v>42632.8348958333</v>
      </c>
      <c r="C1553">
        <v>1</v>
      </c>
      <c r="D1553">
        <v>0</v>
      </c>
      <c r="E1553" t="s">
        <v>1543</v>
      </c>
    </row>
    <row r="1554" spans="1:5">
      <c r="A1554">
        <f>HYPERLINK("http://www.twitter.com/nyc311/status/777960094109724672", "777960094109724672")</f>
        <v>0</v>
      </c>
      <c r="B1554" s="2">
        <v>42632.832337963</v>
      </c>
      <c r="C1554">
        <v>0</v>
      </c>
      <c r="D1554">
        <v>0</v>
      </c>
      <c r="E1554" t="s">
        <v>1544</v>
      </c>
    </row>
    <row r="1555" spans="1:5">
      <c r="A1555">
        <f>HYPERLINK("http://www.twitter.com/nyc311/status/777959570723438592", "777959570723438592")</f>
        <v>0</v>
      </c>
      <c r="B1555" s="2">
        <v>42632.8309027778</v>
      </c>
      <c r="C1555">
        <v>0</v>
      </c>
      <c r="D1555">
        <v>0</v>
      </c>
      <c r="E1555" t="s">
        <v>1545</v>
      </c>
    </row>
    <row r="1556" spans="1:5">
      <c r="A1556">
        <f>HYPERLINK("http://www.twitter.com/nyc311/status/777952011056807936", "777952011056807936")</f>
        <v>0</v>
      </c>
      <c r="B1556" s="2">
        <v>42632.8100347222</v>
      </c>
      <c r="C1556">
        <v>0</v>
      </c>
      <c r="D1556">
        <v>0</v>
      </c>
      <c r="E1556" t="s">
        <v>1546</v>
      </c>
    </row>
    <row r="1557" spans="1:5">
      <c r="A1557">
        <f>HYPERLINK("http://www.twitter.com/nyc311/status/777950894436577280", "777950894436577280")</f>
        <v>0</v>
      </c>
      <c r="B1557" s="2">
        <v>42632.8069560185</v>
      </c>
      <c r="C1557">
        <v>0</v>
      </c>
      <c r="D1557">
        <v>0</v>
      </c>
      <c r="E1557" t="s">
        <v>1547</v>
      </c>
    </row>
    <row r="1558" spans="1:5">
      <c r="A1558">
        <f>HYPERLINK("http://www.twitter.com/nyc311/status/777948891794837506", "777948891794837506")</f>
        <v>0</v>
      </c>
      <c r="B1558" s="2">
        <v>42632.8014351852</v>
      </c>
      <c r="C1558">
        <v>1</v>
      </c>
      <c r="D1558">
        <v>0</v>
      </c>
      <c r="E1558" t="s">
        <v>1548</v>
      </c>
    </row>
    <row r="1559" spans="1:5">
      <c r="A1559">
        <f>HYPERLINK("http://www.twitter.com/nyc311/status/777947835429945345", "777947835429945345")</f>
        <v>0</v>
      </c>
      <c r="B1559" s="2">
        <v>42632.7985185185</v>
      </c>
      <c r="C1559">
        <v>0</v>
      </c>
      <c r="D1559">
        <v>0</v>
      </c>
      <c r="E1559" t="s">
        <v>1549</v>
      </c>
    </row>
    <row r="1560" spans="1:5">
      <c r="A1560">
        <f>HYPERLINK("http://www.twitter.com/nyc311/status/777930956925726721", "777930956925726721")</f>
        <v>0</v>
      </c>
      <c r="B1560" s="2">
        <v>42632.7519444444</v>
      </c>
      <c r="C1560">
        <v>1</v>
      </c>
      <c r="D1560">
        <v>1</v>
      </c>
      <c r="E1560" t="s">
        <v>1550</v>
      </c>
    </row>
    <row r="1561" spans="1:5">
      <c r="A1561">
        <f>HYPERLINK("http://www.twitter.com/nyc311/status/777924607340847104", "777924607340847104")</f>
        <v>0</v>
      </c>
      <c r="B1561" s="2">
        <v>42632.7344212963</v>
      </c>
      <c r="C1561">
        <v>0</v>
      </c>
      <c r="D1561">
        <v>54</v>
      </c>
      <c r="E1561" t="s">
        <v>1551</v>
      </c>
    </row>
    <row r="1562" spans="1:5">
      <c r="A1562">
        <f>HYPERLINK("http://www.twitter.com/nyc311/status/777919466147545088", "777919466147545088")</f>
        <v>0</v>
      </c>
      <c r="B1562" s="2">
        <v>42632.7202314815</v>
      </c>
      <c r="C1562">
        <v>0</v>
      </c>
      <c r="D1562">
        <v>0</v>
      </c>
      <c r="E1562" t="s">
        <v>1552</v>
      </c>
    </row>
    <row r="1563" spans="1:5">
      <c r="A1563">
        <f>HYPERLINK("http://www.twitter.com/nyc311/status/777907808599695360", "777907808599695360")</f>
        <v>0</v>
      </c>
      <c r="B1563" s="2">
        <v>42632.6880671296</v>
      </c>
      <c r="C1563">
        <v>0</v>
      </c>
      <c r="D1563">
        <v>0</v>
      </c>
      <c r="E1563" t="s">
        <v>1553</v>
      </c>
    </row>
    <row r="1564" spans="1:5">
      <c r="A1564">
        <f>HYPERLINK("http://www.twitter.com/nyc311/status/777906029468196864", "777906029468196864")</f>
        <v>0</v>
      </c>
      <c r="B1564" s="2">
        <v>42632.6831481481</v>
      </c>
      <c r="C1564">
        <v>0</v>
      </c>
      <c r="D1564">
        <v>0</v>
      </c>
      <c r="E1564" t="s">
        <v>1554</v>
      </c>
    </row>
    <row r="1565" spans="1:5">
      <c r="A1565">
        <f>HYPERLINK("http://www.twitter.com/nyc311/status/777904215242973184", "777904215242973184")</f>
        <v>0</v>
      </c>
      <c r="B1565" s="2">
        <v>42632.6781481481</v>
      </c>
      <c r="C1565">
        <v>0</v>
      </c>
      <c r="D1565">
        <v>0</v>
      </c>
      <c r="E1565" t="s">
        <v>1555</v>
      </c>
    </row>
    <row r="1566" spans="1:5">
      <c r="A1566">
        <f>HYPERLINK("http://www.twitter.com/nyc311/status/777900206759313409", "777900206759313409")</f>
        <v>0</v>
      </c>
      <c r="B1566" s="2">
        <v>42632.6670833333</v>
      </c>
      <c r="C1566">
        <v>3</v>
      </c>
      <c r="D1566">
        <v>2</v>
      </c>
      <c r="E1566" t="s">
        <v>1556</v>
      </c>
    </row>
    <row r="1567" spans="1:5">
      <c r="A1567">
        <f>HYPERLINK("http://www.twitter.com/nyc311/status/777893991765475328", "777893991765475328")</f>
        <v>0</v>
      </c>
      <c r="B1567" s="2">
        <v>42632.6499305556</v>
      </c>
      <c r="C1567">
        <v>0</v>
      </c>
      <c r="D1567">
        <v>0</v>
      </c>
      <c r="E1567" t="s">
        <v>1557</v>
      </c>
    </row>
    <row r="1568" spans="1:5">
      <c r="A1568">
        <f>HYPERLINK("http://www.twitter.com/nyc311/status/777891336229879808", "777891336229879808")</f>
        <v>0</v>
      </c>
      <c r="B1568" s="2">
        <v>42632.6426041667</v>
      </c>
      <c r="C1568">
        <v>0</v>
      </c>
      <c r="D1568">
        <v>0</v>
      </c>
      <c r="E1568" t="s">
        <v>1558</v>
      </c>
    </row>
    <row r="1569" spans="1:5">
      <c r="A1569">
        <f>HYPERLINK("http://www.twitter.com/nyc311/status/777887950264754176", "777887950264754176")</f>
        <v>0</v>
      </c>
      <c r="B1569" s="2">
        <v>42632.6332638889</v>
      </c>
      <c r="C1569">
        <v>0</v>
      </c>
      <c r="D1569">
        <v>0</v>
      </c>
      <c r="E1569" t="s">
        <v>1559</v>
      </c>
    </row>
    <row r="1570" spans="1:5">
      <c r="A1570">
        <f>HYPERLINK("http://www.twitter.com/nyc311/status/777887488371286016", "777887488371286016")</f>
        <v>0</v>
      </c>
      <c r="B1570" s="2">
        <v>42632.6319907407</v>
      </c>
      <c r="C1570">
        <v>0</v>
      </c>
      <c r="D1570">
        <v>0</v>
      </c>
      <c r="E1570" t="s">
        <v>1560</v>
      </c>
    </row>
    <row r="1571" spans="1:5">
      <c r="A1571">
        <f>HYPERLINK("http://www.twitter.com/nyc311/status/777885167453106176", "777885167453106176")</f>
        <v>0</v>
      </c>
      <c r="B1571" s="2">
        <v>42632.6255787037</v>
      </c>
      <c r="C1571">
        <v>5</v>
      </c>
      <c r="D1571">
        <v>4</v>
      </c>
      <c r="E1571" t="s">
        <v>1303</v>
      </c>
    </row>
    <row r="1572" spans="1:5">
      <c r="A1572">
        <f>HYPERLINK("http://www.twitter.com/nyc311/status/777883992506982400", "777883992506982400")</f>
        <v>0</v>
      </c>
      <c r="B1572" s="2">
        <v>42632.622337963</v>
      </c>
      <c r="C1572">
        <v>0</v>
      </c>
      <c r="D1572">
        <v>0</v>
      </c>
      <c r="E1572" t="s">
        <v>1561</v>
      </c>
    </row>
    <row r="1573" spans="1:5">
      <c r="A1573">
        <f>HYPERLINK("http://www.twitter.com/nyc311/status/777881704274993153", "777881704274993153")</f>
        <v>0</v>
      </c>
      <c r="B1573" s="2">
        <v>42632.6160300926</v>
      </c>
      <c r="C1573">
        <v>0</v>
      </c>
      <c r="D1573">
        <v>0</v>
      </c>
      <c r="E1573" t="s">
        <v>1562</v>
      </c>
    </row>
    <row r="1574" spans="1:5">
      <c r="A1574">
        <f>HYPERLINK("http://www.twitter.com/nyc311/status/777881219195342849", "777881219195342849")</f>
        <v>0</v>
      </c>
      <c r="B1574" s="2">
        <v>42632.6146875</v>
      </c>
      <c r="C1574">
        <v>1</v>
      </c>
      <c r="D1574">
        <v>0</v>
      </c>
      <c r="E1574" t="s">
        <v>1563</v>
      </c>
    </row>
    <row r="1575" spans="1:5">
      <c r="A1575">
        <f>HYPERLINK("http://www.twitter.com/nyc311/status/777879693747953664", "777879693747953664")</f>
        <v>0</v>
      </c>
      <c r="B1575" s="2">
        <v>42632.610474537</v>
      </c>
      <c r="C1575">
        <v>1</v>
      </c>
      <c r="D1575">
        <v>0</v>
      </c>
      <c r="E1575" t="s">
        <v>1564</v>
      </c>
    </row>
    <row r="1576" spans="1:5">
      <c r="A1576">
        <f>HYPERLINK("http://www.twitter.com/nyc311/status/777879632959930369", "777879632959930369")</f>
        <v>0</v>
      </c>
      <c r="B1576" s="2">
        <v>42632.6103125</v>
      </c>
      <c r="C1576">
        <v>1</v>
      </c>
      <c r="D1576">
        <v>0</v>
      </c>
      <c r="E1576" t="s">
        <v>1565</v>
      </c>
    </row>
    <row r="1577" spans="1:5">
      <c r="A1577">
        <f>HYPERLINK("http://www.twitter.com/nyc311/status/777875062242369536", "777875062242369536")</f>
        <v>0</v>
      </c>
      <c r="B1577" s="2">
        <v>42632.5976967593</v>
      </c>
      <c r="C1577">
        <v>0</v>
      </c>
      <c r="D1577">
        <v>0</v>
      </c>
      <c r="E1577" t="s">
        <v>1566</v>
      </c>
    </row>
    <row r="1578" spans="1:5">
      <c r="A1578">
        <f>HYPERLINK("http://www.twitter.com/nyc311/status/777874439165837312", "777874439165837312")</f>
        <v>0</v>
      </c>
      <c r="B1578" s="2">
        <v>42632.5959837963</v>
      </c>
      <c r="C1578">
        <v>1</v>
      </c>
      <c r="D1578">
        <v>0</v>
      </c>
      <c r="E1578" t="s">
        <v>1567</v>
      </c>
    </row>
    <row r="1579" spans="1:5">
      <c r="A1579">
        <f>HYPERLINK("http://www.twitter.com/nyc311/status/777873978132140032", "777873978132140032")</f>
        <v>0</v>
      </c>
      <c r="B1579" s="2">
        <v>42632.5947106481</v>
      </c>
      <c r="C1579">
        <v>1</v>
      </c>
      <c r="D1579">
        <v>0</v>
      </c>
      <c r="E1579" t="s">
        <v>1568</v>
      </c>
    </row>
    <row r="1580" spans="1:5">
      <c r="A1580">
        <f>HYPERLINK("http://www.twitter.com/nyc311/status/777873190890643456", "777873190890643456")</f>
        <v>0</v>
      </c>
      <c r="B1580" s="2">
        <v>42632.5925347222</v>
      </c>
      <c r="C1580">
        <v>0</v>
      </c>
      <c r="D1580">
        <v>0</v>
      </c>
      <c r="E1580" t="s">
        <v>1569</v>
      </c>
    </row>
    <row r="1581" spans="1:5">
      <c r="A1581">
        <f>HYPERLINK("http://www.twitter.com/nyc311/status/777872902905597952", "777872902905597952")</f>
        <v>0</v>
      </c>
      <c r="B1581" s="2">
        <v>42632.5917361111</v>
      </c>
      <c r="C1581">
        <v>0</v>
      </c>
      <c r="D1581">
        <v>0</v>
      </c>
      <c r="E1581" t="s">
        <v>1570</v>
      </c>
    </row>
    <row r="1582" spans="1:5">
      <c r="A1582">
        <f>HYPERLINK("http://www.twitter.com/nyc311/status/777872777026166784", "777872777026166784")</f>
        <v>0</v>
      </c>
      <c r="B1582" s="2">
        <v>42632.5913888889</v>
      </c>
      <c r="C1582">
        <v>0</v>
      </c>
      <c r="D1582">
        <v>0</v>
      </c>
      <c r="E1582" t="s">
        <v>1571</v>
      </c>
    </row>
    <row r="1583" spans="1:5">
      <c r="A1583">
        <f>HYPERLINK("http://www.twitter.com/nyc311/status/777871695843618816", "777871695843618816")</f>
        <v>0</v>
      </c>
      <c r="B1583" s="2">
        <v>42632.5884143518</v>
      </c>
      <c r="C1583">
        <v>0</v>
      </c>
      <c r="D1583">
        <v>0</v>
      </c>
      <c r="E1583" t="s">
        <v>1572</v>
      </c>
    </row>
    <row r="1584" spans="1:5">
      <c r="A1584">
        <f>HYPERLINK("http://www.twitter.com/nyc311/status/777871334898593792", "777871334898593792")</f>
        <v>0</v>
      </c>
      <c r="B1584" s="2">
        <v>42632.5874189815</v>
      </c>
      <c r="C1584">
        <v>0</v>
      </c>
      <c r="D1584">
        <v>0</v>
      </c>
      <c r="E1584" t="s">
        <v>1573</v>
      </c>
    </row>
    <row r="1585" spans="1:5">
      <c r="A1585">
        <f>HYPERLINK("http://www.twitter.com/nyc311/status/777870843959451648", "777870843959451648")</f>
        <v>0</v>
      </c>
      <c r="B1585" s="2">
        <v>42632.5860532407</v>
      </c>
      <c r="C1585">
        <v>0</v>
      </c>
      <c r="D1585">
        <v>0</v>
      </c>
      <c r="E1585" t="s">
        <v>1574</v>
      </c>
    </row>
    <row r="1586" spans="1:5">
      <c r="A1586">
        <f>HYPERLINK("http://www.twitter.com/nyc311/status/777870044642611200", "777870044642611200")</f>
        <v>0</v>
      </c>
      <c r="B1586" s="2">
        <v>42632.5838541667</v>
      </c>
      <c r="C1586">
        <v>4</v>
      </c>
      <c r="D1586">
        <v>11</v>
      </c>
      <c r="E1586" t="s">
        <v>1575</v>
      </c>
    </row>
    <row r="1587" spans="1:5">
      <c r="A1587">
        <f>HYPERLINK("http://www.twitter.com/nyc311/status/777869565397200896", "777869565397200896")</f>
        <v>0</v>
      </c>
      <c r="B1587" s="2">
        <v>42632.5825347222</v>
      </c>
      <c r="C1587">
        <v>0</v>
      </c>
      <c r="D1587">
        <v>0</v>
      </c>
      <c r="E1587" t="s">
        <v>1576</v>
      </c>
    </row>
    <row r="1588" spans="1:5">
      <c r="A1588">
        <f>HYPERLINK("http://www.twitter.com/nyc311/status/777869117441343488", "777869117441343488")</f>
        <v>0</v>
      </c>
      <c r="B1588" s="2">
        <v>42632.5812962963</v>
      </c>
      <c r="C1588">
        <v>0</v>
      </c>
      <c r="D1588">
        <v>0</v>
      </c>
      <c r="E1588" t="s">
        <v>1577</v>
      </c>
    </row>
    <row r="1589" spans="1:5">
      <c r="A1589">
        <f>HYPERLINK("http://www.twitter.com/nyc311/status/777867802724163584", "777867802724163584")</f>
        <v>0</v>
      </c>
      <c r="B1589" s="2">
        <v>42632.577662037</v>
      </c>
      <c r="C1589">
        <v>0</v>
      </c>
      <c r="D1589">
        <v>73</v>
      </c>
      <c r="E1589" t="s">
        <v>1578</v>
      </c>
    </row>
    <row r="1590" spans="1:5">
      <c r="A1590">
        <f>HYPERLINK("http://www.twitter.com/nyc311/status/777866770430427136", "777866770430427136")</f>
        <v>0</v>
      </c>
      <c r="B1590" s="2">
        <v>42632.5748148148</v>
      </c>
      <c r="C1590">
        <v>0</v>
      </c>
      <c r="D1590">
        <v>0</v>
      </c>
      <c r="E1590" t="s">
        <v>1579</v>
      </c>
    </row>
    <row r="1591" spans="1:5">
      <c r="A1591">
        <f>HYPERLINK("http://www.twitter.com/nyc311/status/777843554706190337", "777843554706190337")</f>
        <v>0</v>
      </c>
      <c r="B1591" s="2">
        <v>42632.5107523148</v>
      </c>
      <c r="C1591">
        <v>0</v>
      </c>
      <c r="D1591">
        <v>1053</v>
      </c>
      <c r="E1591" t="s">
        <v>1580</v>
      </c>
    </row>
    <row r="1592" spans="1:5">
      <c r="A1592">
        <f>HYPERLINK("http://www.twitter.com/nyc311/status/777679131198779392", "777679131198779392")</f>
        <v>0</v>
      </c>
      <c r="B1592" s="2">
        <v>42632.057037037</v>
      </c>
      <c r="C1592">
        <v>0</v>
      </c>
      <c r="D1592">
        <v>89</v>
      </c>
      <c r="E1592" t="s">
        <v>1581</v>
      </c>
    </row>
    <row r="1593" spans="1:5">
      <c r="A1593">
        <f>HYPERLINK("http://www.twitter.com/nyc311/status/777598437164539904", "777598437164539904")</f>
        <v>0</v>
      </c>
      <c r="B1593" s="2">
        <v>42631.8343634259</v>
      </c>
      <c r="C1593">
        <v>2</v>
      </c>
      <c r="D1593">
        <v>1</v>
      </c>
      <c r="E1593" t="s">
        <v>1582</v>
      </c>
    </row>
    <row r="1594" spans="1:5">
      <c r="A1594">
        <f>HYPERLINK("http://www.twitter.com/nyc311/status/777568308245696516", "777568308245696516")</f>
        <v>0</v>
      </c>
      <c r="B1594" s="2">
        <v>42631.7512152778</v>
      </c>
      <c r="C1594">
        <v>2</v>
      </c>
      <c r="D1594">
        <v>3</v>
      </c>
      <c r="E1594" t="s">
        <v>1583</v>
      </c>
    </row>
    <row r="1595" spans="1:5">
      <c r="A1595">
        <f>HYPERLINK("http://www.twitter.com/nyc311/status/777559812553007105", "777559812553007105")</f>
        <v>0</v>
      </c>
      <c r="B1595" s="2">
        <v>42631.7277777778</v>
      </c>
      <c r="C1595">
        <v>6</v>
      </c>
      <c r="D1595">
        <v>6</v>
      </c>
      <c r="E1595" t="s">
        <v>1584</v>
      </c>
    </row>
    <row r="1596" spans="1:5">
      <c r="A1596">
        <f>HYPERLINK("http://www.twitter.com/nyc311/status/777553612008464384", "777553612008464384")</f>
        <v>0</v>
      </c>
      <c r="B1596" s="2">
        <v>42631.7106712963</v>
      </c>
      <c r="C1596">
        <v>0</v>
      </c>
      <c r="D1596">
        <v>58</v>
      </c>
      <c r="E1596" t="s">
        <v>1585</v>
      </c>
    </row>
    <row r="1597" spans="1:5">
      <c r="A1597">
        <f>HYPERLINK("http://www.twitter.com/nyc311/status/777553497587904512", "777553497587904512")</f>
        <v>0</v>
      </c>
      <c r="B1597" s="2">
        <v>42631.7103472222</v>
      </c>
      <c r="C1597">
        <v>0</v>
      </c>
      <c r="D1597">
        <v>41</v>
      </c>
      <c r="E1597" t="s">
        <v>1586</v>
      </c>
    </row>
    <row r="1598" spans="1:5">
      <c r="A1598">
        <f>HYPERLINK("http://www.twitter.com/nyc311/status/777538187031932928", "777538187031932928")</f>
        <v>0</v>
      </c>
      <c r="B1598" s="2">
        <v>42631.6681018519</v>
      </c>
      <c r="C1598">
        <v>5</v>
      </c>
      <c r="D1598">
        <v>7</v>
      </c>
      <c r="E1598" t="s">
        <v>1105</v>
      </c>
    </row>
    <row r="1599" spans="1:5">
      <c r="A1599">
        <f>HYPERLINK("http://www.twitter.com/nyc311/status/777508059325337600", "777508059325337600")</f>
        <v>0</v>
      </c>
      <c r="B1599" s="2">
        <v>42631.5849652778</v>
      </c>
      <c r="C1599">
        <v>5</v>
      </c>
      <c r="D1599">
        <v>2</v>
      </c>
      <c r="E1599" t="s">
        <v>1587</v>
      </c>
    </row>
    <row r="1600" spans="1:5">
      <c r="A1600">
        <f>HYPERLINK("http://www.twitter.com/nyc311/status/777236156790542336", "777236156790542336")</f>
        <v>0</v>
      </c>
      <c r="B1600" s="2">
        <v>42630.8346527778</v>
      </c>
      <c r="C1600">
        <v>0</v>
      </c>
      <c r="D1600">
        <v>2</v>
      </c>
      <c r="E1600" t="s">
        <v>1588</v>
      </c>
    </row>
    <row r="1601" spans="1:5">
      <c r="A1601">
        <f>HYPERLINK("http://www.twitter.com/nyc311/status/777205980539002880", "777205980539002880")</f>
        <v>0</v>
      </c>
      <c r="B1601" s="2">
        <v>42630.7513888889</v>
      </c>
      <c r="C1601">
        <v>3</v>
      </c>
      <c r="D1601">
        <v>1</v>
      </c>
      <c r="E1601" t="s">
        <v>1589</v>
      </c>
    </row>
    <row r="1602" spans="1:5">
      <c r="A1602">
        <f>HYPERLINK("http://www.twitter.com/nyc311/status/777175893030625280", "777175893030625280")</f>
        <v>0</v>
      </c>
      <c r="B1602" s="2">
        <v>42630.6683564815</v>
      </c>
      <c r="C1602">
        <v>1</v>
      </c>
      <c r="D1602">
        <v>0</v>
      </c>
      <c r="E1602" t="s">
        <v>1590</v>
      </c>
    </row>
    <row r="1603" spans="1:5">
      <c r="A1603">
        <f>HYPERLINK("http://www.twitter.com/nyc311/status/777145785393831938", "777145785393831938")</f>
        <v>0</v>
      </c>
      <c r="B1603" s="2">
        <v>42630.5852777778</v>
      </c>
      <c r="C1603">
        <v>0</v>
      </c>
      <c r="D1603">
        <v>1</v>
      </c>
      <c r="E1603" t="s">
        <v>1591</v>
      </c>
    </row>
    <row r="1604" spans="1:5">
      <c r="A1604">
        <f>HYPERLINK("http://www.twitter.com/nyc311/status/776888018565271555", "776888018565271555")</f>
        <v>0</v>
      </c>
      <c r="B1604" s="2">
        <v>42629.8739814815</v>
      </c>
      <c r="C1604">
        <v>0</v>
      </c>
      <c r="D1604">
        <v>0</v>
      </c>
      <c r="E1604" t="s">
        <v>1592</v>
      </c>
    </row>
    <row r="1605" spans="1:5">
      <c r="A1605">
        <f>HYPERLINK("http://www.twitter.com/nyc311/status/776887824041779202", "776887824041779202")</f>
        <v>0</v>
      </c>
      <c r="B1605" s="2">
        <v>42629.8734375</v>
      </c>
      <c r="C1605">
        <v>0</v>
      </c>
      <c r="D1605">
        <v>0</v>
      </c>
      <c r="E1605" t="s">
        <v>1593</v>
      </c>
    </row>
    <row r="1606" spans="1:5">
      <c r="A1606">
        <f>HYPERLINK("http://www.twitter.com/nyc311/status/776873806505844736", "776873806505844736")</f>
        <v>0</v>
      </c>
      <c r="B1606" s="2">
        <v>42629.8347569444</v>
      </c>
      <c r="C1606">
        <v>1</v>
      </c>
      <c r="D1606">
        <v>1</v>
      </c>
      <c r="E1606" t="s">
        <v>1594</v>
      </c>
    </row>
    <row r="1607" spans="1:5">
      <c r="A1607">
        <f>HYPERLINK("http://www.twitter.com/nyc311/status/776867636240117762", "776867636240117762")</f>
        <v>0</v>
      </c>
      <c r="B1607" s="2">
        <v>42629.8177314815</v>
      </c>
      <c r="C1607">
        <v>0</v>
      </c>
      <c r="D1607">
        <v>0</v>
      </c>
      <c r="E1607" t="s">
        <v>1595</v>
      </c>
    </row>
    <row r="1608" spans="1:5">
      <c r="A1608">
        <f>HYPERLINK("http://www.twitter.com/nyc311/status/776863532252012545", "776863532252012545")</f>
        <v>0</v>
      </c>
      <c r="B1608" s="2">
        <v>42629.806412037</v>
      </c>
      <c r="C1608">
        <v>1</v>
      </c>
      <c r="D1608">
        <v>0</v>
      </c>
      <c r="E1608" t="s">
        <v>1596</v>
      </c>
    </row>
    <row r="1609" spans="1:5">
      <c r="A1609">
        <f>HYPERLINK("http://www.twitter.com/nyc311/status/776863349455872000", "776863349455872000")</f>
        <v>0</v>
      </c>
      <c r="B1609" s="2">
        <v>42629.8059027778</v>
      </c>
      <c r="C1609">
        <v>0</v>
      </c>
      <c r="D1609">
        <v>0</v>
      </c>
      <c r="E1609" t="s">
        <v>1597</v>
      </c>
    </row>
    <row r="1610" spans="1:5">
      <c r="A1610">
        <f>HYPERLINK("http://www.twitter.com/nyc311/status/776858975686037504", "776858975686037504")</f>
        <v>0</v>
      </c>
      <c r="B1610" s="2">
        <v>42629.7938310185</v>
      </c>
      <c r="C1610">
        <v>4</v>
      </c>
      <c r="D1610">
        <v>3</v>
      </c>
      <c r="E1610" t="s">
        <v>1598</v>
      </c>
    </row>
    <row r="1611" spans="1:5">
      <c r="A1611">
        <f>HYPERLINK("http://www.twitter.com/nyc311/status/776843893245669376", "776843893245669376")</f>
        <v>0</v>
      </c>
      <c r="B1611" s="2">
        <v>42629.7522106481</v>
      </c>
      <c r="C1611">
        <v>2</v>
      </c>
      <c r="D1611">
        <v>2</v>
      </c>
      <c r="E1611" t="s">
        <v>1599</v>
      </c>
    </row>
    <row r="1612" spans="1:5">
      <c r="A1612">
        <f>HYPERLINK("http://www.twitter.com/nyc311/status/776841113822961664", "776841113822961664")</f>
        <v>0</v>
      </c>
      <c r="B1612" s="2">
        <v>42629.7445486111</v>
      </c>
      <c r="C1612">
        <v>0</v>
      </c>
      <c r="D1612">
        <v>0</v>
      </c>
      <c r="E1612" t="s">
        <v>1600</v>
      </c>
    </row>
    <row r="1613" spans="1:5">
      <c r="A1613">
        <f>HYPERLINK("http://www.twitter.com/nyc311/status/776840237356085249", "776840237356085249")</f>
        <v>0</v>
      </c>
      <c r="B1613" s="2">
        <v>42629.7421296296</v>
      </c>
      <c r="C1613">
        <v>0</v>
      </c>
      <c r="D1613">
        <v>0</v>
      </c>
      <c r="E1613" t="s">
        <v>1601</v>
      </c>
    </row>
    <row r="1614" spans="1:5">
      <c r="A1614">
        <f>HYPERLINK("http://www.twitter.com/nyc311/status/776830101422047232", "776830101422047232")</f>
        <v>0</v>
      </c>
      <c r="B1614" s="2">
        <v>42629.7141550926</v>
      </c>
      <c r="C1614">
        <v>0</v>
      </c>
      <c r="D1614">
        <v>0</v>
      </c>
      <c r="E1614" t="s">
        <v>1602</v>
      </c>
    </row>
    <row r="1615" spans="1:5">
      <c r="A1615">
        <f>HYPERLINK("http://www.twitter.com/nyc311/status/776829588299218944", "776829588299218944")</f>
        <v>0</v>
      </c>
      <c r="B1615" s="2">
        <v>42629.7127430556</v>
      </c>
      <c r="C1615">
        <v>0</v>
      </c>
      <c r="D1615">
        <v>0</v>
      </c>
      <c r="E1615" t="s">
        <v>1603</v>
      </c>
    </row>
    <row r="1616" spans="1:5">
      <c r="A1616">
        <f>HYPERLINK("http://www.twitter.com/nyc311/status/776828528084025344", "776828528084025344")</f>
        <v>0</v>
      </c>
      <c r="B1616" s="2">
        <v>42629.7098148148</v>
      </c>
      <c r="C1616">
        <v>8</v>
      </c>
      <c r="D1616">
        <v>10</v>
      </c>
      <c r="E1616" t="s">
        <v>1604</v>
      </c>
    </row>
    <row r="1617" spans="1:5">
      <c r="A1617">
        <f>HYPERLINK("http://www.twitter.com/nyc311/status/776813865346670592", "776813865346670592")</f>
        <v>0</v>
      </c>
      <c r="B1617" s="2">
        <v>42629.6693518519</v>
      </c>
      <c r="C1617">
        <v>9</v>
      </c>
      <c r="D1617">
        <v>9</v>
      </c>
      <c r="E1617" t="s">
        <v>1605</v>
      </c>
    </row>
    <row r="1618" spans="1:5">
      <c r="A1618">
        <f>HYPERLINK("http://www.twitter.com/nyc311/status/776806788859658241", "776806788859658241")</f>
        <v>0</v>
      </c>
      <c r="B1618" s="2">
        <v>42629.6498263889</v>
      </c>
      <c r="C1618">
        <v>0</v>
      </c>
      <c r="D1618">
        <v>0</v>
      </c>
      <c r="E1618" t="s">
        <v>1606</v>
      </c>
    </row>
    <row r="1619" spans="1:5">
      <c r="A1619">
        <f>HYPERLINK("http://www.twitter.com/nyc311/status/776806580557844480", "776806580557844480")</f>
        <v>0</v>
      </c>
      <c r="B1619" s="2">
        <v>42629.6492476852</v>
      </c>
      <c r="C1619">
        <v>0</v>
      </c>
      <c r="D1619">
        <v>0</v>
      </c>
      <c r="E1619" t="s">
        <v>1607</v>
      </c>
    </row>
    <row r="1620" spans="1:5">
      <c r="A1620">
        <f>HYPERLINK("http://www.twitter.com/nyc311/status/776789529307058176", "776789529307058176")</f>
        <v>0</v>
      </c>
      <c r="B1620" s="2">
        <v>42629.6021990741</v>
      </c>
      <c r="C1620">
        <v>0</v>
      </c>
      <c r="D1620">
        <v>0</v>
      </c>
      <c r="E1620" t="s">
        <v>1608</v>
      </c>
    </row>
    <row r="1621" spans="1:5">
      <c r="A1621">
        <f>HYPERLINK("http://www.twitter.com/nyc311/status/776789038527307776", "776789038527307776")</f>
        <v>0</v>
      </c>
      <c r="B1621" s="2">
        <v>42629.6008449074</v>
      </c>
      <c r="C1621">
        <v>0</v>
      </c>
      <c r="D1621">
        <v>0</v>
      </c>
      <c r="E1621" t="s">
        <v>1609</v>
      </c>
    </row>
    <row r="1622" spans="1:5">
      <c r="A1622">
        <f>HYPERLINK("http://www.twitter.com/nyc311/status/776784453901451264", "776784453901451264")</f>
        <v>0</v>
      </c>
      <c r="B1622" s="2">
        <v>42629.5881944444</v>
      </c>
      <c r="C1622">
        <v>0</v>
      </c>
      <c r="D1622">
        <v>1</v>
      </c>
      <c r="E1622" t="s">
        <v>1610</v>
      </c>
    </row>
    <row r="1623" spans="1:5">
      <c r="A1623">
        <f>HYPERLINK("http://www.twitter.com/nyc311/status/776783488934612992", "776783488934612992")</f>
        <v>0</v>
      </c>
      <c r="B1623" s="2">
        <v>42629.5855324074</v>
      </c>
      <c r="C1623">
        <v>3</v>
      </c>
      <c r="D1623">
        <v>2</v>
      </c>
      <c r="E1623" t="s">
        <v>1611</v>
      </c>
    </row>
    <row r="1624" spans="1:5">
      <c r="A1624">
        <f>HYPERLINK("http://www.twitter.com/nyc311/status/776782714099888129", "776782714099888129")</f>
        <v>0</v>
      </c>
      <c r="B1624" s="2">
        <v>42629.5833912037</v>
      </c>
      <c r="C1624">
        <v>1</v>
      </c>
      <c r="D1624">
        <v>0</v>
      </c>
      <c r="E1624" t="s">
        <v>1612</v>
      </c>
    </row>
    <row r="1625" spans="1:5">
      <c r="A1625">
        <f>HYPERLINK("http://www.twitter.com/nyc311/status/776782549137952768", "776782549137952768")</f>
        <v>0</v>
      </c>
      <c r="B1625" s="2">
        <v>42629.5829398148</v>
      </c>
      <c r="C1625">
        <v>0</v>
      </c>
      <c r="D1625">
        <v>0</v>
      </c>
      <c r="E1625" t="s">
        <v>1613</v>
      </c>
    </row>
    <row r="1626" spans="1:5">
      <c r="A1626">
        <f>HYPERLINK("http://www.twitter.com/nyc311/status/776782052020584448", "776782052020584448")</f>
        <v>0</v>
      </c>
      <c r="B1626" s="2">
        <v>42629.5815625</v>
      </c>
      <c r="C1626">
        <v>0</v>
      </c>
      <c r="D1626">
        <v>0</v>
      </c>
      <c r="E1626" t="s">
        <v>1614</v>
      </c>
    </row>
    <row r="1627" spans="1:5">
      <c r="A1627">
        <f>HYPERLINK("http://www.twitter.com/nyc311/status/776781538142846976", "776781538142846976")</f>
        <v>0</v>
      </c>
      <c r="B1627" s="2">
        <v>42629.580150463</v>
      </c>
      <c r="C1627">
        <v>0</v>
      </c>
      <c r="D1627">
        <v>0</v>
      </c>
      <c r="E1627" t="s">
        <v>1615</v>
      </c>
    </row>
    <row r="1628" spans="1:5">
      <c r="A1628">
        <f>HYPERLINK("http://www.twitter.com/nyc311/status/776771077733289984", "776771077733289984")</f>
        <v>0</v>
      </c>
      <c r="B1628" s="2">
        <v>42629.5512847222</v>
      </c>
      <c r="C1628">
        <v>1</v>
      </c>
      <c r="D1628">
        <v>0</v>
      </c>
      <c r="E1628" t="s">
        <v>1616</v>
      </c>
    </row>
    <row r="1629" spans="1:5">
      <c r="A1629">
        <f>HYPERLINK("http://www.twitter.com/nyc311/status/776770988914667520", "776770988914667520")</f>
        <v>0</v>
      </c>
      <c r="B1629" s="2">
        <v>42629.5510416667</v>
      </c>
      <c r="C1629">
        <v>1</v>
      </c>
      <c r="D1629">
        <v>0</v>
      </c>
      <c r="E1629" t="s">
        <v>1617</v>
      </c>
    </row>
    <row r="1630" spans="1:5">
      <c r="A1630">
        <f>HYPERLINK("http://www.twitter.com/nyc311/status/776511371391492096", "776511371391492096")</f>
        <v>0</v>
      </c>
      <c r="B1630" s="2">
        <v>42628.8346296296</v>
      </c>
      <c r="C1630">
        <v>2</v>
      </c>
      <c r="D1630">
        <v>0</v>
      </c>
      <c r="E1630" t="s">
        <v>1618</v>
      </c>
    </row>
    <row r="1631" spans="1:5">
      <c r="A1631">
        <f>HYPERLINK("http://www.twitter.com/nyc311/status/776493481917292545", "776493481917292545")</f>
        <v>0</v>
      </c>
      <c r="B1631" s="2">
        <v>42628.7852662037</v>
      </c>
      <c r="C1631">
        <v>0</v>
      </c>
      <c r="D1631">
        <v>0</v>
      </c>
      <c r="E1631" t="s">
        <v>1619</v>
      </c>
    </row>
    <row r="1632" spans="1:5">
      <c r="A1632">
        <f>HYPERLINK("http://www.twitter.com/nyc311/status/776487095913283584", "776487095913283584")</f>
        <v>0</v>
      </c>
      <c r="B1632" s="2">
        <v>42628.7676388889</v>
      </c>
      <c r="C1632">
        <v>0</v>
      </c>
      <c r="D1632">
        <v>0</v>
      </c>
      <c r="E1632" t="s">
        <v>1620</v>
      </c>
    </row>
    <row r="1633" spans="1:5">
      <c r="A1633">
        <f>HYPERLINK("http://www.twitter.com/nyc311/status/776481407350804480", "776481407350804480")</f>
        <v>0</v>
      </c>
      <c r="B1633" s="2">
        <v>42628.7519444444</v>
      </c>
      <c r="C1633">
        <v>3</v>
      </c>
      <c r="D1633">
        <v>3</v>
      </c>
      <c r="E1633" t="s">
        <v>1621</v>
      </c>
    </row>
    <row r="1634" spans="1:5">
      <c r="A1634">
        <f>HYPERLINK("http://www.twitter.com/nyc311/status/776475740888072192", "776475740888072192")</f>
        <v>0</v>
      </c>
      <c r="B1634" s="2">
        <v>42628.7363078704</v>
      </c>
      <c r="C1634">
        <v>0</v>
      </c>
      <c r="D1634">
        <v>0</v>
      </c>
      <c r="E1634" t="s">
        <v>1622</v>
      </c>
    </row>
    <row r="1635" spans="1:5">
      <c r="A1635">
        <f>HYPERLINK("http://www.twitter.com/nyc311/status/776474513567584256", "776474513567584256")</f>
        <v>0</v>
      </c>
      <c r="B1635" s="2">
        <v>42628.7329166667</v>
      </c>
      <c r="C1635">
        <v>0</v>
      </c>
      <c r="D1635">
        <v>0</v>
      </c>
      <c r="E1635" t="s">
        <v>1623</v>
      </c>
    </row>
    <row r="1636" spans="1:5">
      <c r="A1636">
        <f>HYPERLINK("http://www.twitter.com/nyc311/status/776455365940613120", "776455365940613120")</f>
        <v>0</v>
      </c>
      <c r="B1636" s="2">
        <v>42628.6800810185</v>
      </c>
      <c r="C1636">
        <v>0</v>
      </c>
      <c r="D1636">
        <v>6</v>
      </c>
      <c r="E1636" t="s">
        <v>1624</v>
      </c>
    </row>
    <row r="1637" spans="1:5">
      <c r="A1637">
        <f>HYPERLINK("http://www.twitter.com/nyc311/status/776451440999010304", "776451440999010304")</f>
        <v>0</v>
      </c>
      <c r="B1637" s="2">
        <v>42628.6692476852</v>
      </c>
      <c r="C1637">
        <v>2</v>
      </c>
      <c r="D1637">
        <v>1</v>
      </c>
      <c r="E1637" t="s">
        <v>1625</v>
      </c>
    </row>
    <row r="1638" spans="1:5">
      <c r="A1638">
        <f>HYPERLINK("http://www.twitter.com/nyc311/status/776431058518704128", "776431058518704128")</f>
        <v>0</v>
      </c>
      <c r="B1638" s="2">
        <v>42628.6130092593</v>
      </c>
      <c r="C1638">
        <v>0</v>
      </c>
      <c r="D1638">
        <v>0</v>
      </c>
      <c r="E1638" t="s">
        <v>1626</v>
      </c>
    </row>
    <row r="1639" spans="1:5">
      <c r="A1639">
        <f>HYPERLINK("http://www.twitter.com/nyc311/status/776430996577288192", "776430996577288192")</f>
        <v>0</v>
      </c>
      <c r="B1639" s="2">
        <v>42628.6128356481</v>
      </c>
      <c r="C1639">
        <v>0</v>
      </c>
      <c r="D1639">
        <v>0</v>
      </c>
      <c r="E1639" t="s">
        <v>1627</v>
      </c>
    </row>
    <row r="1640" spans="1:5">
      <c r="A1640">
        <f>HYPERLINK("http://www.twitter.com/nyc311/status/776427364288983040", "776427364288983040")</f>
        <v>0</v>
      </c>
      <c r="B1640" s="2">
        <v>42628.6028125</v>
      </c>
      <c r="C1640">
        <v>0</v>
      </c>
      <c r="D1640">
        <v>0</v>
      </c>
      <c r="E1640" t="s">
        <v>1628</v>
      </c>
    </row>
    <row r="1641" spans="1:5">
      <c r="A1641">
        <f>HYPERLINK("http://www.twitter.com/nyc311/status/776427077545361408", "776427077545361408")</f>
        <v>0</v>
      </c>
      <c r="B1641" s="2">
        <v>42628.602025463</v>
      </c>
      <c r="C1641">
        <v>0</v>
      </c>
      <c r="D1641">
        <v>0</v>
      </c>
      <c r="E1641" t="s">
        <v>1629</v>
      </c>
    </row>
    <row r="1642" spans="1:5">
      <c r="A1642">
        <f>HYPERLINK("http://www.twitter.com/nyc311/status/776426851547897857", "776426851547897857")</f>
        <v>0</v>
      </c>
      <c r="B1642" s="2">
        <v>42628.601400463</v>
      </c>
      <c r="C1642">
        <v>1</v>
      </c>
      <c r="D1642">
        <v>0</v>
      </c>
      <c r="E1642" t="s">
        <v>1630</v>
      </c>
    </row>
    <row r="1643" spans="1:5">
      <c r="A1643">
        <f>HYPERLINK("http://www.twitter.com/nyc311/status/776425506090655749", "776425506090655749")</f>
        <v>0</v>
      </c>
      <c r="B1643" s="2">
        <v>42628.5976851852</v>
      </c>
      <c r="C1643">
        <v>0</v>
      </c>
      <c r="D1643">
        <v>0</v>
      </c>
      <c r="E1643" t="s">
        <v>1631</v>
      </c>
    </row>
    <row r="1644" spans="1:5">
      <c r="A1644">
        <f>HYPERLINK("http://www.twitter.com/nyc311/status/776424602574655488", "776424602574655488")</f>
        <v>0</v>
      </c>
      <c r="B1644" s="2">
        <v>42628.5951967593</v>
      </c>
      <c r="C1644">
        <v>0</v>
      </c>
      <c r="D1644">
        <v>0</v>
      </c>
      <c r="E1644" t="s">
        <v>1632</v>
      </c>
    </row>
    <row r="1645" spans="1:5">
      <c r="A1645">
        <f>HYPERLINK("http://www.twitter.com/nyc311/status/776423870219882501", "776423870219882501")</f>
        <v>0</v>
      </c>
      <c r="B1645" s="2">
        <v>42628.5931712963</v>
      </c>
      <c r="C1645">
        <v>0</v>
      </c>
      <c r="D1645">
        <v>0</v>
      </c>
      <c r="E1645" t="s">
        <v>1633</v>
      </c>
    </row>
    <row r="1646" spans="1:5">
      <c r="A1646">
        <f>HYPERLINK("http://www.twitter.com/nyc311/status/776421742222962688", "776421742222962688")</f>
        <v>0</v>
      </c>
      <c r="B1646" s="2">
        <v>42628.5873032407</v>
      </c>
      <c r="C1646">
        <v>1</v>
      </c>
      <c r="D1646">
        <v>0</v>
      </c>
      <c r="E1646" t="s">
        <v>1634</v>
      </c>
    </row>
    <row r="1647" spans="1:5">
      <c r="A1647">
        <f>HYPERLINK("http://www.twitter.com/nyc311/status/776421182069506048", "776421182069506048")</f>
        <v>0</v>
      </c>
      <c r="B1647" s="2">
        <v>42628.5857523148</v>
      </c>
      <c r="C1647">
        <v>3</v>
      </c>
      <c r="D1647">
        <v>4</v>
      </c>
      <c r="E1647" t="s">
        <v>1635</v>
      </c>
    </row>
    <row r="1648" spans="1:5">
      <c r="A1648">
        <f>HYPERLINK("http://www.twitter.com/nyc311/status/776420933309456384", "776420933309456384")</f>
        <v>0</v>
      </c>
      <c r="B1648" s="2">
        <v>42628.5850694444</v>
      </c>
      <c r="C1648">
        <v>0</v>
      </c>
      <c r="D1648">
        <v>0</v>
      </c>
      <c r="E1648" t="s">
        <v>1636</v>
      </c>
    </row>
    <row r="1649" spans="1:5">
      <c r="A1649">
        <f>HYPERLINK("http://www.twitter.com/nyc311/status/776419842559803393", "776419842559803393")</f>
        <v>0</v>
      </c>
      <c r="B1649" s="2">
        <v>42628.5820601852</v>
      </c>
      <c r="C1649">
        <v>0</v>
      </c>
      <c r="D1649">
        <v>0</v>
      </c>
      <c r="E1649" t="s">
        <v>1637</v>
      </c>
    </row>
    <row r="1650" spans="1:5">
      <c r="A1650">
        <f>HYPERLINK("http://www.twitter.com/nyc311/status/776418193007075328", "776418193007075328")</f>
        <v>0</v>
      </c>
      <c r="B1650" s="2">
        <v>42628.5775115741</v>
      </c>
      <c r="C1650">
        <v>0</v>
      </c>
      <c r="D1650">
        <v>0</v>
      </c>
      <c r="E1650" t="s">
        <v>1638</v>
      </c>
    </row>
    <row r="1651" spans="1:5">
      <c r="A1651">
        <f>HYPERLINK("http://www.twitter.com/nyc311/status/776417779905945600", "776417779905945600")</f>
        <v>0</v>
      </c>
      <c r="B1651" s="2">
        <v>42628.5763657407</v>
      </c>
      <c r="C1651">
        <v>0</v>
      </c>
      <c r="D1651">
        <v>0</v>
      </c>
      <c r="E1651" t="s">
        <v>1639</v>
      </c>
    </row>
    <row r="1652" spans="1:5">
      <c r="A1652">
        <f>HYPERLINK("http://www.twitter.com/nyc311/status/776417691573874688", "776417691573874688")</f>
        <v>0</v>
      </c>
      <c r="B1652" s="2">
        <v>42628.5761226852</v>
      </c>
      <c r="C1652">
        <v>0</v>
      </c>
      <c r="D1652">
        <v>0</v>
      </c>
      <c r="E1652" t="s">
        <v>1640</v>
      </c>
    </row>
    <row r="1653" spans="1:5">
      <c r="A1653">
        <f>HYPERLINK("http://www.twitter.com/nyc311/status/776152864179781634", "776152864179781634")</f>
        <v>0</v>
      </c>
      <c r="B1653" s="2">
        <v>42627.8453356481</v>
      </c>
      <c r="C1653">
        <v>1</v>
      </c>
      <c r="D1653">
        <v>0</v>
      </c>
      <c r="E1653" t="s">
        <v>1641</v>
      </c>
    </row>
    <row r="1654" spans="1:5">
      <c r="A1654">
        <f>HYPERLINK("http://www.twitter.com/nyc311/status/776146390741286912", "776146390741286912")</f>
        <v>0</v>
      </c>
      <c r="B1654" s="2">
        <v>42627.8274768519</v>
      </c>
      <c r="C1654">
        <v>0</v>
      </c>
      <c r="D1654">
        <v>0</v>
      </c>
      <c r="E1654" t="s">
        <v>1642</v>
      </c>
    </row>
    <row r="1655" spans="1:5">
      <c r="A1655">
        <f>HYPERLINK("http://www.twitter.com/nyc311/status/776145157976690688", "776145157976690688")</f>
        <v>0</v>
      </c>
      <c r="B1655" s="2">
        <v>42627.8240740741</v>
      </c>
      <c r="C1655">
        <v>0</v>
      </c>
      <c r="D1655">
        <v>0</v>
      </c>
      <c r="E1655" t="s">
        <v>1643</v>
      </c>
    </row>
    <row r="1656" spans="1:5">
      <c r="A1656">
        <f>HYPERLINK("http://www.twitter.com/nyc311/status/776142016832999424", "776142016832999424")</f>
        <v>0</v>
      </c>
      <c r="B1656" s="2">
        <v>42627.8154050926</v>
      </c>
      <c r="C1656">
        <v>0</v>
      </c>
      <c r="D1656">
        <v>0</v>
      </c>
      <c r="E1656" t="s">
        <v>1644</v>
      </c>
    </row>
    <row r="1657" spans="1:5">
      <c r="A1657">
        <f>HYPERLINK("http://www.twitter.com/nyc311/status/776141625408032768", "776141625408032768")</f>
        <v>0</v>
      </c>
      <c r="B1657" s="2">
        <v>42627.8143287037</v>
      </c>
      <c r="C1657">
        <v>0</v>
      </c>
      <c r="D1657">
        <v>0</v>
      </c>
      <c r="E1657" t="s">
        <v>1645</v>
      </c>
    </row>
    <row r="1658" spans="1:5">
      <c r="A1658">
        <f>HYPERLINK("http://www.twitter.com/nyc311/status/776129330003009536", "776129330003009536")</f>
        <v>0</v>
      </c>
      <c r="B1658" s="2">
        <v>42627.7803935185</v>
      </c>
      <c r="C1658">
        <v>0</v>
      </c>
      <c r="D1658">
        <v>0</v>
      </c>
      <c r="E1658" t="s">
        <v>1646</v>
      </c>
    </row>
    <row r="1659" spans="1:5">
      <c r="A1659">
        <f>HYPERLINK("http://www.twitter.com/nyc311/status/776129024573771777", "776129024573771777")</f>
        <v>0</v>
      </c>
      <c r="B1659" s="2">
        <v>42627.7795486111</v>
      </c>
      <c r="C1659">
        <v>0</v>
      </c>
      <c r="D1659">
        <v>0</v>
      </c>
      <c r="E1659" t="s">
        <v>1647</v>
      </c>
    </row>
    <row r="1660" spans="1:5">
      <c r="A1660">
        <f>HYPERLINK("http://www.twitter.com/nyc311/status/776119144337006592", "776119144337006592")</f>
        <v>0</v>
      </c>
      <c r="B1660" s="2">
        <v>42627.7522916667</v>
      </c>
      <c r="C1660">
        <v>8</v>
      </c>
      <c r="D1660">
        <v>5</v>
      </c>
      <c r="E1660" t="s">
        <v>1648</v>
      </c>
    </row>
    <row r="1661" spans="1:5">
      <c r="A1661">
        <f>HYPERLINK("http://www.twitter.com/nyc311/status/776119035155124224", "776119035155124224")</f>
        <v>0</v>
      </c>
      <c r="B1661" s="2">
        <v>42627.7519907407</v>
      </c>
      <c r="C1661">
        <v>1</v>
      </c>
      <c r="D1661">
        <v>0</v>
      </c>
      <c r="E1661" t="s">
        <v>1649</v>
      </c>
    </row>
    <row r="1662" spans="1:5">
      <c r="A1662">
        <f>HYPERLINK("http://www.twitter.com/nyc311/status/776099377672753152", "776099377672753152")</f>
        <v>0</v>
      </c>
      <c r="B1662" s="2">
        <v>42627.6977430556</v>
      </c>
      <c r="C1662">
        <v>0</v>
      </c>
      <c r="D1662">
        <v>0</v>
      </c>
      <c r="E1662" t="s">
        <v>1650</v>
      </c>
    </row>
    <row r="1663" spans="1:5">
      <c r="A1663">
        <f>HYPERLINK("http://www.twitter.com/nyc311/status/776096388748804096", "776096388748804096")</f>
        <v>0</v>
      </c>
      <c r="B1663" s="2">
        <v>42627.6894907407</v>
      </c>
      <c r="C1663">
        <v>0</v>
      </c>
      <c r="D1663">
        <v>0</v>
      </c>
      <c r="E1663" t="s">
        <v>1651</v>
      </c>
    </row>
    <row r="1664" spans="1:5">
      <c r="A1664">
        <f>HYPERLINK("http://www.twitter.com/nyc311/status/776094781567037440", "776094781567037440")</f>
        <v>0</v>
      </c>
      <c r="B1664" s="2">
        <v>42627.6850578704</v>
      </c>
      <c r="C1664">
        <v>0</v>
      </c>
      <c r="D1664">
        <v>0</v>
      </c>
      <c r="E1664" t="s">
        <v>1652</v>
      </c>
    </row>
    <row r="1665" spans="1:5">
      <c r="A1665">
        <f>HYPERLINK("http://www.twitter.com/nyc311/status/776094255643136001", "776094255643136001")</f>
        <v>0</v>
      </c>
      <c r="B1665" s="2">
        <v>42627.6836111111</v>
      </c>
      <c r="C1665">
        <v>0</v>
      </c>
      <c r="D1665">
        <v>0</v>
      </c>
      <c r="E1665" t="s">
        <v>1653</v>
      </c>
    </row>
    <row r="1666" spans="1:5">
      <c r="A1666">
        <f>HYPERLINK("http://www.twitter.com/nyc311/status/776093436910903296", "776093436910903296")</f>
        <v>0</v>
      </c>
      <c r="B1666" s="2">
        <v>42627.6813541667</v>
      </c>
      <c r="C1666">
        <v>0</v>
      </c>
      <c r="D1666">
        <v>0</v>
      </c>
      <c r="E1666" t="s">
        <v>1654</v>
      </c>
    </row>
    <row r="1667" spans="1:5">
      <c r="A1667">
        <f>HYPERLINK("http://www.twitter.com/nyc311/status/776093231255781380", "776093231255781380")</f>
        <v>0</v>
      </c>
      <c r="B1667" s="2">
        <v>42627.680787037</v>
      </c>
      <c r="C1667">
        <v>0</v>
      </c>
      <c r="D1667">
        <v>0</v>
      </c>
      <c r="E1667" t="s">
        <v>1655</v>
      </c>
    </row>
    <row r="1668" spans="1:5">
      <c r="A1668">
        <f>HYPERLINK("http://www.twitter.com/nyc311/status/776091482939883520", "776091482939883520")</f>
        <v>0</v>
      </c>
      <c r="B1668" s="2">
        <v>42627.6759606482</v>
      </c>
      <c r="C1668">
        <v>0</v>
      </c>
      <c r="D1668">
        <v>0</v>
      </c>
      <c r="E1668" t="s">
        <v>1656</v>
      </c>
    </row>
    <row r="1669" spans="1:5">
      <c r="A1669">
        <f>HYPERLINK("http://www.twitter.com/nyc311/status/776091254937513984", "776091254937513984")</f>
        <v>0</v>
      </c>
      <c r="B1669" s="2">
        <v>42627.6753240741</v>
      </c>
      <c r="C1669">
        <v>0</v>
      </c>
      <c r="D1669">
        <v>0</v>
      </c>
      <c r="E1669" t="s">
        <v>1657</v>
      </c>
    </row>
    <row r="1670" spans="1:5">
      <c r="A1670">
        <f>HYPERLINK("http://www.twitter.com/nyc311/status/776090453347278848", "776090453347278848")</f>
        <v>0</v>
      </c>
      <c r="B1670" s="2">
        <v>42627.6731134259</v>
      </c>
      <c r="C1670">
        <v>0</v>
      </c>
      <c r="D1670">
        <v>0</v>
      </c>
      <c r="E1670" t="s">
        <v>1658</v>
      </c>
    </row>
    <row r="1671" spans="1:5">
      <c r="A1671">
        <f>HYPERLINK("http://www.twitter.com/nyc311/status/776090018003681280", "776090018003681280")</f>
        <v>0</v>
      </c>
      <c r="B1671" s="2">
        <v>42627.6719212963</v>
      </c>
      <c r="C1671">
        <v>0</v>
      </c>
      <c r="D1671">
        <v>0</v>
      </c>
      <c r="E1671" t="s">
        <v>1659</v>
      </c>
    </row>
    <row r="1672" spans="1:5">
      <c r="A1672">
        <f>HYPERLINK("http://www.twitter.com/nyc311/status/776088600765235200", "776088600765235200")</f>
        <v>0</v>
      </c>
      <c r="B1672" s="2">
        <v>42627.6680092593</v>
      </c>
      <c r="C1672">
        <v>1</v>
      </c>
      <c r="D1672">
        <v>0</v>
      </c>
      <c r="E1672" t="s">
        <v>1660</v>
      </c>
    </row>
    <row r="1673" spans="1:5">
      <c r="A1673">
        <f>HYPERLINK("http://www.twitter.com/nyc311/status/776088275970826240", "776088275970826240")</f>
        <v>0</v>
      </c>
      <c r="B1673" s="2">
        <v>42627.6671064815</v>
      </c>
      <c r="C1673">
        <v>1</v>
      </c>
      <c r="D1673">
        <v>1</v>
      </c>
      <c r="E1673" t="s">
        <v>1661</v>
      </c>
    </row>
    <row r="1674" spans="1:5">
      <c r="A1674">
        <f>HYPERLINK("http://www.twitter.com/nyc311/status/776085105337110529", "776085105337110529")</f>
        <v>0</v>
      </c>
      <c r="B1674" s="2">
        <v>42627.6583564815</v>
      </c>
      <c r="C1674">
        <v>1</v>
      </c>
      <c r="D1674">
        <v>0</v>
      </c>
      <c r="E1674" t="s">
        <v>1662</v>
      </c>
    </row>
    <row r="1675" spans="1:5">
      <c r="A1675">
        <f>HYPERLINK("http://www.twitter.com/nyc311/status/776079056899018752", "776079056899018752")</f>
        <v>0</v>
      </c>
      <c r="B1675" s="2">
        <v>42627.6416666667</v>
      </c>
      <c r="C1675">
        <v>0</v>
      </c>
      <c r="D1675">
        <v>0</v>
      </c>
      <c r="E1675" t="s">
        <v>1663</v>
      </c>
    </row>
    <row r="1676" spans="1:5">
      <c r="A1676">
        <f>HYPERLINK("http://www.twitter.com/nyc311/status/776061920231251968", "776061920231251968")</f>
        <v>0</v>
      </c>
      <c r="B1676" s="2">
        <v>42627.594375</v>
      </c>
      <c r="C1676">
        <v>2</v>
      </c>
      <c r="D1676">
        <v>0</v>
      </c>
      <c r="E1676" t="s">
        <v>1664</v>
      </c>
    </row>
    <row r="1677" spans="1:5">
      <c r="A1677">
        <f>HYPERLINK("http://www.twitter.com/nyc311/status/776061556660506624", "776061556660506624")</f>
        <v>0</v>
      </c>
      <c r="B1677" s="2">
        <v>42627.5933796296</v>
      </c>
      <c r="C1677">
        <v>1</v>
      </c>
      <c r="D1677">
        <v>0</v>
      </c>
      <c r="E1677" t="s">
        <v>1665</v>
      </c>
    </row>
    <row r="1678" spans="1:5">
      <c r="A1678">
        <f>HYPERLINK("http://www.twitter.com/nyc311/status/776058825799561216", "776058825799561216")</f>
        <v>0</v>
      </c>
      <c r="B1678" s="2">
        <v>42627.5858449074</v>
      </c>
      <c r="C1678">
        <v>0</v>
      </c>
      <c r="D1678">
        <v>2</v>
      </c>
      <c r="E1678" t="s">
        <v>1666</v>
      </c>
    </row>
    <row r="1679" spans="1:5">
      <c r="A1679">
        <f>HYPERLINK("http://www.twitter.com/nyc311/status/776024085998559232", "776024085998559232")</f>
        <v>0</v>
      </c>
      <c r="B1679" s="2">
        <v>42627.4899768519</v>
      </c>
      <c r="C1679">
        <v>0</v>
      </c>
      <c r="D1679">
        <v>1</v>
      </c>
      <c r="E1679" t="s">
        <v>1667</v>
      </c>
    </row>
    <row r="1680" spans="1:5">
      <c r="A1680">
        <f>HYPERLINK("http://www.twitter.com/nyc311/status/776020505950289920", "776020505950289920")</f>
        <v>0</v>
      </c>
      <c r="B1680" s="2">
        <v>42627.4801041667</v>
      </c>
      <c r="C1680">
        <v>4</v>
      </c>
      <c r="D1680">
        <v>6</v>
      </c>
      <c r="E1680" t="s">
        <v>1668</v>
      </c>
    </row>
    <row r="1681" spans="1:5">
      <c r="A1681">
        <f>HYPERLINK("http://www.twitter.com/nyc311/status/775816908885065728", "775816908885065728")</f>
        <v>0</v>
      </c>
      <c r="B1681" s="2">
        <v>42626.918275463</v>
      </c>
      <c r="C1681">
        <v>7</v>
      </c>
      <c r="D1681">
        <v>8</v>
      </c>
      <c r="E1681" t="s">
        <v>1669</v>
      </c>
    </row>
    <row r="1682" spans="1:5">
      <c r="A1682">
        <f>HYPERLINK("http://www.twitter.com/nyc311/status/775801325766443008", "775801325766443008")</f>
        <v>0</v>
      </c>
      <c r="B1682" s="2">
        <v>42626.8752777778</v>
      </c>
      <c r="C1682">
        <v>1</v>
      </c>
      <c r="D1682">
        <v>0</v>
      </c>
      <c r="E1682" t="s">
        <v>1670</v>
      </c>
    </row>
    <row r="1683" spans="1:5">
      <c r="A1683">
        <f>HYPERLINK("http://www.twitter.com/nyc311/status/775798651759235073", "775798651759235073")</f>
        <v>0</v>
      </c>
      <c r="B1683" s="2">
        <v>42626.8678935185</v>
      </c>
      <c r="C1683">
        <v>0</v>
      </c>
      <c r="D1683">
        <v>0</v>
      </c>
      <c r="E1683" t="s">
        <v>1671</v>
      </c>
    </row>
    <row r="1684" spans="1:5">
      <c r="A1684">
        <f>HYPERLINK("http://www.twitter.com/nyc311/status/775796231834656769", "775796231834656769")</f>
        <v>0</v>
      </c>
      <c r="B1684" s="2">
        <v>42626.8612152778</v>
      </c>
      <c r="C1684">
        <v>0</v>
      </c>
      <c r="D1684">
        <v>0</v>
      </c>
      <c r="E1684" t="s">
        <v>1672</v>
      </c>
    </row>
    <row r="1685" spans="1:5">
      <c r="A1685">
        <f>HYPERLINK("http://www.twitter.com/nyc311/status/775795970277801984", "775795970277801984")</f>
        <v>0</v>
      </c>
      <c r="B1685" s="2">
        <v>42626.8604976852</v>
      </c>
      <c r="C1685">
        <v>1</v>
      </c>
      <c r="D1685">
        <v>0</v>
      </c>
      <c r="E1685" t="s">
        <v>1673</v>
      </c>
    </row>
    <row r="1686" spans="1:5">
      <c r="A1686">
        <f>HYPERLINK("http://www.twitter.com/nyc311/status/775789612476366848", "775789612476366848")</f>
        <v>0</v>
      </c>
      <c r="B1686" s="2">
        <v>42626.8429513889</v>
      </c>
      <c r="C1686">
        <v>0</v>
      </c>
      <c r="D1686">
        <v>0</v>
      </c>
      <c r="E1686" t="s">
        <v>1674</v>
      </c>
    </row>
    <row r="1687" spans="1:5">
      <c r="A1687">
        <f>HYPERLINK("http://www.twitter.com/nyc311/status/775771826190487553", "775771826190487553")</f>
        <v>0</v>
      </c>
      <c r="B1687" s="2">
        <v>42626.7938773148</v>
      </c>
      <c r="C1687">
        <v>1</v>
      </c>
      <c r="D1687">
        <v>5</v>
      </c>
      <c r="E1687" t="s">
        <v>1675</v>
      </c>
    </row>
    <row r="1688" spans="1:5">
      <c r="A1688">
        <f>HYPERLINK("http://www.twitter.com/nyc311/status/775756711139352576", "775756711139352576")</f>
        <v>0</v>
      </c>
      <c r="B1688" s="2">
        <v>42626.7521643518</v>
      </c>
      <c r="C1688">
        <v>0</v>
      </c>
      <c r="D1688">
        <v>0</v>
      </c>
      <c r="E1688" t="s">
        <v>1676</v>
      </c>
    </row>
    <row r="1689" spans="1:5">
      <c r="A1689">
        <f>HYPERLINK("http://www.twitter.com/nyc311/status/775756649986416640", "775756649986416640")</f>
        <v>0</v>
      </c>
      <c r="B1689" s="2">
        <v>42626.7519907407</v>
      </c>
      <c r="C1689">
        <v>2</v>
      </c>
      <c r="D1689">
        <v>4</v>
      </c>
      <c r="E1689" t="s">
        <v>1677</v>
      </c>
    </row>
    <row r="1690" spans="1:5">
      <c r="A1690">
        <f>HYPERLINK("http://www.twitter.com/nyc311/status/775745804514521088", "775745804514521088")</f>
        <v>0</v>
      </c>
      <c r="B1690" s="2">
        <v>42626.7220717593</v>
      </c>
      <c r="C1690">
        <v>0</v>
      </c>
      <c r="D1690">
        <v>0</v>
      </c>
      <c r="E1690" t="s">
        <v>1678</v>
      </c>
    </row>
    <row r="1691" spans="1:5">
      <c r="A1691">
        <f>HYPERLINK("http://www.twitter.com/nyc311/status/775744470541361153", "775744470541361153")</f>
        <v>0</v>
      </c>
      <c r="B1691" s="2">
        <v>42626.7183912037</v>
      </c>
      <c r="C1691">
        <v>1</v>
      </c>
      <c r="D1691">
        <v>1</v>
      </c>
      <c r="E1691" t="s">
        <v>1679</v>
      </c>
    </row>
    <row r="1692" spans="1:5">
      <c r="A1692">
        <f>HYPERLINK("http://www.twitter.com/nyc311/status/775741738279460865", "775741738279460865")</f>
        <v>0</v>
      </c>
      <c r="B1692" s="2">
        <v>42626.7108449074</v>
      </c>
      <c r="C1692">
        <v>3</v>
      </c>
      <c r="D1692">
        <v>5</v>
      </c>
      <c r="E1692" t="s">
        <v>1680</v>
      </c>
    </row>
    <row r="1693" spans="1:5">
      <c r="A1693">
        <f>HYPERLINK("http://www.twitter.com/nyc311/status/775735593724772352", "775735593724772352")</f>
        <v>0</v>
      </c>
      <c r="B1693" s="2">
        <v>42626.6938888889</v>
      </c>
      <c r="C1693">
        <v>0</v>
      </c>
      <c r="D1693">
        <v>0</v>
      </c>
      <c r="E1693" t="s">
        <v>1681</v>
      </c>
    </row>
    <row r="1694" spans="1:5">
      <c r="A1694">
        <f>HYPERLINK("http://www.twitter.com/nyc311/status/775735063472377857", "775735063472377857")</f>
        <v>0</v>
      </c>
      <c r="B1694" s="2">
        <v>42626.6924305556</v>
      </c>
      <c r="C1694">
        <v>0</v>
      </c>
      <c r="D1694">
        <v>0</v>
      </c>
      <c r="E1694" t="s">
        <v>1682</v>
      </c>
    </row>
    <row r="1695" spans="1:5">
      <c r="A1695">
        <f>HYPERLINK("http://www.twitter.com/nyc311/status/775731406475493376", "775731406475493376")</f>
        <v>0</v>
      </c>
      <c r="B1695" s="2">
        <v>42626.682337963</v>
      </c>
      <c r="C1695">
        <v>0</v>
      </c>
      <c r="D1695">
        <v>0</v>
      </c>
      <c r="E1695" t="s">
        <v>1683</v>
      </c>
    </row>
    <row r="1696" spans="1:5">
      <c r="A1696">
        <f>HYPERLINK("http://www.twitter.com/nyc311/status/775726729814048768", "775726729814048768")</f>
        <v>0</v>
      </c>
      <c r="B1696" s="2">
        <v>42626.6694328704</v>
      </c>
      <c r="C1696">
        <v>3</v>
      </c>
      <c r="D1696">
        <v>2</v>
      </c>
      <c r="E1696" t="s">
        <v>1684</v>
      </c>
    </row>
    <row r="1697" spans="1:5">
      <c r="A1697">
        <f>HYPERLINK("http://www.twitter.com/nyc311/status/775719088664567809", "775719088664567809")</f>
        <v>0</v>
      </c>
      <c r="B1697" s="2">
        <v>42626.6483449074</v>
      </c>
      <c r="C1697">
        <v>2</v>
      </c>
      <c r="D1697">
        <v>1</v>
      </c>
      <c r="E1697" t="s">
        <v>1685</v>
      </c>
    </row>
    <row r="1698" spans="1:5">
      <c r="A1698">
        <f>HYPERLINK("http://www.twitter.com/nyc311/status/775711486736039938", "775711486736039938")</f>
        <v>0</v>
      </c>
      <c r="B1698" s="2">
        <v>42626.6273726852</v>
      </c>
      <c r="C1698">
        <v>7</v>
      </c>
      <c r="D1698">
        <v>4</v>
      </c>
      <c r="E1698" t="s">
        <v>1686</v>
      </c>
    </row>
    <row r="1699" spans="1:5">
      <c r="A1699">
        <f>HYPERLINK("http://www.twitter.com/nyc311/status/775710228121788420", "775710228121788420")</f>
        <v>0</v>
      </c>
      <c r="B1699" s="2">
        <v>42626.623900463</v>
      </c>
      <c r="C1699">
        <v>0</v>
      </c>
      <c r="D1699">
        <v>0</v>
      </c>
      <c r="E1699" t="s">
        <v>1687</v>
      </c>
    </row>
    <row r="1700" spans="1:5">
      <c r="A1700">
        <f>HYPERLINK("http://www.twitter.com/nyc311/status/775710032235208705", "775710032235208705")</f>
        <v>0</v>
      </c>
      <c r="B1700" s="2">
        <v>42626.6233564815</v>
      </c>
      <c r="C1700">
        <v>0</v>
      </c>
      <c r="D1700">
        <v>0</v>
      </c>
      <c r="E1700" t="s">
        <v>1688</v>
      </c>
    </row>
    <row r="1701" spans="1:5">
      <c r="A1701">
        <f>HYPERLINK("http://www.twitter.com/nyc311/status/775709698523824129", "775709698523824129")</f>
        <v>0</v>
      </c>
      <c r="B1701" s="2">
        <v>42626.6224305556</v>
      </c>
      <c r="C1701">
        <v>0</v>
      </c>
      <c r="D1701">
        <v>0</v>
      </c>
      <c r="E1701" t="s">
        <v>1689</v>
      </c>
    </row>
    <row r="1702" spans="1:5">
      <c r="A1702">
        <f>HYPERLINK("http://www.twitter.com/nyc311/status/775709485293826054", "775709485293826054")</f>
        <v>0</v>
      </c>
      <c r="B1702" s="2">
        <v>42626.6218402778</v>
      </c>
      <c r="C1702">
        <v>0</v>
      </c>
      <c r="D1702">
        <v>0</v>
      </c>
      <c r="E1702" t="s">
        <v>1690</v>
      </c>
    </row>
    <row r="1703" spans="1:5">
      <c r="A1703">
        <f>HYPERLINK("http://www.twitter.com/nyc311/status/775708828507729920", "775708828507729920")</f>
        <v>0</v>
      </c>
      <c r="B1703" s="2">
        <v>42626.6200347222</v>
      </c>
      <c r="C1703">
        <v>0</v>
      </c>
      <c r="D1703">
        <v>0</v>
      </c>
      <c r="E1703" t="s">
        <v>1691</v>
      </c>
    </row>
    <row r="1704" spans="1:5">
      <c r="A1704">
        <f>HYPERLINK("http://www.twitter.com/nyc311/status/775708297970221057", "775708297970221057")</f>
        <v>0</v>
      </c>
      <c r="B1704" s="2">
        <v>42626.6185648148</v>
      </c>
      <c r="C1704">
        <v>1</v>
      </c>
      <c r="D1704">
        <v>0</v>
      </c>
      <c r="E1704" t="s">
        <v>1692</v>
      </c>
    </row>
    <row r="1705" spans="1:5">
      <c r="A1705">
        <f>HYPERLINK("http://www.twitter.com/nyc311/status/775706695070781440", "775706695070781440")</f>
        <v>0</v>
      </c>
      <c r="B1705" s="2">
        <v>42626.6141435185</v>
      </c>
      <c r="C1705">
        <v>0</v>
      </c>
      <c r="D1705">
        <v>0</v>
      </c>
      <c r="E1705" t="s">
        <v>1693</v>
      </c>
    </row>
    <row r="1706" spans="1:5">
      <c r="A1706">
        <f>HYPERLINK("http://www.twitter.com/nyc311/status/775706567463280640", "775706567463280640")</f>
        <v>0</v>
      </c>
      <c r="B1706" s="2">
        <v>42626.6137962963</v>
      </c>
      <c r="C1706">
        <v>0</v>
      </c>
      <c r="D1706">
        <v>0</v>
      </c>
      <c r="E1706" t="s">
        <v>1694</v>
      </c>
    </row>
    <row r="1707" spans="1:5">
      <c r="A1707">
        <f>HYPERLINK("http://www.twitter.com/nyc311/status/775703640128512000", "775703640128512000")</f>
        <v>0</v>
      </c>
      <c r="B1707" s="2">
        <v>42626.6057175926</v>
      </c>
      <c r="C1707">
        <v>1</v>
      </c>
      <c r="D1707">
        <v>0</v>
      </c>
      <c r="E1707" t="s">
        <v>1695</v>
      </c>
    </row>
    <row r="1708" spans="1:5">
      <c r="A1708">
        <f>HYPERLINK("http://www.twitter.com/nyc311/status/775702840622841856", "775702840622841856")</f>
        <v>0</v>
      </c>
      <c r="B1708" s="2">
        <v>42626.6035069444</v>
      </c>
      <c r="C1708">
        <v>0</v>
      </c>
      <c r="D1708">
        <v>0</v>
      </c>
      <c r="E1708" t="s">
        <v>1696</v>
      </c>
    </row>
    <row r="1709" spans="1:5">
      <c r="A1709">
        <f>HYPERLINK("http://www.twitter.com/nyc311/status/775702320692752384", "775702320692752384")</f>
        <v>0</v>
      </c>
      <c r="B1709" s="2">
        <v>42626.6020717593</v>
      </c>
      <c r="C1709">
        <v>0</v>
      </c>
      <c r="D1709">
        <v>0</v>
      </c>
      <c r="E1709" t="s">
        <v>1697</v>
      </c>
    </row>
    <row r="1710" spans="1:5">
      <c r="A1710">
        <f>HYPERLINK("http://www.twitter.com/nyc311/status/775700182629580800", "775700182629580800")</f>
        <v>0</v>
      </c>
      <c r="B1710" s="2">
        <v>42626.5961805556</v>
      </c>
      <c r="C1710">
        <v>0</v>
      </c>
      <c r="D1710">
        <v>0</v>
      </c>
      <c r="E1710" t="s">
        <v>1698</v>
      </c>
    </row>
    <row r="1711" spans="1:5">
      <c r="A1711">
        <f>HYPERLINK("http://www.twitter.com/nyc311/status/775699242656628736", "775699242656628736")</f>
        <v>0</v>
      </c>
      <c r="B1711" s="2">
        <v>42626.5935763889</v>
      </c>
      <c r="C1711">
        <v>0</v>
      </c>
      <c r="D1711">
        <v>0</v>
      </c>
      <c r="E1711" t="s">
        <v>1699</v>
      </c>
    </row>
    <row r="1712" spans="1:5">
      <c r="A1712">
        <f>HYPERLINK("http://www.twitter.com/nyc311/status/775696924531982337", "775696924531982337")</f>
        <v>0</v>
      </c>
      <c r="B1712" s="2">
        <v>42626.5871875</v>
      </c>
      <c r="C1712">
        <v>1</v>
      </c>
      <c r="D1712">
        <v>0</v>
      </c>
      <c r="E1712" t="s">
        <v>1700</v>
      </c>
    </row>
    <row r="1713" spans="1:5">
      <c r="A1713">
        <f>HYPERLINK("http://www.twitter.com/nyc311/status/775696450802032641", "775696450802032641")</f>
        <v>0</v>
      </c>
      <c r="B1713" s="2">
        <v>42626.5858796296</v>
      </c>
      <c r="C1713">
        <v>7</v>
      </c>
      <c r="D1713">
        <v>17</v>
      </c>
      <c r="E1713" t="s">
        <v>1701</v>
      </c>
    </row>
    <row r="1714" spans="1:5">
      <c r="A1714">
        <f>HYPERLINK("http://www.twitter.com/nyc311/status/775694907851808768", "775694907851808768")</f>
        <v>0</v>
      </c>
      <c r="B1714" s="2">
        <v>42626.5816203704</v>
      </c>
      <c r="C1714">
        <v>0</v>
      </c>
      <c r="D1714">
        <v>1</v>
      </c>
      <c r="E1714" t="s">
        <v>1702</v>
      </c>
    </row>
    <row r="1715" spans="1:5">
      <c r="A1715">
        <f>HYPERLINK("http://www.twitter.com/nyc311/status/775661683679301632", "775661683679301632")</f>
        <v>0</v>
      </c>
      <c r="B1715" s="2">
        <v>42626.4899421296</v>
      </c>
      <c r="C1715">
        <v>1</v>
      </c>
      <c r="D1715">
        <v>1</v>
      </c>
      <c r="E1715" t="s">
        <v>1703</v>
      </c>
    </row>
    <row r="1716" spans="1:5">
      <c r="A1716">
        <f>HYPERLINK("http://www.twitter.com/nyc311/status/775658097218031616", "775658097218031616")</f>
        <v>0</v>
      </c>
      <c r="B1716" s="2">
        <v>42626.4800462963</v>
      </c>
      <c r="C1716">
        <v>6</v>
      </c>
      <c r="D1716">
        <v>8</v>
      </c>
      <c r="E1716" t="s">
        <v>1704</v>
      </c>
    </row>
    <row r="1717" spans="1:5">
      <c r="A1717">
        <f>HYPERLINK("http://www.twitter.com/nyc311/status/775639033129172993", "775639033129172993")</f>
        <v>0</v>
      </c>
      <c r="B1717" s="2">
        <v>42626.4274305556</v>
      </c>
      <c r="C1717">
        <v>1</v>
      </c>
      <c r="D1717">
        <v>2</v>
      </c>
      <c r="E1717" t="s">
        <v>1705</v>
      </c>
    </row>
    <row r="1718" spans="1:5">
      <c r="A1718">
        <f>HYPERLINK("http://www.twitter.com/nyc311/status/775635638485917696", "775635638485917696")</f>
        <v>0</v>
      </c>
      <c r="B1718" s="2">
        <v>42626.4180671296</v>
      </c>
      <c r="C1718">
        <v>8</v>
      </c>
      <c r="D1718">
        <v>17</v>
      </c>
      <c r="E1718" t="s">
        <v>1706</v>
      </c>
    </row>
    <row r="1719" spans="1:5">
      <c r="A1719">
        <f>HYPERLINK("http://www.twitter.com/nyc311/status/775448309154607104", "775448309154607104")</f>
        <v>0</v>
      </c>
      <c r="B1719" s="2">
        <v>42625.9011342593</v>
      </c>
      <c r="C1719">
        <v>2</v>
      </c>
      <c r="D1719">
        <v>0</v>
      </c>
      <c r="E1719" t="s">
        <v>1707</v>
      </c>
    </row>
    <row r="1720" spans="1:5">
      <c r="A1720">
        <f>HYPERLINK("http://www.twitter.com/nyc311/status/775424317853229056", "775424317853229056")</f>
        <v>0</v>
      </c>
      <c r="B1720" s="2">
        <v>42625.8349305556</v>
      </c>
      <c r="C1720">
        <v>1</v>
      </c>
      <c r="D1720">
        <v>0</v>
      </c>
      <c r="E1720" t="s">
        <v>1708</v>
      </c>
    </row>
    <row r="1721" spans="1:5">
      <c r="A1721">
        <f>HYPERLINK("http://www.twitter.com/nyc311/status/775422133551980544", "775422133551980544")</f>
        <v>0</v>
      </c>
      <c r="B1721" s="2">
        <v>42625.828900463</v>
      </c>
      <c r="C1721">
        <v>0</v>
      </c>
      <c r="D1721">
        <v>0</v>
      </c>
      <c r="E1721" t="s">
        <v>1709</v>
      </c>
    </row>
    <row r="1722" spans="1:5">
      <c r="A1722">
        <f>HYPERLINK("http://www.twitter.com/nyc311/status/775409106006007809", "775409106006007809")</f>
        <v>0</v>
      </c>
      <c r="B1722" s="2">
        <v>42625.7929513889</v>
      </c>
      <c r="C1722">
        <v>0</v>
      </c>
      <c r="D1722">
        <v>0</v>
      </c>
      <c r="E1722" t="s">
        <v>1710</v>
      </c>
    </row>
    <row r="1723" spans="1:5">
      <c r="A1723">
        <f>HYPERLINK("http://www.twitter.com/nyc311/status/775407311300984832", "775407311300984832")</f>
        <v>0</v>
      </c>
      <c r="B1723" s="2">
        <v>42625.7880092593</v>
      </c>
      <c r="C1723">
        <v>0</v>
      </c>
      <c r="D1723">
        <v>0</v>
      </c>
      <c r="E1723" t="s">
        <v>1711</v>
      </c>
    </row>
    <row r="1724" spans="1:5">
      <c r="A1724">
        <f>HYPERLINK("http://www.twitter.com/nyc311/status/775399608314949632", "775399608314949632")</f>
        <v>0</v>
      </c>
      <c r="B1724" s="2">
        <v>42625.7667476852</v>
      </c>
      <c r="C1724">
        <v>0</v>
      </c>
      <c r="D1724">
        <v>0</v>
      </c>
      <c r="E1724" t="s">
        <v>1712</v>
      </c>
    </row>
    <row r="1725" spans="1:5">
      <c r="A1725">
        <f>HYPERLINK("http://www.twitter.com/nyc311/status/775398939537342465", "775398939537342465")</f>
        <v>0</v>
      </c>
      <c r="B1725" s="2">
        <v>42625.7649074074</v>
      </c>
      <c r="C1725">
        <v>1</v>
      </c>
      <c r="D1725">
        <v>0</v>
      </c>
      <c r="E1725" t="s">
        <v>1713</v>
      </c>
    </row>
    <row r="1726" spans="1:5">
      <c r="A1726">
        <f>HYPERLINK("http://www.twitter.com/nyc311/status/775394162736766977", "775394162736766977")</f>
        <v>0</v>
      </c>
      <c r="B1726" s="2">
        <v>42625.751724537</v>
      </c>
      <c r="C1726">
        <v>2</v>
      </c>
      <c r="D1726">
        <v>3</v>
      </c>
      <c r="E1726" t="s">
        <v>1714</v>
      </c>
    </row>
    <row r="1727" spans="1:5">
      <c r="A1727">
        <f>HYPERLINK("http://www.twitter.com/nyc311/status/775389293774856192", "775389293774856192")</f>
        <v>0</v>
      </c>
      <c r="B1727" s="2">
        <v>42625.738287037</v>
      </c>
      <c r="C1727">
        <v>0</v>
      </c>
      <c r="D1727">
        <v>0</v>
      </c>
      <c r="E1727" t="s">
        <v>1715</v>
      </c>
    </row>
    <row r="1728" spans="1:5">
      <c r="A1728">
        <f>HYPERLINK("http://www.twitter.com/nyc311/status/775386516508008448", "775386516508008448")</f>
        <v>0</v>
      </c>
      <c r="B1728" s="2">
        <v>42625.730625</v>
      </c>
      <c r="C1728">
        <v>0</v>
      </c>
      <c r="D1728">
        <v>0</v>
      </c>
      <c r="E1728" t="s">
        <v>1716</v>
      </c>
    </row>
    <row r="1729" spans="1:5">
      <c r="A1729">
        <f>HYPERLINK("http://www.twitter.com/nyc311/status/775385833914368000", "775385833914368000")</f>
        <v>0</v>
      </c>
      <c r="B1729" s="2">
        <v>42625.7287384259</v>
      </c>
      <c r="C1729">
        <v>0</v>
      </c>
      <c r="D1729">
        <v>0</v>
      </c>
      <c r="E1729" t="s">
        <v>1717</v>
      </c>
    </row>
    <row r="1730" spans="1:5">
      <c r="A1730">
        <f>HYPERLINK("http://www.twitter.com/nyc311/status/775381438715817984", "775381438715817984")</f>
        <v>0</v>
      </c>
      <c r="B1730" s="2">
        <v>42625.7166087963</v>
      </c>
      <c r="C1730">
        <v>1</v>
      </c>
      <c r="D1730">
        <v>0</v>
      </c>
      <c r="E1730" t="s">
        <v>1718</v>
      </c>
    </row>
    <row r="1731" spans="1:5">
      <c r="A1731">
        <f>HYPERLINK("http://www.twitter.com/nyc311/status/775380465482104832", "775380465482104832")</f>
        <v>0</v>
      </c>
      <c r="B1731" s="2">
        <v>42625.7139236111</v>
      </c>
      <c r="C1731">
        <v>0</v>
      </c>
      <c r="D1731">
        <v>0</v>
      </c>
      <c r="E1731" t="s">
        <v>1719</v>
      </c>
    </row>
    <row r="1732" spans="1:5">
      <c r="A1732">
        <f>HYPERLINK("http://www.twitter.com/nyc311/status/775379952007020545", "775379952007020545")</f>
        <v>0</v>
      </c>
      <c r="B1732" s="2">
        <v>42625.7125115741</v>
      </c>
      <c r="C1732">
        <v>0</v>
      </c>
      <c r="D1732">
        <v>0</v>
      </c>
      <c r="E1732" t="s">
        <v>1720</v>
      </c>
    </row>
    <row r="1733" spans="1:5">
      <c r="A1733">
        <f>HYPERLINK("http://www.twitter.com/nyc311/status/775379283170713600", "775379283170713600")</f>
        <v>0</v>
      </c>
      <c r="B1733" s="2">
        <v>42625.7106597222</v>
      </c>
      <c r="C1733">
        <v>2</v>
      </c>
      <c r="D1733">
        <v>3</v>
      </c>
      <c r="E1733" t="s">
        <v>1721</v>
      </c>
    </row>
    <row r="1734" spans="1:5">
      <c r="A1734">
        <f>HYPERLINK("http://www.twitter.com/nyc311/status/775376244380696576", "775376244380696576")</f>
        <v>0</v>
      </c>
      <c r="B1734" s="2">
        <v>42625.7022800926</v>
      </c>
      <c r="C1734">
        <v>0</v>
      </c>
      <c r="D1734">
        <v>0</v>
      </c>
      <c r="E1734" t="s">
        <v>1722</v>
      </c>
    </row>
    <row r="1735" spans="1:5">
      <c r="A1735">
        <f>HYPERLINK("http://www.twitter.com/nyc311/status/775376060804399104", "775376060804399104")</f>
        <v>0</v>
      </c>
      <c r="B1735" s="2">
        <v>42625.7017708333</v>
      </c>
      <c r="C1735">
        <v>0</v>
      </c>
      <c r="D1735">
        <v>0</v>
      </c>
      <c r="E1735" t="s">
        <v>1723</v>
      </c>
    </row>
    <row r="1736" spans="1:5">
      <c r="A1736">
        <f>HYPERLINK("http://www.twitter.com/nyc311/status/775375644314202112", "775375644314202112")</f>
        <v>0</v>
      </c>
      <c r="B1736" s="2">
        <v>42625.700625</v>
      </c>
      <c r="C1736">
        <v>0</v>
      </c>
      <c r="D1736">
        <v>0</v>
      </c>
      <c r="E1736" t="s">
        <v>1724</v>
      </c>
    </row>
    <row r="1737" spans="1:5">
      <c r="A1737">
        <f>HYPERLINK("http://www.twitter.com/nyc311/status/775375563452284932", "775375563452284932")</f>
        <v>0</v>
      </c>
      <c r="B1737" s="2">
        <v>42625.7003935185</v>
      </c>
      <c r="C1737">
        <v>0</v>
      </c>
      <c r="D1737">
        <v>0</v>
      </c>
      <c r="E1737" t="s">
        <v>1725</v>
      </c>
    </row>
    <row r="1738" spans="1:5">
      <c r="A1738">
        <f>HYPERLINK("http://www.twitter.com/nyc311/status/775373964667486208", "775373964667486208")</f>
        <v>0</v>
      </c>
      <c r="B1738" s="2">
        <v>42625.6959837963</v>
      </c>
      <c r="C1738">
        <v>0</v>
      </c>
      <c r="D1738">
        <v>0</v>
      </c>
      <c r="E1738" t="s">
        <v>1726</v>
      </c>
    </row>
    <row r="1739" spans="1:5">
      <c r="A1739">
        <f>HYPERLINK("http://www.twitter.com/nyc311/status/775372017570840576", "775372017570840576")</f>
        <v>0</v>
      </c>
      <c r="B1739" s="2">
        <v>42625.6906134259</v>
      </c>
      <c r="C1739">
        <v>0</v>
      </c>
      <c r="D1739">
        <v>0</v>
      </c>
      <c r="E1739" t="s">
        <v>1727</v>
      </c>
    </row>
    <row r="1740" spans="1:5">
      <c r="A1740">
        <f>HYPERLINK("http://www.twitter.com/nyc311/status/775371129578000384", "775371129578000384")</f>
        <v>0</v>
      </c>
      <c r="B1740" s="2">
        <v>42625.6881597222</v>
      </c>
      <c r="C1740">
        <v>0</v>
      </c>
      <c r="D1740">
        <v>0</v>
      </c>
      <c r="E1740" t="s">
        <v>1728</v>
      </c>
    </row>
    <row r="1741" spans="1:5">
      <c r="A1741">
        <f>HYPERLINK("http://www.twitter.com/nyc311/status/775369782514294786", "775369782514294786")</f>
        <v>0</v>
      </c>
      <c r="B1741" s="2">
        <v>42625.6844444444</v>
      </c>
      <c r="C1741">
        <v>0</v>
      </c>
      <c r="D1741">
        <v>0</v>
      </c>
      <c r="E1741" t="s">
        <v>1729</v>
      </c>
    </row>
    <row r="1742" spans="1:5">
      <c r="A1742">
        <f>HYPERLINK("http://www.twitter.com/nyc311/status/775367554349096960", "775367554349096960")</f>
        <v>0</v>
      </c>
      <c r="B1742" s="2">
        <v>42625.6782986111</v>
      </c>
      <c r="C1742">
        <v>0</v>
      </c>
      <c r="D1742">
        <v>0</v>
      </c>
      <c r="E1742" t="s">
        <v>1730</v>
      </c>
    </row>
    <row r="1743" spans="1:5">
      <c r="A1743">
        <f>HYPERLINK("http://www.twitter.com/nyc311/status/775366682927894528", "775366682927894528")</f>
        <v>0</v>
      </c>
      <c r="B1743" s="2">
        <v>42625.6758912037</v>
      </c>
      <c r="C1743">
        <v>0</v>
      </c>
      <c r="D1743">
        <v>0</v>
      </c>
      <c r="E1743" t="s">
        <v>1731</v>
      </c>
    </row>
    <row r="1744" spans="1:5">
      <c r="A1744">
        <f>HYPERLINK("http://www.twitter.com/nyc311/status/775366450315980800", "775366450315980800")</f>
        <v>0</v>
      </c>
      <c r="B1744" s="2">
        <v>42625.6752546296</v>
      </c>
      <c r="C1744">
        <v>0</v>
      </c>
      <c r="D1744">
        <v>0</v>
      </c>
      <c r="E1744" t="s">
        <v>1732</v>
      </c>
    </row>
    <row r="1745" spans="1:5">
      <c r="A1745">
        <f>HYPERLINK("http://www.twitter.com/nyc311/status/775366241125007360", "775366241125007360")</f>
        <v>0</v>
      </c>
      <c r="B1745" s="2">
        <v>42625.6746759259</v>
      </c>
      <c r="C1745">
        <v>0</v>
      </c>
      <c r="D1745">
        <v>0</v>
      </c>
      <c r="E1745" t="s">
        <v>1733</v>
      </c>
    </row>
    <row r="1746" spans="1:5">
      <c r="A1746">
        <f>HYPERLINK("http://www.twitter.com/nyc311/status/775364356699586561", "775364356699586561")</f>
        <v>0</v>
      </c>
      <c r="B1746" s="2">
        <v>42625.6694675926</v>
      </c>
      <c r="C1746">
        <v>3</v>
      </c>
      <c r="D1746">
        <v>4</v>
      </c>
      <c r="E1746" t="s">
        <v>1734</v>
      </c>
    </row>
    <row r="1747" spans="1:5">
      <c r="A1747">
        <f>HYPERLINK("http://www.twitter.com/nyc311/status/775363086194765824", "775363086194765824")</f>
        <v>0</v>
      </c>
      <c r="B1747" s="2">
        <v>42625.6659606481</v>
      </c>
      <c r="C1747">
        <v>0</v>
      </c>
      <c r="D1747">
        <v>0</v>
      </c>
      <c r="E1747" t="s">
        <v>1735</v>
      </c>
    </row>
    <row r="1748" spans="1:5">
      <c r="A1748">
        <f>HYPERLINK("http://www.twitter.com/nyc311/status/775362689778483200", "775362689778483200")</f>
        <v>0</v>
      </c>
      <c r="B1748" s="2">
        <v>42625.6648726852</v>
      </c>
      <c r="C1748">
        <v>0</v>
      </c>
      <c r="D1748">
        <v>0</v>
      </c>
      <c r="E1748" t="s">
        <v>1736</v>
      </c>
    </row>
    <row r="1749" spans="1:5">
      <c r="A1749">
        <f>HYPERLINK("http://www.twitter.com/nyc311/status/775360740140150785", "775360740140150785")</f>
        <v>0</v>
      </c>
      <c r="B1749" s="2">
        <v>42625.6594907407</v>
      </c>
      <c r="C1749">
        <v>0</v>
      </c>
      <c r="D1749">
        <v>0</v>
      </c>
      <c r="E1749" t="s">
        <v>1737</v>
      </c>
    </row>
    <row r="1750" spans="1:5">
      <c r="A1750">
        <f>HYPERLINK("http://www.twitter.com/nyc311/status/775359688171020288", "775359688171020288")</f>
        <v>0</v>
      </c>
      <c r="B1750" s="2">
        <v>42625.6565856481</v>
      </c>
      <c r="C1750">
        <v>0</v>
      </c>
      <c r="D1750">
        <v>0</v>
      </c>
      <c r="E1750" t="s">
        <v>1738</v>
      </c>
    </row>
    <row r="1751" spans="1:5">
      <c r="A1751">
        <f>HYPERLINK("http://www.twitter.com/nyc311/status/775359108807622656", "775359108807622656")</f>
        <v>0</v>
      </c>
      <c r="B1751" s="2">
        <v>42625.6549884259</v>
      </c>
      <c r="C1751">
        <v>1</v>
      </c>
      <c r="D1751">
        <v>0</v>
      </c>
      <c r="E1751" t="s">
        <v>1739</v>
      </c>
    </row>
    <row r="1752" spans="1:5">
      <c r="A1752">
        <f>HYPERLINK("http://www.twitter.com/nyc311/status/775357950336598016", "775357950336598016")</f>
        <v>0</v>
      </c>
      <c r="B1752" s="2">
        <v>42625.6517939815</v>
      </c>
      <c r="C1752">
        <v>0</v>
      </c>
      <c r="D1752">
        <v>0</v>
      </c>
      <c r="E1752" t="s">
        <v>1740</v>
      </c>
    </row>
    <row r="1753" spans="1:5">
      <c r="A1753">
        <f>HYPERLINK("http://www.twitter.com/nyc311/status/775357701991829504", "775357701991829504")</f>
        <v>0</v>
      </c>
      <c r="B1753" s="2">
        <v>42625.6511111111</v>
      </c>
      <c r="C1753">
        <v>0</v>
      </c>
      <c r="D1753">
        <v>0</v>
      </c>
      <c r="E1753" t="s">
        <v>1741</v>
      </c>
    </row>
    <row r="1754" spans="1:5">
      <c r="A1754">
        <f>HYPERLINK("http://www.twitter.com/nyc311/status/775356694629154816", "775356694629154816")</f>
        <v>0</v>
      </c>
      <c r="B1754" s="2">
        <v>42625.6483333333</v>
      </c>
      <c r="C1754">
        <v>0</v>
      </c>
      <c r="D1754">
        <v>0</v>
      </c>
      <c r="E1754" t="s">
        <v>1742</v>
      </c>
    </row>
    <row r="1755" spans="1:5">
      <c r="A1755">
        <f>HYPERLINK("http://www.twitter.com/nyc311/status/775356241870725120", "775356241870725120")</f>
        <v>0</v>
      </c>
      <c r="B1755" s="2">
        <v>42625.6470833333</v>
      </c>
      <c r="C1755">
        <v>0</v>
      </c>
      <c r="D1755">
        <v>0</v>
      </c>
      <c r="E1755" t="s">
        <v>1743</v>
      </c>
    </row>
    <row r="1756" spans="1:5">
      <c r="A1756">
        <f>HYPERLINK("http://www.twitter.com/nyc311/status/775355978908827649", "775355978908827649")</f>
        <v>0</v>
      </c>
      <c r="B1756" s="2">
        <v>42625.6463541667</v>
      </c>
      <c r="C1756">
        <v>0</v>
      </c>
      <c r="D1756">
        <v>0</v>
      </c>
      <c r="E1756" t="s">
        <v>1744</v>
      </c>
    </row>
    <row r="1757" spans="1:5">
      <c r="A1757">
        <f>HYPERLINK("http://www.twitter.com/nyc311/status/775354550404390912", "775354550404390912")</f>
        <v>0</v>
      </c>
      <c r="B1757" s="2">
        <v>42625.6424074074</v>
      </c>
      <c r="C1757">
        <v>0</v>
      </c>
      <c r="D1757">
        <v>0</v>
      </c>
      <c r="E1757" t="s">
        <v>1745</v>
      </c>
    </row>
    <row r="1758" spans="1:5">
      <c r="A1758">
        <f>HYPERLINK("http://www.twitter.com/nyc311/status/775351702874648578", "775351702874648578")</f>
        <v>0</v>
      </c>
      <c r="B1758" s="2">
        <v>42625.6345486111</v>
      </c>
      <c r="C1758">
        <v>0</v>
      </c>
      <c r="D1758">
        <v>0</v>
      </c>
      <c r="E1758" t="s">
        <v>1746</v>
      </c>
    </row>
    <row r="1759" spans="1:5">
      <c r="A1759">
        <f>HYPERLINK("http://www.twitter.com/nyc311/status/775350844522921984", "775350844522921984")</f>
        <v>0</v>
      </c>
      <c r="B1759" s="2">
        <v>42625.6321875</v>
      </c>
      <c r="C1759">
        <v>1</v>
      </c>
      <c r="D1759">
        <v>0</v>
      </c>
      <c r="E1759" t="s">
        <v>1747</v>
      </c>
    </row>
    <row r="1760" spans="1:5">
      <c r="A1760">
        <f>HYPERLINK("http://www.twitter.com/nyc311/status/775350662813003776", "775350662813003776")</f>
        <v>0</v>
      </c>
      <c r="B1760" s="2">
        <v>42625.6316782407</v>
      </c>
      <c r="C1760">
        <v>0</v>
      </c>
      <c r="D1760">
        <v>0</v>
      </c>
      <c r="E1760" t="s">
        <v>1748</v>
      </c>
    </row>
    <row r="1761" spans="1:5">
      <c r="A1761">
        <f>HYPERLINK("http://www.twitter.com/nyc311/status/775349118260617216", "775349118260617216")</f>
        <v>0</v>
      </c>
      <c r="B1761" s="2">
        <v>42625.6274189815</v>
      </c>
      <c r="C1761">
        <v>3</v>
      </c>
      <c r="D1761">
        <v>2</v>
      </c>
      <c r="E1761" t="s">
        <v>1749</v>
      </c>
    </row>
    <row r="1762" spans="1:5">
      <c r="A1762">
        <f>HYPERLINK("http://www.twitter.com/nyc311/status/775342926138339328", "775342926138339328")</f>
        <v>0</v>
      </c>
      <c r="B1762" s="2">
        <v>42625.6103356481</v>
      </c>
      <c r="C1762">
        <v>1</v>
      </c>
      <c r="D1762">
        <v>0</v>
      </c>
      <c r="E1762" t="s">
        <v>1750</v>
      </c>
    </row>
    <row r="1763" spans="1:5">
      <c r="A1763">
        <f>HYPERLINK("http://www.twitter.com/nyc311/status/775342615264890880", "775342615264890880")</f>
        <v>0</v>
      </c>
      <c r="B1763" s="2">
        <v>42625.6094791667</v>
      </c>
      <c r="C1763">
        <v>0</v>
      </c>
      <c r="D1763">
        <v>0</v>
      </c>
      <c r="E1763" t="s">
        <v>1751</v>
      </c>
    </row>
    <row r="1764" spans="1:5">
      <c r="A1764">
        <f>HYPERLINK("http://www.twitter.com/nyc311/status/775341467606913025", "775341467606913025")</f>
        <v>0</v>
      </c>
      <c r="B1764" s="2">
        <v>42625.6063078704</v>
      </c>
      <c r="C1764">
        <v>0</v>
      </c>
      <c r="D1764">
        <v>0</v>
      </c>
      <c r="E1764" t="s">
        <v>1752</v>
      </c>
    </row>
    <row r="1765" spans="1:5">
      <c r="A1765">
        <f>HYPERLINK("http://www.twitter.com/nyc311/status/775341305073438720", "775341305073438720")</f>
        <v>0</v>
      </c>
      <c r="B1765" s="2">
        <v>42625.6058564815</v>
      </c>
      <c r="C1765">
        <v>0</v>
      </c>
      <c r="D1765">
        <v>0</v>
      </c>
      <c r="E1765" t="s">
        <v>1753</v>
      </c>
    </row>
    <row r="1766" spans="1:5">
      <c r="A1766">
        <f>HYPERLINK("http://www.twitter.com/nyc311/status/775335796199002116", "775335796199002116")</f>
        <v>0</v>
      </c>
      <c r="B1766" s="2">
        <v>42625.5906597222</v>
      </c>
      <c r="C1766">
        <v>0</v>
      </c>
      <c r="D1766">
        <v>0</v>
      </c>
      <c r="E1766" t="s">
        <v>1754</v>
      </c>
    </row>
    <row r="1767" spans="1:5">
      <c r="A1767">
        <f>HYPERLINK("http://www.twitter.com/nyc311/status/775335103409098753", "775335103409098753")</f>
        <v>0</v>
      </c>
      <c r="B1767" s="2">
        <v>42625.58875</v>
      </c>
      <c r="C1767">
        <v>0</v>
      </c>
      <c r="D1767">
        <v>0</v>
      </c>
      <c r="E1767" t="s">
        <v>1755</v>
      </c>
    </row>
    <row r="1768" spans="1:5">
      <c r="A1768">
        <f>HYPERLINK("http://www.twitter.com/nyc311/status/775334195900153856", "775334195900153856")</f>
        <v>0</v>
      </c>
      <c r="B1768" s="2">
        <v>42625.5862384259</v>
      </c>
      <c r="C1768">
        <v>0</v>
      </c>
      <c r="D1768">
        <v>0</v>
      </c>
      <c r="E1768" t="s">
        <v>1756</v>
      </c>
    </row>
    <row r="1769" spans="1:5">
      <c r="A1769">
        <f>HYPERLINK("http://www.twitter.com/nyc311/status/775334058540863488", "775334058540863488")</f>
        <v>0</v>
      </c>
      <c r="B1769" s="2">
        <v>42625.5858680556</v>
      </c>
      <c r="C1769">
        <v>6</v>
      </c>
      <c r="D1769">
        <v>4</v>
      </c>
      <c r="E1769" t="s">
        <v>1757</v>
      </c>
    </row>
    <row r="1770" spans="1:5">
      <c r="A1770">
        <f>HYPERLINK("http://www.twitter.com/nyc311/status/775333553508913152", "775333553508913152")</f>
        <v>0</v>
      </c>
      <c r="B1770" s="2">
        <v>42625.5844675926</v>
      </c>
      <c r="C1770">
        <v>0</v>
      </c>
      <c r="D1770">
        <v>0</v>
      </c>
      <c r="E1770" t="s">
        <v>1758</v>
      </c>
    </row>
    <row r="1771" spans="1:5">
      <c r="A1771">
        <f>HYPERLINK("http://www.twitter.com/nyc311/status/775332744930918400", "775332744930918400")</f>
        <v>0</v>
      </c>
      <c r="B1771" s="2">
        <v>42625.5822453704</v>
      </c>
      <c r="C1771">
        <v>0</v>
      </c>
      <c r="D1771">
        <v>0</v>
      </c>
      <c r="E1771" t="s">
        <v>1759</v>
      </c>
    </row>
    <row r="1772" spans="1:5">
      <c r="A1772">
        <f>HYPERLINK("http://www.twitter.com/nyc311/status/775331603858001921", "775331603858001921")</f>
        <v>0</v>
      </c>
      <c r="B1772" s="2">
        <v>42625.5790856481</v>
      </c>
      <c r="C1772">
        <v>0</v>
      </c>
      <c r="D1772">
        <v>0</v>
      </c>
      <c r="E1772" t="s">
        <v>1760</v>
      </c>
    </row>
    <row r="1773" spans="1:5">
      <c r="A1773">
        <f>HYPERLINK("http://www.twitter.com/nyc311/status/775329561613594624", "775329561613594624")</f>
        <v>0</v>
      </c>
      <c r="B1773" s="2">
        <v>42625.5734606481</v>
      </c>
      <c r="C1773">
        <v>0</v>
      </c>
      <c r="D1773">
        <v>0</v>
      </c>
      <c r="E1773" t="s">
        <v>1761</v>
      </c>
    </row>
    <row r="1774" spans="1:5">
      <c r="A1774">
        <f>HYPERLINK("http://www.twitter.com/nyc311/status/775329014890295296", "775329014890295296")</f>
        <v>0</v>
      </c>
      <c r="B1774" s="2">
        <v>42625.5719444444</v>
      </c>
      <c r="C1774">
        <v>1</v>
      </c>
      <c r="D1774">
        <v>0</v>
      </c>
      <c r="E1774" t="s">
        <v>1762</v>
      </c>
    </row>
    <row r="1775" spans="1:5">
      <c r="A1775">
        <f>HYPERLINK("http://www.twitter.com/nyc311/status/775306847679053824", "775306847679053824")</f>
        <v>0</v>
      </c>
      <c r="B1775" s="2">
        <v>42625.510775463</v>
      </c>
      <c r="C1775">
        <v>3</v>
      </c>
      <c r="D1775">
        <v>5</v>
      </c>
      <c r="E1775" t="s">
        <v>1763</v>
      </c>
    </row>
    <row r="1776" spans="1:5">
      <c r="A1776">
        <f>HYPERLINK("http://www.twitter.com/nyc311/status/775303657399128064", "775303657399128064")</f>
        <v>0</v>
      </c>
      <c r="B1776" s="2">
        <v>42625.5019791667</v>
      </c>
      <c r="C1776">
        <v>6</v>
      </c>
      <c r="D1776">
        <v>7</v>
      </c>
      <c r="E1776" t="s">
        <v>1764</v>
      </c>
    </row>
    <row r="1777" spans="1:5">
      <c r="A1777">
        <f>HYPERLINK("http://www.twitter.com/nyc311/status/775299281968308224", "775299281968308224")</f>
        <v>0</v>
      </c>
      <c r="B1777" s="2">
        <v>42625.4898958333</v>
      </c>
      <c r="C1777">
        <v>1</v>
      </c>
      <c r="D1777">
        <v>3</v>
      </c>
      <c r="E1777" t="s">
        <v>1765</v>
      </c>
    </row>
    <row r="1778" spans="1:5">
      <c r="A1778">
        <f>HYPERLINK("http://www.twitter.com/nyc311/status/775295727069265920", "775295727069265920")</f>
        <v>0</v>
      </c>
      <c r="B1778" s="2">
        <v>42625.4800925926</v>
      </c>
      <c r="C1778">
        <v>5</v>
      </c>
      <c r="D1778">
        <v>9</v>
      </c>
      <c r="E1778" t="s">
        <v>1766</v>
      </c>
    </row>
    <row r="1779" spans="1:5">
      <c r="A1779">
        <f>HYPERLINK("http://www.twitter.com/nyc311/status/775061694762651652", "775061694762651652")</f>
        <v>0</v>
      </c>
      <c r="B1779" s="2">
        <v>42624.8342824074</v>
      </c>
      <c r="C1779">
        <v>2</v>
      </c>
      <c r="D1779">
        <v>4</v>
      </c>
      <c r="E1779" t="s">
        <v>1767</v>
      </c>
    </row>
    <row r="1780" spans="1:5">
      <c r="A1780">
        <f>HYPERLINK("http://www.twitter.com/nyc311/status/775046793231011840", "775046793231011840")</f>
        <v>0</v>
      </c>
      <c r="B1780" s="2">
        <v>42624.7931597222</v>
      </c>
      <c r="C1780">
        <v>2</v>
      </c>
      <c r="D1780">
        <v>1</v>
      </c>
      <c r="E1780" t="s">
        <v>1768</v>
      </c>
    </row>
    <row r="1781" spans="1:5">
      <c r="A1781">
        <f>HYPERLINK("http://www.twitter.com/nyc311/status/775031578166788096", "775031578166788096")</f>
        <v>0</v>
      </c>
      <c r="B1781" s="2">
        <v>42624.7511805556</v>
      </c>
      <c r="C1781">
        <v>1</v>
      </c>
      <c r="D1781">
        <v>1</v>
      </c>
      <c r="E1781" t="s">
        <v>1769</v>
      </c>
    </row>
    <row r="1782" spans="1:5">
      <c r="A1782">
        <f>HYPERLINK("http://www.twitter.com/nyc311/status/775001613845004288", "775001613845004288")</f>
        <v>0</v>
      </c>
      <c r="B1782" s="2">
        <v>42624.6684953704</v>
      </c>
      <c r="C1782">
        <v>13</v>
      </c>
      <c r="D1782">
        <v>9</v>
      </c>
      <c r="E1782" t="s">
        <v>1770</v>
      </c>
    </row>
    <row r="1783" spans="1:5">
      <c r="A1783">
        <f>HYPERLINK("http://www.twitter.com/nyc311/status/774989770380410880", "774989770380410880")</f>
        <v>0</v>
      </c>
      <c r="B1783" s="2">
        <v>42624.6358101852</v>
      </c>
      <c r="C1783">
        <v>0</v>
      </c>
      <c r="D1783">
        <v>0</v>
      </c>
      <c r="E1783" t="s">
        <v>1771</v>
      </c>
    </row>
    <row r="1784" spans="1:5">
      <c r="A1784">
        <f>HYPERLINK("http://www.twitter.com/nyc311/status/774986512823947264", "774986512823947264")</f>
        <v>0</v>
      </c>
      <c r="B1784" s="2">
        <v>42624.6268171296</v>
      </c>
      <c r="C1784">
        <v>8</v>
      </c>
      <c r="D1784">
        <v>5</v>
      </c>
      <c r="E1784" t="s">
        <v>1772</v>
      </c>
    </row>
    <row r="1785" spans="1:5">
      <c r="A1785">
        <f>HYPERLINK("http://www.twitter.com/nyc311/status/774971371361370113", "774971371361370113")</f>
        <v>0</v>
      </c>
      <c r="B1785" s="2">
        <v>42624.5850347222</v>
      </c>
      <c r="C1785">
        <v>14</v>
      </c>
      <c r="D1785">
        <v>14</v>
      </c>
      <c r="E1785" t="s">
        <v>1773</v>
      </c>
    </row>
    <row r="1786" spans="1:5">
      <c r="A1786">
        <f>HYPERLINK("http://www.twitter.com/nyc311/status/774699443237097473", "774699443237097473")</f>
        <v>0</v>
      </c>
      <c r="B1786" s="2">
        <v>42623.8346643519</v>
      </c>
      <c r="C1786">
        <v>2</v>
      </c>
      <c r="D1786">
        <v>2</v>
      </c>
      <c r="E1786" t="s">
        <v>1774</v>
      </c>
    </row>
    <row r="1787" spans="1:5">
      <c r="A1787">
        <f>HYPERLINK("http://www.twitter.com/nyc311/status/774684388198080512", "774684388198080512")</f>
        <v>0</v>
      </c>
      <c r="B1787" s="2">
        <v>42623.7931134259</v>
      </c>
      <c r="C1787">
        <v>31</v>
      </c>
      <c r="D1787">
        <v>21</v>
      </c>
      <c r="E1787" t="s">
        <v>1775</v>
      </c>
    </row>
    <row r="1788" spans="1:5">
      <c r="A1788">
        <f>HYPERLINK("http://www.twitter.com/nyc311/status/774669297004208128", "774669297004208128")</f>
        <v>0</v>
      </c>
      <c r="B1788" s="2">
        <v>42623.7514699074</v>
      </c>
      <c r="C1788">
        <v>5</v>
      </c>
      <c r="D1788">
        <v>8</v>
      </c>
      <c r="E1788" t="s">
        <v>1776</v>
      </c>
    </row>
    <row r="1789" spans="1:5">
      <c r="A1789">
        <f>HYPERLINK("http://www.twitter.com/nyc311/status/774639272452317184", "774639272452317184")</f>
        <v>0</v>
      </c>
      <c r="B1789" s="2">
        <v>42623.6686226852</v>
      </c>
      <c r="C1789">
        <v>22</v>
      </c>
      <c r="D1789">
        <v>18</v>
      </c>
      <c r="E1789" t="s">
        <v>1777</v>
      </c>
    </row>
    <row r="1790" spans="1:5">
      <c r="A1790">
        <f>HYPERLINK("http://www.twitter.com/nyc311/status/774609058624135168", "774609058624135168")</f>
        <v>0</v>
      </c>
      <c r="B1790" s="2">
        <v>42623.5852430556</v>
      </c>
      <c r="C1790">
        <v>7</v>
      </c>
      <c r="D1790">
        <v>2</v>
      </c>
      <c r="E1790" t="s">
        <v>1778</v>
      </c>
    </row>
    <row r="1791" spans="1:5">
      <c r="A1791">
        <f>HYPERLINK("http://www.twitter.com/nyc311/status/774360794704318472", "774360794704318472")</f>
        <v>0</v>
      </c>
      <c r="B1791" s="2">
        <v>42622.9001736111</v>
      </c>
      <c r="C1791">
        <v>0</v>
      </c>
      <c r="D1791">
        <v>0</v>
      </c>
      <c r="E1791" t="s">
        <v>1779</v>
      </c>
    </row>
    <row r="1792" spans="1:5">
      <c r="A1792">
        <f>HYPERLINK("http://www.twitter.com/nyc311/status/774351867216297984", "774351867216297984")</f>
        <v>0</v>
      </c>
      <c r="B1792" s="2">
        <v>42622.8755324074</v>
      </c>
      <c r="C1792">
        <v>5</v>
      </c>
      <c r="D1792">
        <v>6</v>
      </c>
      <c r="E1792" t="s">
        <v>1780</v>
      </c>
    </row>
    <row r="1793" spans="1:5">
      <c r="A1793">
        <f>HYPERLINK("http://www.twitter.com/nyc311/status/774350243194408961", "774350243194408961")</f>
        <v>0</v>
      </c>
      <c r="B1793" s="2">
        <v>42622.8710532407</v>
      </c>
      <c r="C1793">
        <v>0</v>
      </c>
      <c r="D1793">
        <v>0</v>
      </c>
      <c r="E1793" t="s">
        <v>1781</v>
      </c>
    </row>
    <row r="1794" spans="1:5">
      <c r="A1794">
        <f>HYPERLINK("http://www.twitter.com/nyc311/status/774349499498192897", "774349499498192897")</f>
        <v>0</v>
      </c>
      <c r="B1794" s="2">
        <v>42622.8690046296</v>
      </c>
      <c r="C1794">
        <v>0</v>
      </c>
      <c r="D1794">
        <v>0</v>
      </c>
      <c r="E1794" t="s">
        <v>1782</v>
      </c>
    </row>
    <row r="1795" spans="1:5">
      <c r="A1795">
        <f>HYPERLINK("http://www.twitter.com/nyc311/status/774337980723060736", "774337980723060736")</f>
        <v>0</v>
      </c>
      <c r="B1795" s="2">
        <v>42622.8372106481</v>
      </c>
      <c r="C1795">
        <v>0</v>
      </c>
      <c r="D1795">
        <v>0</v>
      </c>
      <c r="E1795" t="s">
        <v>1783</v>
      </c>
    </row>
    <row r="1796" spans="1:5">
      <c r="A1796">
        <f>HYPERLINK("http://www.twitter.com/nyc311/status/774337263593459712", "774337263593459712")</f>
        <v>0</v>
      </c>
      <c r="B1796" s="2">
        <v>42622.8352314815</v>
      </c>
      <c r="C1796">
        <v>3</v>
      </c>
      <c r="D1796">
        <v>2</v>
      </c>
      <c r="E1796" t="s">
        <v>1784</v>
      </c>
    </row>
    <row r="1797" spans="1:5">
      <c r="A1797">
        <f>HYPERLINK("http://www.twitter.com/nyc311/status/774331757365714944", "774331757365714944")</f>
        <v>0</v>
      </c>
      <c r="B1797" s="2">
        <v>42622.8200462963</v>
      </c>
      <c r="C1797">
        <v>0</v>
      </c>
      <c r="D1797">
        <v>0</v>
      </c>
      <c r="E1797" t="s">
        <v>1785</v>
      </c>
    </row>
    <row r="1798" spans="1:5">
      <c r="A1798">
        <f>HYPERLINK("http://www.twitter.com/nyc311/status/774322298643972096", "774322298643972096")</f>
        <v>0</v>
      </c>
      <c r="B1798" s="2">
        <v>42622.7939351852</v>
      </c>
      <c r="C1798">
        <v>0</v>
      </c>
      <c r="D1798">
        <v>2</v>
      </c>
      <c r="E1798" t="s">
        <v>1786</v>
      </c>
    </row>
    <row r="1799" spans="1:5">
      <c r="A1799">
        <f>HYPERLINK("http://www.twitter.com/nyc311/status/774320978893672448", "774320978893672448")</f>
        <v>0</v>
      </c>
      <c r="B1799" s="2">
        <v>42622.7903009259</v>
      </c>
      <c r="C1799">
        <v>0</v>
      </c>
      <c r="D1799">
        <v>0</v>
      </c>
      <c r="E1799" t="s">
        <v>1787</v>
      </c>
    </row>
    <row r="1800" spans="1:5">
      <c r="A1800">
        <f>HYPERLINK("http://www.twitter.com/nyc311/status/774319901808918529", "774319901808918529")</f>
        <v>0</v>
      </c>
      <c r="B1800" s="2">
        <v>42622.7873263889</v>
      </c>
      <c r="C1800">
        <v>1</v>
      </c>
      <c r="D1800">
        <v>0</v>
      </c>
      <c r="E1800" t="s">
        <v>1788</v>
      </c>
    </row>
    <row r="1801" spans="1:5">
      <c r="A1801">
        <f>HYPERLINK("http://www.twitter.com/nyc311/status/774319078550933504", "774319078550933504")</f>
        <v>0</v>
      </c>
      <c r="B1801" s="2">
        <v>42622.7850578704</v>
      </c>
      <c r="C1801">
        <v>0</v>
      </c>
      <c r="D1801">
        <v>0</v>
      </c>
      <c r="E1801" t="s">
        <v>1789</v>
      </c>
    </row>
    <row r="1802" spans="1:5">
      <c r="A1802">
        <f>HYPERLINK("http://www.twitter.com/nyc311/status/774318641789698048", "774318641789698048")</f>
        <v>0</v>
      </c>
      <c r="B1802" s="2">
        <v>42622.7838541667</v>
      </c>
      <c r="C1802">
        <v>0</v>
      </c>
      <c r="D1802">
        <v>0</v>
      </c>
      <c r="E1802" t="s">
        <v>1790</v>
      </c>
    </row>
    <row r="1803" spans="1:5">
      <c r="A1803">
        <f>HYPERLINK("http://www.twitter.com/nyc311/status/774315191802687489", "774315191802687489")</f>
        <v>0</v>
      </c>
      <c r="B1803" s="2">
        <v>42622.7743287037</v>
      </c>
      <c r="C1803">
        <v>0</v>
      </c>
      <c r="D1803">
        <v>0</v>
      </c>
      <c r="E1803" t="s">
        <v>1791</v>
      </c>
    </row>
    <row r="1804" spans="1:5">
      <c r="A1804">
        <f>HYPERLINK("http://www.twitter.com/nyc311/status/774309439180509184", "774309439180509184")</f>
        <v>0</v>
      </c>
      <c r="B1804" s="2">
        <v>42622.7584490741</v>
      </c>
      <c r="C1804">
        <v>0</v>
      </c>
      <c r="D1804">
        <v>0</v>
      </c>
      <c r="E1804" t="s">
        <v>1792</v>
      </c>
    </row>
    <row r="1805" spans="1:5">
      <c r="A1805">
        <f>HYPERLINK("http://www.twitter.com/nyc311/status/774308616300036096", "774308616300036096")</f>
        <v>0</v>
      </c>
      <c r="B1805" s="2">
        <v>42622.7561805556</v>
      </c>
      <c r="C1805">
        <v>0</v>
      </c>
      <c r="D1805">
        <v>0</v>
      </c>
      <c r="E1805" t="s">
        <v>1793</v>
      </c>
    </row>
    <row r="1806" spans="1:5">
      <c r="A1806">
        <f>HYPERLINK("http://www.twitter.com/nyc311/status/774308442345472000", "774308442345472000")</f>
        <v>0</v>
      </c>
      <c r="B1806" s="2">
        <v>42622.7557060185</v>
      </c>
      <c r="C1806">
        <v>1</v>
      </c>
      <c r="D1806">
        <v>0</v>
      </c>
      <c r="E1806" t="s">
        <v>1794</v>
      </c>
    </row>
    <row r="1807" spans="1:5">
      <c r="A1807">
        <f>HYPERLINK("http://www.twitter.com/nyc311/status/774307123475996672", "774307123475996672")</f>
        <v>0</v>
      </c>
      <c r="B1807" s="2">
        <v>42622.7520601852</v>
      </c>
      <c r="C1807">
        <v>1</v>
      </c>
      <c r="D1807">
        <v>1</v>
      </c>
      <c r="E1807" t="s">
        <v>1795</v>
      </c>
    </row>
    <row r="1808" spans="1:5">
      <c r="A1808">
        <f>HYPERLINK("http://www.twitter.com/nyc311/status/774291838907912192", "774291838907912192")</f>
        <v>0</v>
      </c>
      <c r="B1808" s="2">
        <v>42622.7098842593</v>
      </c>
      <c r="C1808">
        <v>4</v>
      </c>
      <c r="D1808">
        <v>2</v>
      </c>
      <c r="E1808" t="s">
        <v>1796</v>
      </c>
    </row>
    <row r="1809" spans="1:5">
      <c r="A1809">
        <f>HYPERLINK("http://www.twitter.com/nyc311/status/774277216263872512", "774277216263872512")</f>
        <v>0</v>
      </c>
      <c r="B1809" s="2">
        <v>42622.669537037</v>
      </c>
      <c r="C1809">
        <v>2</v>
      </c>
      <c r="D1809">
        <v>2</v>
      </c>
      <c r="E1809" t="s">
        <v>1797</v>
      </c>
    </row>
    <row r="1810" spans="1:5">
      <c r="A1810">
        <f>HYPERLINK("http://www.twitter.com/nyc311/status/774276812646051840", "774276812646051840")</f>
        <v>0</v>
      </c>
      <c r="B1810" s="2">
        <v>42622.6684259259</v>
      </c>
      <c r="C1810">
        <v>0</v>
      </c>
      <c r="D1810">
        <v>0</v>
      </c>
      <c r="E1810" t="s">
        <v>1798</v>
      </c>
    </row>
    <row r="1811" spans="1:5">
      <c r="A1811">
        <f>HYPERLINK("http://www.twitter.com/nyc311/status/774268293746221057", "774268293746221057")</f>
        <v>0</v>
      </c>
      <c r="B1811" s="2">
        <v>42622.6449189815</v>
      </c>
      <c r="C1811">
        <v>0</v>
      </c>
      <c r="D1811">
        <v>0</v>
      </c>
      <c r="E1811" t="s">
        <v>1799</v>
      </c>
    </row>
    <row r="1812" spans="1:5">
      <c r="A1812">
        <f>HYPERLINK("http://www.twitter.com/nyc311/status/774265455636717568", "774265455636717568")</f>
        <v>0</v>
      </c>
      <c r="B1812" s="2">
        <v>42622.6370833333</v>
      </c>
      <c r="C1812">
        <v>0</v>
      </c>
      <c r="D1812">
        <v>0</v>
      </c>
      <c r="E1812" t="s">
        <v>1800</v>
      </c>
    </row>
    <row r="1813" spans="1:5">
      <c r="A1813">
        <f>HYPERLINK("http://www.twitter.com/nyc311/status/774264167859716096", "774264167859716096")</f>
        <v>0</v>
      </c>
      <c r="B1813" s="2">
        <v>42622.6335300926</v>
      </c>
      <c r="C1813">
        <v>0</v>
      </c>
      <c r="D1813">
        <v>0</v>
      </c>
      <c r="E1813" t="s">
        <v>1801</v>
      </c>
    </row>
    <row r="1814" spans="1:5">
      <c r="A1814">
        <f>HYPERLINK("http://www.twitter.com/nyc311/status/774261232467574784", "774261232467574784")</f>
        <v>0</v>
      </c>
      <c r="B1814" s="2">
        <v>42622.6254282407</v>
      </c>
      <c r="C1814">
        <v>0</v>
      </c>
      <c r="D1814">
        <v>0</v>
      </c>
      <c r="E1814" t="s">
        <v>1802</v>
      </c>
    </row>
    <row r="1815" spans="1:5">
      <c r="A1815">
        <f>HYPERLINK("http://www.twitter.com/nyc311/status/774261226931191808", "774261226931191808")</f>
        <v>0</v>
      </c>
      <c r="B1815" s="2">
        <v>42622.6254166667</v>
      </c>
      <c r="C1815">
        <v>2</v>
      </c>
      <c r="D1815">
        <v>0</v>
      </c>
      <c r="E1815" t="s">
        <v>1803</v>
      </c>
    </row>
    <row r="1816" spans="1:5">
      <c r="A1816">
        <f>HYPERLINK("http://www.twitter.com/nyc311/status/774260119643250688", "774260119643250688")</f>
        <v>0</v>
      </c>
      <c r="B1816" s="2">
        <v>42622.6223611111</v>
      </c>
      <c r="C1816">
        <v>0</v>
      </c>
      <c r="D1816">
        <v>0</v>
      </c>
      <c r="E1816" t="s">
        <v>1804</v>
      </c>
    </row>
    <row r="1817" spans="1:5">
      <c r="A1817">
        <f>HYPERLINK("http://www.twitter.com/nyc311/status/774260079830962176", "774260079830962176")</f>
        <v>0</v>
      </c>
      <c r="B1817" s="2">
        <v>42622.6222453704</v>
      </c>
      <c r="C1817">
        <v>0</v>
      </c>
      <c r="D1817">
        <v>0</v>
      </c>
      <c r="E1817" t="s">
        <v>1805</v>
      </c>
    </row>
    <row r="1818" spans="1:5">
      <c r="A1818">
        <f>HYPERLINK("http://www.twitter.com/nyc311/status/774257633176027136", "774257633176027136")</f>
        <v>0</v>
      </c>
      <c r="B1818" s="2">
        <v>42622.6154976852</v>
      </c>
      <c r="C1818">
        <v>0</v>
      </c>
      <c r="D1818">
        <v>0</v>
      </c>
      <c r="E1818" t="s">
        <v>1806</v>
      </c>
    </row>
    <row r="1819" spans="1:5">
      <c r="A1819">
        <f>HYPERLINK("http://www.twitter.com/nyc311/status/774254774267052032", "774254774267052032")</f>
        <v>0</v>
      </c>
      <c r="B1819" s="2">
        <v>42622.6076041667</v>
      </c>
      <c r="C1819">
        <v>0</v>
      </c>
      <c r="D1819">
        <v>0</v>
      </c>
      <c r="E1819" t="s">
        <v>1807</v>
      </c>
    </row>
    <row r="1820" spans="1:5">
      <c r="A1820">
        <f>HYPERLINK("http://www.twitter.com/nyc311/status/774252699567136768", "774252699567136768")</f>
        <v>0</v>
      </c>
      <c r="B1820" s="2">
        <v>42622.6018865741</v>
      </c>
      <c r="C1820">
        <v>2</v>
      </c>
      <c r="D1820">
        <v>1</v>
      </c>
      <c r="E1820" t="s">
        <v>1808</v>
      </c>
    </row>
    <row r="1821" spans="1:5">
      <c r="A1821">
        <f>HYPERLINK("http://www.twitter.com/nyc311/status/774246879962038272", "774246879962038272")</f>
        <v>0</v>
      </c>
      <c r="B1821" s="2">
        <v>42622.5858217593</v>
      </c>
      <c r="C1821">
        <v>4</v>
      </c>
      <c r="D1821">
        <v>6</v>
      </c>
      <c r="E1821" t="s">
        <v>1809</v>
      </c>
    </row>
    <row r="1822" spans="1:5">
      <c r="A1822">
        <f>HYPERLINK("http://www.twitter.com/nyc311/status/773989424208179206", "773989424208179206")</f>
        <v>0</v>
      </c>
      <c r="B1822" s="2">
        <v>42621.8753819444</v>
      </c>
      <c r="C1822">
        <v>10</v>
      </c>
      <c r="D1822">
        <v>12</v>
      </c>
      <c r="E1822" t="s">
        <v>734</v>
      </c>
    </row>
    <row r="1823" spans="1:5">
      <c r="A1823">
        <f>HYPERLINK("http://www.twitter.com/nyc311/status/773974957659418624", "773974957659418624")</f>
        <v>0</v>
      </c>
      <c r="B1823" s="2">
        <v>42621.835462963</v>
      </c>
      <c r="C1823">
        <v>0</v>
      </c>
      <c r="D1823">
        <v>1</v>
      </c>
      <c r="E1823" t="s">
        <v>1810</v>
      </c>
    </row>
    <row r="1824" spans="1:5">
      <c r="A1824">
        <f>HYPERLINK("http://www.twitter.com/nyc311/status/773966699091595264", "773966699091595264")</f>
        <v>0</v>
      </c>
      <c r="B1824" s="2">
        <v>42621.8126736111</v>
      </c>
      <c r="C1824">
        <v>1</v>
      </c>
      <c r="D1824">
        <v>5</v>
      </c>
      <c r="E1824" t="s">
        <v>1811</v>
      </c>
    </row>
    <row r="1825" spans="1:5">
      <c r="A1825">
        <f>HYPERLINK("http://www.twitter.com/nyc311/status/773944291177758725", "773944291177758725")</f>
        <v>0</v>
      </c>
      <c r="B1825" s="2">
        <v>42621.7508333333</v>
      </c>
      <c r="C1825">
        <v>2</v>
      </c>
      <c r="D1825">
        <v>3</v>
      </c>
      <c r="E1825" t="s">
        <v>1812</v>
      </c>
    </row>
    <row r="1826" spans="1:5">
      <c r="A1826">
        <f>HYPERLINK("http://www.twitter.com/nyc311/status/773936495271014400", "773936495271014400")</f>
        <v>0</v>
      </c>
      <c r="B1826" s="2">
        <v>42621.7293287037</v>
      </c>
      <c r="C1826">
        <v>5</v>
      </c>
      <c r="D1826">
        <v>3</v>
      </c>
      <c r="E1826" t="s">
        <v>1813</v>
      </c>
    </row>
    <row r="1827" spans="1:5">
      <c r="A1827">
        <f>HYPERLINK("http://www.twitter.com/nyc311/status/773916469650391040", "773916469650391040")</f>
        <v>0</v>
      </c>
      <c r="B1827" s="2">
        <v>42621.6740625</v>
      </c>
      <c r="C1827">
        <v>0</v>
      </c>
      <c r="D1827">
        <v>0</v>
      </c>
      <c r="E1827" t="s">
        <v>1814</v>
      </c>
    </row>
    <row r="1828" spans="1:5">
      <c r="A1828">
        <f>HYPERLINK("http://www.twitter.com/nyc311/status/773915256120807424", "773915256120807424")</f>
        <v>0</v>
      </c>
      <c r="B1828" s="2">
        <v>42621.6707175926</v>
      </c>
      <c r="C1828">
        <v>0</v>
      </c>
      <c r="D1828">
        <v>0</v>
      </c>
      <c r="E1828" t="s">
        <v>1815</v>
      </c>
    </row>
    <row r="1829" spans="1:5">
      <c r="A1829">
        <f>HYPERLINK("http://www.twitter.com/nyc311/status/773915202966392833", "773915202966392833")</f>
        <v>0</v>
      </c>
      <c r="B1829" s="2">
        <v>42621.6705671296</v>
      </c>
      <c r="C1829">
        <v>0</v>
      </c>
      <c r="D1829">
        <v>0</v>
      </c>
      <c r="E1829" t="s">
        <v>1816</v>
      </c>
    </row>
    <row r="1830" spans="1:5">
      <c r="A1830">
        <f>HYPERLINK("http://www.twitter.com/nyc311/status/773913821882806273", "773913821882806273")</f>
        <v>0</v>
      </c>
      <c r="B1830" s="2">
        <v>42621.6667592593</v>
      </c>
      <c r="C1830">
        <v>4</v>
      </c>
      <c r="D1830">
        <v>5</v>
      </c>
      <c r="E1830" t="s">
        <v>1817</v>
      </c>
    </row>
    <row r="1831" spans="1:5">
      <c r="A1831">
        <f>HYPERLINK("http://www.twitter.com/nyc311/status/773899787020165120", "773899787020165120")</f>
        <v>0</v>
      </c>
      <c r="B1831" s="2">
        <v>42621.6280324074</v>
      </c>
      <c r="C1831">
        <v>0</v>
      </c>
      <c r="D1831">
        <v>0</v>
      </c>
      <c r="E1831" t="s">
        <v>1818</v>
      </c>
    </row>
    <row r="1832" spans="1:5">
      <c r="A1832">
        <f>HYPERLINK("http://www.twitter.com/nyc311/status/773898460449927168", "773898460449927168")</f>
        <v>0</v>
      </c>
      <c r="B1832" s="2">
        <v>42621.6243634259</v>
      </c>
      <c r="C1832">
        <v>0</v>
      </c>
      <c r="D1832">
        <v>0</v>
      </c>
      <c r="E1832" t="s">
        <v>1819</v>
      </c>
    </row>
    <row r="1833" spans="1:5">
      <c r="A1833">
        <f>HYPERLINK("http://www.twitter.com/nyc311/status/773897348971896833", "773897348971896833")</f>
        <v>0</v>
      </c>
      <c r="B1833" s="2">
        <v>42621.6212962963</v>
      </c>
      <c r="C1833">
        <v>0</v>
      </c>
      <c r="D1833">
        <v>0</v>
      </c>
      <c r="E1833" t="s">
        <v>1820</v>
      </c>
    </row>
    <row r="1834" spans="1:5">
      <c r="A1834">
        <f>HYPERLINK("http://www.twitter.com/nyc311/status/773897118092292096", "773897118092292096")</f>
        <v>0</v>
      </c>
      <c r="B1834" s="2">
        <v>42621.6206597222</v>
      </c>
      <c r="C1834">
        <v>0</v>
      </c>
      <c r="D1834">
        <v>0</v>
      </c>
      <c r="E1834" t="s">
        <v>1821</v>
      </c>
    </row>
    <row r="1835" spans="1:5">
      <c r="A1835">
        <f>HYPERLINK("http://www.twitter.com/nyc311/status/773895536462159872", "773895536462159872")</f>
        <v>0</v>
      </c>
      <c r="B1835" s="2">
        <v>42621.6162962963</v>
      </c>
      <c r="C1835">
        <v>0</v>
      </c>
      <c r="D1835">
        <v>0</v>
      </c>
      <c r="E1835" t="s">
        <v>1822</v>
      </c>
    </row>
    <row r="1836" spans="1:5">
      <c r="A1836">
        <f>HYPERLINK("http://www.twitter.com/nyc311/status/773895027701477376", "773895027701477376")</f>
        <v>0</v>
      </c>
      <c r="B1836" s="2">
        <v>42621.6148958333</v>
      </c>
      <c r="C1836">
        <v>0</v>
      </c>
      <c r="D1836">
        <v>0</v>
      </c>
      <c r="E1836" t="s">
        <v>1823</v>
      </c>
    </row>
    <row r="1837" spans="1:5">
      <c r="A1837">
        <f>HYPERLINK("http://www.twitter.com/nyc311/status/773893780990722048", "773893780990722048")</f>
        <v>0</v>
      </c>
      <c r="B1837" s="2">
        <v>42621.6114583333</v>
      </c>
      <c r="C1837">
        <v>0</v>
      </c>
      <c r="D1837">
        <v>0</v>
      </c>
      <c r="E1837" t="s">
        <v>1824</v>
      </c>
    </row>
    <row r="1838" spans="1:5">
      <c r="A1838">
        <f>HYPERLINK("http://www.twitter.com/nyc311/status/773893360255922177", "773893360255922177")</f>
        <v>0</v>
      </c>
      <c r="B1838" s="2">
        <v>42621.6102893519</v>
      </c>
      <c r="C1838">
        <v>0</v>
      </c>
      <c r="D1838">
        <v>0</v>
      </c>
      <c r="E1838" t="s">
        <v>1825</v>
      </c>
    </row>
    <row r="1839" spans="1:5">
      <c r="A1839">
        <f>HYPERLINK("http://www.twitter.com/nyc311/status/773893016071397376", "773893016071397376")</f>
        <v>0</v>
      </c>
      <c r="B1839" s="2">
        <v>42621.6093402778</v>
      </c>
      <c r="C1839">
        <v>0</v>
      </c>
      <c r="D1839">
        <v>0</v>
      </c>
      <c r="E1839" t="s">
        <v>1826</v>
      </c>
    </row>
    <row r="1840" spans="1:5">
      <c r="A1840">
        <f>HYPERLINK("http://www.twitter.com/nyc311/status/773892316910219266", "773892316910219266")</f>
        <v>0</v>
      </c>
      <c r="B1840" s="2">
        <v>42621.6074189815</v>
      </c>
      <c r="C1840">
        <v>0</v>
      </c>
      <c r="D1840">
        <v>0</v>
      </c>
      <c r="E1840" t="s">
        <v>1827</v>
      </c>
    </row>
    <row r="1841" spans="1:5">
      <c r="A1841">
        <f>HYPERLINK("http://www.twitter.com/nyc311/status/773892202464440320", "773892202464440320")</f>
        <v>0</v>
      </c>
      <c r="B1841" s="2">
        <v>42621.6070949074</v>
      </c>
      <c r="C1841">
        <v>0</v>
      </c>
      <c r="D1841">
        <v>0</v>
      </c>
      <c r="E1841" t="s">
        <v>1828</v>
      </c>
    </row>
    <row r="1842" spans="1:5">
      <c r="A1842">
        <f>HYPERLINK("http://www.twitter.com/nyc311/status/773891255751307264", "773891255751307264")</f>
        <v>0</v>
      </c>
      <c r="B1842" s="2">
        <v>42621.6044907407</v>
      </c>
      <c r="C1842">
        <v>0</v>
      </c>
      <c r="D1842">
        <v>0</v>
      </c>
      <c r="E1842" t="s">
        <v>1829</v>
      </c>
    </row>
    <row r="1843" spans="1:5">
      <c r="A1843">
        <f>HYPERLINK("http://www.twitter.com/nyc311/status/773891170938286080", "773891170938286080")</f>
        <v>0</v>
      </c>
      <c r="B1843" s="2">
        <v>42621.6042592593</v>
      </c>
      <c r="C1843">
        <v>0</v>
      </c>
      <c r="D1843">
        <v>0</v>
      </c>
      <c r="E1843" t="s">
        <v>1830</v>
      </c>
    </row>
    <row r="1844" spans="1:5">
      <c r="A1844">
        <f>HYPERLINK("http://www.twitter.com/nyc311/status/773888450625937408", "773888450625937408")</f>
        <v>0</v>
      </c>
      <c r="B1844" s="2">
        <v>42621.5967476852</v>
      </c>
      <c r="C1844">
        <v>1</v>
      </c>
      <c r="D1844">
        <v>0</v>
      </c>
      <c r="E1844" t="s">
        <v>1831</v>
      </c>
    </row>
    <row r="1845" spans="1:5">
      <c r="A1845">
        <f>HYPERLINK("http://www.twitter.com/nyc311/status/773888011574636545", "773888011574636545")</f>
        <v>0</v>
      </c>
      <c r="B1845" s="2">
        <v>42621.5955324074</v>
      </c>
      <c r="C1845">
        <v>0</v>
      </c>
      <c r="D1845">
        <v>0</v>
      </c>
      <c r="E1845" t="s">
        <v>1832</v>
      </c>
    </row>
    <row r="1846" spans="1:5">
      <c r="A1846">
        <f>HYPERLINK("http://www.twitter.com/nyc311/status/773884499205713920", "773884499205713920")</f>
        <v>0</v>
      </c>
      <c r="B1846" s="2">
        <v>42621.5858449074</v>
      </c>
      <c r="C1846">
        <v>2</v>
      </c>
      <c r="D1846">
        <v>6</v>
      </c>
      <c r="E1846" t="s">
        <v>1833</v>
      </c>
    </row>
    <row r="1847" spans="1:5">
      <c r="A1847">
        <f>HYPERLINK("http://www.twitter.com/nyc311/status/773884186310635520", "773884186310635520")</f>
        <v>0</v>
      </c>
      <c r="B1847" s="2">
        <v>42621.5849768519</v>
      </c>
      <c r="C1847">
        <v>1</v>
      </c>
      <c r="D1847">
        <v>1</v>
      </c>
      <c r="E1847" t="s">
        <v>1834</v>
      </c>
    </row>
    <row r="1848" spans="1:5">
      <c r="A1848">
        <f>HYPERLINK("http://www.twitter.com/nyc311/status/773883568795820032", "773883568795820032")</f>
        <v>0</v>
      </c>
      <c r="B1848" s="2">
        <v>42621.583275463</v>
      </c>
      <c r="C1848">
        <v>0</v>
      </c>
      <c r="D1848">
        <v>0</v>
      </c>
      <c r="E1848" t="s">
        <v>1835</v>
      </c>
    </row>
    <row r="1849" spans="1:5">
      <c r="A1849">
        <f>HYPERLINK("http://www.twitter.com/nyc311/status/773869287295557632", "773869287295557632")</f>
        <v>0</v>
      </c>
      <c r="B1849" s="2">
        <v>42621.5438657407</v>
      </c>
      <c r="C1849">
        <v>2</v>
      </c>
      <c r="D1849">
        <v>1</v>
      </c>
      <c r="E1849" t="s">
        <v>1836</v>
      </c>
    </row>
    <row r="1850" spans="1:5">
      <c r="A1850">
        <f>HYPERLINK("http://www.twitter.com/nyc311/status/773854107396366337", "773854107396366337")</f>
        <v>0</v>
      </c>
      <c r="B1850" s="2">
        <v>42621.5019791667</v>
      </c>
      <c r="C1850">
        <v>9</v>
      </c>
      <c r="D1850">
        <v>6</v>
      </c>
      <c r="E1850" t="s">
        <v>1837</v>
      </c>
    </row>
    <row r="1851" spans="1:5">
      <c r="A1851">
        <f>HYPERLINK("http://www.twitter.com/nyc311/status/773612488340439040", "773612488340439040")</f>
        <v>0</v>
      </c>
      <c r="B1851" s="2">
        <v>42620.8352314815</v>
      </c>
      <c r="C1851">
        <v>1</v>
      </c>
      <c r="D1851">
        <v>2</v>
      </c>
      <c r="E1851" t="s">
        <v>1838</v>
      </c>
    </row>
    <row r="1852" spans="1:5">
      <c r="A1852">
        <f>HYPERLINK("http://www.twitter.com/nyc311/status/773606558789955585", "773606558789955585")</f>
        <v>0</v>
      </c>
      <c r="B1852" s="2">
        <v>42620.8188773148</v>
      </c>
      <c r="C1852">
        <v>0</v>
      </c>
      <c r="D1852">
        <v>0</v>
      </c>
      <c r="E1852" t="s">
        <v>1839</v>
      </c>
    </row>
    <row r="1853" spans="1:5">
      <c r="A1853">
        <f>HYPERLINK("http://www.twitter.com/nyc311/status/773598083666026496", "773598083666026496")</f>
        <v>0</v>
      </c>
      <c r="B1853" s="2">
        <v>42620.7954861111</v>
      </c>
      <c r="C1853">
        <v>0</v>
      </c>
      <c r="D1853">
        <v>0</v>
      </c>
      <c r="E1853" t="s">
        <v>1840</v>
      </c>
    </row>
    <row r="1854" spans="1:5">
      <c r="A1854">
        <f>HYPERLINK("http://www.twitter.com/nyc311/status/773597515807617026", "773597515807617026")</f>
        <v>0</v>
      </c>
      <c r="B1854" s="2">
        <v>42620.7939236111</v>
      </c>
      <c r="C1854">
        <v>7</v>
      </c>
      <c r="D1854">
        <v>6</v>
      </c>
      <c r="E1854" t="s">
        <v>1841</v>
      </c>
    </row>
    <row r="1855" spans="1:5">
      <c r="A1855">
        <f>HYPERLINK("http://www.twitter.com/nyc311/status/773582325015773184", "773582325015773184")</f>
        <v>0</v>
      </c>
      <c r="B1855" s="2">
        <v>42620.7520023148</v>
      </c>
      <c r="C1855">
        <v>11</v>
      </c>
      <c r="D1855">
        <v>11</v>
      </c>
      <c r="E1855" t="s">
        <v>1842</v>
      </c>
    </row>
    <row r="1856" spans="1:5">
      <c r="A1856">
        <f>HYPERLINK("http://www.twitter.com/nyc311/status/773577523582083073", "773577523582083073")</f>
        <v>0</v>
      </c>
      <c r="B1856" s="2">
        <v>42620.73875</v>
      </c>
      <c r="C1856">
        <v>1</v>
      </c>
      <c r="D1856">
        <v>0</v>
      </c>
      <c r="E1856" t="s">
        <v>1843</v>
      </c>
    </row>
    <row r="1857" spans="1:5">
      <c r="A1857">
        <f>HYPERLINK("http://www.twitter.com/nyc311/status/773567822307979264", "773567822307979264")</f>
        <v>0</v>
      </c>
      <c r="B1857" s="2">
        <v>42620.7119791667</v>
      </c>
      <c r="C1857">
        <v>0</v>
      </c>
      <c r="D1857">
        <v>0</v>
      </c>
      <c r="E1857" t="s">
        <v>1844</v>
      </c>
    </row>
    <row r="1858" spans="1:5">
      <c r="A1858">
        <f>HYPERLINK("http://www.twitter.com/nyc311/status/773564031949037570", "773564031949037570")</f>
        <v>0</v>
      </c>
      <c r="B1858" s="2">
        <v>42620.7015162037</v>
      </c>
      <c r="C1858">
        <v>0</v>
      </c>
      <c r="D1858">
        <v>0</v>
      </c>
      <c r="E1858" t="s">
        <v>1845</v>
      </c>
    </row>
    <row r="1859" spans="1:5">
      <c r="A1859">
        <f>HYPERLINK("http://www.twitter.com/nyc311/status/773558666217807872", "773558666217807872")</f>
        <v>0</v>
      </c>
      <c r="B1859" s="2">
        <v>42620.686712963</v>
      </c>
      <c r="C1859">
        <v>0</v>
      </c>
      <c r="D1859">
        <v>0</v>
      </c>
      <c r="E1859" t="s">
        <v>1846</v>
      </c>
    </row>
    <row r="1860" spans="1:5">
      <c r="A1860">
        <f>HYPERLINK("http://www.twitter.com/nyc311/status/773554156774752256", "773554156774752256")</f>
        <v>0</v>
      </c>
      <c r="B1860" s="2">
        <v>42620.6742708333</v>
      </c>
      <c r="C1860">
        <v>0</v>
      </c>
      <c r="D1860">
        <v>0</v>
      </c>
      <c r="E1860" t="s">
        <v>1847</v>
      </c>
    </row>
    <row r="1861" spans="1:5">
      <c r="A1861">
        <f>HYPERLINK("http://www.twitter.com/nyc311/status/773552365693730816", "773552365693730816")</f>
        <v>0</v>
      </c>
      <c r="B1861" s="2">
        <v>42620.6693287037</v>
      </c>
      <c r="C1861">
        <v>4</v>
      </c>
      <c r="D1861">
        <v>3</v>
      </c>
      <c r="E1861" t="s">
        <v>1848</v>
      </c>
    </row>
    <row r="1862" spans="1:5">
      <c r="A1862">
        <f>HYPERLINK("http://www.twitter.com/nyc311/status/773540797547421696", "773540797547421696")</f>
        <v>0</v>
      </c>
      <c r="B1862" s="2">
        <v>42620.6374074074</v>
      </c>
      <c r="C1862">
        <v>0</v>
      </c>
      <c r="D1862">
        <v>0</v>
      </c>
      <c r="E1862" t="s">
        <v>1849</v>
      </c>
    </row>
    <row r="1863" spans="1:5">
      <c r="A1863">
        <f>HYPERLINK("http://www.twitter.com/nyc311/status/773540134545461248", "773540134545461248")</f>
        <v>0</v>
      </c>
      <c r="B1863" s="2">
        <v>42620.6355787037</v>
      </c>
      <c r="C1863">
        <v>0</v>
      </c>
      <c r="D1863">
        <v>0</v>
      </c>
      <c r="E1863" t="s">
        <v>1850</v>
      </c>
    </row>
    <row r="1864" spans="1:5">
      <c r="A1864">
        <f>HYPERLINK("http://www.twitter.com/nyc311/status/773538758830555136", "773538758830555136")</f>
        <v>0</v>
      </c>
      <c r="B1864" s="2">
        <v>42620.6317824074</v>
      </c>
      <c r="C1864">
        <v>1</v>
      </c>
      <c r="D1864">
        <v>0</v>
      </c>
      <c r="E1864" t="s">
        <v>1851</v>
      </c>
    </row>
    <row r="1865" spans="1:5">
      <c r="A1865">
        <f>HYPERLINK("http://www.twitter.com/nyc311/status/773538520724045825", "773538520724045825")</f>
        <v>0</v>
      </c>
      <c r="B1865" s="2">
        <v>42620.6311226852</v>
      </c>
      <c r="C1865">
        <v>1</v>
      </c>
      <c r="D1865">
        <v>0</v>
      </c>
      <c r="E1865" t="s">
        <v>1852</v>
      </c>
    </row>
    <row r="1866" spans="1:5">
      <c r="A1866">
        <f>HYPERLINK("http://www.twitter.com/nyc311/status/773538388179873793", "773538388179873793")</f>
        <v>0</v>
      </c>
      <c r="B1866" s="2">
        <v>42620.6307638889</v>
      </c>
      <c r="C1866">
        <v>0</v>
      </c>
      <c r="D1866">
        <v>0</v>
      </c>
      <c r="E1866" t="s">
        <v>1853</v>
      </c>
    </row>
    <row r="1867" spans="1:5">
      <c r="A1867">
        <f>HYPERLINK("http://www.twitter.com/nyc311/status/773538137662451712", "773538137662451712")</f>
        <v>0</v>
      </c>
      <c r="B1867" s="2">
        <v>42620.6300694444</v>
      </c>
      <c r="C1867">
        <v>0</v>
      </c>
      <c r="D1867">
        <v>0</v>
      </c>
      <c r="E1867" t="s">
        <v>1854</v>
      </c>
    </row>
    <row r="1868" spans="1:5">
      <c r="A1868">
        <f>HYPERLINK("http://www.twitter.com/nyc311/status/773536854096416768", "773536854096416768")</f>
        <v>0</v>
      </c>
      <c r="B1868" s="2">
        <v>42620.6265277778</v>
      </c>
      <c r="C1868">
        <v>0</v>
      </c>
      <c r="D1868">
        <v>0</v>
      </c>
      <c r="E1868" t="s">
        <v>1855</v>
      </c>
    </row>
    <row r="1869" spans="1:5">
      <c r="A1869">
        <f>HYPERLINK("http://www.twitter.com/nyc311/status/773536469130633220", "773536469130633220")</f>
        <v>0</v>
      </c>
      <c r="B1869" s="2">
        <v>42620.625462963</v>
      </c>
      <c r="C1869">
        <v>5</v>
      </c>
      <c r="D1869">
        <v>18</v>
      </c>
      <c r="E1869" t="s">
        <v>1856</v>
      </c>
    </row>
    <row r="1870" spans="1:5">
      <c r="A1870">
        <f>HYPERLINK("http://www.twitter.com/nyc311/status/773535552163422208", "773535552163422208")</f>
        <v>0</v>
      </c>
      <c r="B1870" s="2">
        <v>42620.6229282407</v>
      </c>
      <c r="C1870">
        <v>0</v>
      </c>
      <c r="D1870">
        <v>0</v>
      </c>
      <c r="E1870" t="s">
        <v>1857</v>
      </c>
    </row>
    <row r="1871" spans="1:5">
      <c r="A1871">
        <f>HYPERLINK("http://www.twitter.com/nyc311/status/773535518558654465", "773535518558654465")</f>
        <v>0</v>
      </c>
      <c r="B1871" s="2">
        <v>42620.6228356482</v>
      </c>
      <c r="C1871">
        <v>0</v>
      </c>
      <c r="D1871">
        <v>0</v>
      </c>
      <c r="E1871" t="s">
        <v>1858</v>
      </c>
    </row>
    <row r="1872" spans="1:5">
      <c r="A1872">
        <f>HYPERLINK("http://www.twitter.com/nyc311/status/773535319929028608", "773535319929028608")</f>
        <v>0</v>
      </c>
      <c r="B1872" s="2">
        <v>42620.6222916667</v>
      </c>
      <c r="C1872">
        <v>0</v>
      </c>
      <c r="D1872">
        <v>0</v>
      </c>
      <c r="E1872" t="s">
        <v>1859</v>
      </c>
    </row>
    <row r="1873" spans="1:5">
      <c r="A1873">
        <f>HYPERLINK("http://www.twitter.com/nyc311/status/773534512278040576", "773534512278040576")</f>
        <v>0</v>
      </c>
      <c r="B1873" s="2">
        <v>42620.6200578704</v>
      </c>
      <c r="C1873">
        <v>1</v>
      </c>
      <c r="D1873">
        <v>0</v>
      </c>
      <c r="E1873" t="s">
        <v>1860</v>
      </c>
    </row>
    <row r="1874" spans="1:5">
      <c r="A1874">
        <f>HYPERLINK("http://www.twitter.com/nyc311/status/773530669767065600", "773530669767065600")</f>
        <v>0</v>
      </c>
      <c r="B1874" s="2">
        <v>42620.6094560185</v>
      </c>
      <c r="C1874">
        <v>0</v>
      </c>
      <c r="D1874">
        <v>0</v>
      </c>
      <c r="E1874" t="s">
        <v>1861</v>
      </c>
    </row>
    <row r="1875" spans="1:5">
      <c r="A1875">
        <f>HYPERLINK("http://www.twitter.com/nyc311/status/773530404317954048", "773530404317954048")</f>
        <v>0</v>
      </c>
      <c r="B1875" s="2">
        <v>42620.6087268519</v>
      </c>
      <c r="C1875">
        <v>0</v>
      </c>
      <c r="D1875">
        <v>0</v>
      </c>
      <c r="E1875" t="s">
        <v>1862</v>
      </c>
    </row>
    <row r="1876" spans="1:5">
      <c r="A1876">
        <f>HYPERLINK("http://www.twitter.com/nyc311/status/773522124292157440", "773522124292157440")</f>
        <v>0</v>
      </c>
      <c r="B1876" s="2">
        <v>42620.5858796296</v>
      </c>
      <c r="C1876">
        <v>2</v>
      </c>
      <c r="D1876">
        <v>5</v>
      </c>
      <c r="E1876" t="s">
        <v>294</v>
      </c>
    </row>
    <row r="1877" spans="1:5">
      <c r="A1877">
        <f>HYPERLINK("http://www.twitter.com/nyc311/status/773271876852445184", "773271876852445184")</f>
        <v>0</v>
      </c>
      <c r="B1877" s="2">
        <v>42619.8953240741</v>
      </c>
      <c r="C1877">
        <v>0</v>
      </c>
      <c r="D1877">
        <v>0</v>
      </c>
      <c r="E1877" t="s">
        <v>1863</v>
      </c>
    </row>
    <row r="1878" spans="1:5">
      <c r="A1878">
        <f>HYPERLINK("http://www.twitter.com/nyc311/status/773257338899820545", "773257338899820545")</f>
        <v>0</v>
      </c>
      <c r="B1878" s="2">
        <v>42619.8552083333</v>
      </c>
      <c r="C1878">
        <v>0</v>
      </c>
      <c r="D1878">
        <v>0</v>
      </c>
      <c r="E1878" t="s">
        <v>1864</v>
      </c>
    </row>
    <row r="1879" spans="1:5">
      <c r="A1879">
        <f>HYPERLINK("http://www.twitter.com/nyc311/status/773256983763910656", "773256983763910656")</f>
        <v>0</v>
      </c>
      <c r="B1879" s="2">
        <v>42619.8542361111</v>
      </c>
      <c r="C1879">
        <v>1</v>
      </c>
      <c r="D1879">
        <v>0</v>
      </c>
      <c r="E1879" t="s">
        <v>1865</v>
      </c>
    </row>
    <row r="1880" spans="1:5">
      <c r="A1880">
        <f>HYPERLINK("http://www.twitter.com/nyc311/status/773256904319598593", "773256904319598593")</f>
        <v>0</v>
      </c>
      <c r="B1880" s="2">
        <v>42619.8540162037</v>
      </c>
      <c r="C1880">
        <v>0</v>
      </c>
      <c r="D1880">
        <v>0</v>
      </c>
      <c r="E1880" t="s">
        <v>1866</v>
      </c>
    </row>
    <row r="1881" spans="1:5">
      <c r="A1881">
        <f>HYPERLINK("http://www.twitter.com/nyc311/status/773255113234317314", "773255113234317314")</f>
        <v>0</v>
      </c>
      <c r="B1881" s="2">
        <v>42619.8490740741</v>
      </c>
      <c r="C1881">
        <v>0</v>
      </c>
      <c r="D1881">
        <v>0</v>
      </c>
      <c r="E1881" t="s">
        <v>1867</v>
      </c>
    </row>
    <row r="1882" spans="1:5">
      <c r="A1882">
        <f>HYPERLINK("http://www.twitter.com/nyc311/status/773252992594239488", "773252992594239488")</f>
        <v>0</v>
      </c>
      <c r="B1882" s="2">
        <v>42619.8432175926</v>
      </c>
      <c r="C1882">
        <v>0</v>
      </c>
      <c r="D1882">
        <v>0</v>
      </c>
      <c r="E1882" t="s">
        <v>1868</v>
      </c>
    </row>
    <row r="1883" spans="1:5">
      <c r="A1883">
        <f>HYPERLINK("http://www.twitter.com/nyc311/status/773251161256292352", "773251161256292352")</f>
        <v>0</v>
      </c>
      <c r="B1883" s="2">
        <v>42619.8381597222</v>
      </c>
      <c r="C1883">
        <v>0</v>
      </c>
      <c r="D1883">
        <v>0</v>
      </c>
      <c r="E1883" t="s">
        <v>1869</v>
      </c>
    </row>
    <row r="1884" spans="1:5">
      <c r="A1884">
        <f>HYPERLINK("http://www.twitter.com/nyc311/status/773250572531142656", "773250572531142656")</f>
        <v>0</v>
      </c>
      <c r="B1884" s="2">
        <v>42619.8365393519</v>
      </c>
      <c r="C1884">
        <v>1</v>
      </c>
      <c r="D1884">
        <v>0</v>
      </c>
      <c r="E1884" t="s">
        <v>1870</v>
      </c>
    </row>
    <row r="1885" spans="1:5">
      <c r="A1885">
        <f>HYPERLINK("http://www.twitter.com/nyc311/status/773250035769278464", "773250035769278464")</f>
        <v>0</v>
      </c>
      <c r="B1885" s="2">
        <v>42619.8350578704</v>
      </c>
      <c r="C1885">
        <v>1</v>
      </c>
      <c r="D1885">
        <v>1</v>
      </c>
      <c r="E1885" t="s">
        <v>1871</v>
      </c>
    </row>
    <row r="1886" spans="1:5">
      <c r="A1886">
        <f>HYPERLINK("http://www.twitter.com/nyc311/status/773224949528035329", "773224949528035329")</f>
        <v>0</v>
      </c>
      <c r="B1886" s="2">
        <v>42619.7658333333</v>
      </c>
      <c r="C1886">
        <v>1</v>
      </c>
      <c r="D1886">
        <v>0</v>
      </c>
      <c r="E1886" t="s">
        <v>1872</v>
      </c>
    </row>
    <row r="1887" spans="1:5">
      <c r="A1887">
        <f>HYPERLINK("http://www.twitter.com/nyc311/status/773221086804803584", "773221086804803584")</f>
        <v>0</v>
      </c>
      <c r="B1887" s="2">
        <v>42619.7551736111</v>
      </c>
      <c r="C1887">
        <v>1</v>
      </c>
      <c r="D1887">
        <v>0</v>
      </c>
      <c r="E1887" t="s">
        <v>1873</v>
      </c>
    </row>
    <row r="1888" spans="1:5">
      <c r="A1888">
        <f>HYPERLINK("http://www.twitter.com/nyc311/status/773220267267088384", "773220267267088384")</f>
        <v>0</v>
      </c>
      <c r="B1888" s="2">
        <v>42619.7529166667</v>
      </c>
      <c r="C1888">
        <v>1</v>
      </c>
      <c r="D1888">
        <v>0</v>
      </c>
      <c r="E1888" t="s">
        <v>1874</v>
      </c>
    </row>
    <row r="1889" spans="1:5">
      <c r="A1889">
        <f>HYPERLINK("http://www.twitter.com/nyc311/status/773219982574555136", "773219982574555136")</f>
        <v>0</v>
      </c>
      <c r="B1889" s="2">
        <v>42619.7521296296</v>
      </c>
      <c r="C1889">
        <v>7</v>
      </c>
      <c r="D1889">
        <v>8</v>
      </c>
      <c r="E1889" t="s">
        <v>1875</v>
      </c>
    </row>
    <row r="1890" spans="1:5">
      <c r="A1890">
        <f>HYPERLINK("http://www.twitter.com/nyc311/status/773219676348420097", "773219676348420097")</f>
        <v>0</v>
      </c>
      <c r="B1890" s="2">
        <v>42619.7512847222</v>
      </c>
      <c r="C1890">
        <v>0</v>
      </c>
      <c r="D1890">
        <v>0</v>
      </c>
      <c r="E1890" t="s">
        <v>1876</v>
      </c>
    </row>
    <row r="1891" spans="1:5">
      <c r="A1891">
        <f>HYPERLINK("http://www.twitter.com/nyc311/status/773217295141339136", "773217295141339136")</f>
        <v>0</v>
      </c>
      <c r="B1891" s="2">
        <v>42619.7447106481</v>
      </c>
      <c r="C1891">
        <v>0</v>
      </c>
      <c r="D1891">
        <v>0</v>
      </c>
      <c r="E1891" t="s">
        <v>1877</v>
      </c>
    </row>
    <row r="1892" spans="1:5">
      <c r="A1892">
        <f>HYPERLINK("http://www.twitter.com/nyc311/status/773216770358407169", "773216770358407169")</f>
        <v>0</v>
      </c>
      <c r="B1892" s="2">
        <v>42619.7432638889</v>
      </c>
      <c r="C1892">
        <v>0</v>
      </c>
      <c r="D1892">
        <v>0</v>
      </c>
      <c r="E1892" t="s">
        <v>1878</v>
      </c>
    </row>
    <row r="1893" spans="1:5">
      <c r="A1893">
        <f>HYPERLINK("http://www.twitter.com/nyc311/status/773214207068233728", "773214207068233728")</f>
        <v>0</v>
      </c>
      <c r="B1893" s="2">
        <v>42619.7361921296</v>
      </c>
      <c r="C1893">
        <v>0</v>
      </c>
      <c r="D1893">
        <v>0</v>
      </c>
      <c r="E1893" t="s">
        <v>1879</v>
      </c>
    </row>
    <row r="1894" spans="1:5">
      <c r="A1894">
        <f>HYPERLINK("http://www.twitter.com/nyc311/status/773213814938558464", "773213814938558464")</f>
        <v>0</v>
      </c>
      <c r="B1894" s="2">
        <v>42619.7351041667</v>
      </c>
      <c r="C1894">
        <v>1</v>
      </c>
      <c r="D1894">
        <v>0</v>
      </c>
      <c r="E1894" t="s">
        <v>1880</v>
      </c>
    </row>
    <row r="1895" spans="1:5">
      <c r="A1895">
        <f>HYPERLINK("http://www.twitter.com/nyc311/status/773210836928196608", "773210836928196608")</f>
        <v>0</v>
      </c>
      <c r="B1895" s="2">
        <v>42619.7268865741</v>
      </c>
      <c r="C1895">
        <v>1</v>
      </c>
      <c r="D1895">
        <v>0</v>
      </c>
      <c r="E1895" t="s">
        <v>1881</v>
      </c>
    </row>
    <row r="1896" spans="1:5">
      <c r="A1896">
        <f>HYPERLINK("http://www.twitter.com/nyc311/status/773205015188111360", "773205015188111360")</f>
        <v>0</v>
      </c>
      <c r="B1896" s="2">
        <v>42619.7108217593</v>
      </c>
      <c r="C1896">
        <v>2</v>
      </c>
      <c r="D1896">
        <v>2</v>
      </c>
      <c r="E1896" t="s">
        <v>1882</v>
      </c>
    </row>
    <row r="1897" spans="1:5">
      <c r="A1897">
        <f>HYPERLINK("http://www.twitter.com/nyc311/status/773199646365720576", "773199646365720576")</f>
        <v>0</v>
      </c>
      <c r="B1897" s="2">
        <v>42619.6960069444</v>
      </c>
      <c r="C1897">
        <v>0</v>
      </c>
      <c r="D1897">
        <v>0</v>
      </c>
      <c r="E1897" t="s">
        <v>1883</v>
      </c>
    </row>
    <row r="1898" spans="1:5">
      <c r="A1898">
        <f>HYPERLINK("http://www.twitter.com/nyc311/status/773198223284502530", "773198223284502530")</f>
        <v>0</v>
      </c>
      <c r="B1898" s="2">
        <v>42619.6920833333</v>
      </c>
      <c r="C1898">
        <v>0</v>
      </c>
      <c r="D1898">
        <v>0</v>
      </c>
      <c r="E1898" t="s">
        <v>1884</v>
      </c>
    </row>
    <row r="1899" spans="1:5">
      <c r="A1899">
        <f>HYPERLINK("http://www.twitter.com/nyc311/status/773197720379133952", "773197720379133952")</f>
        <v>0</v>
      </c>
      <c r="B1899" s="2">
        <v>42619.6906944444</v>
      </c>
      <c r="C1899">
        <v>0</v>
      </c>
      <c r="D1899">
        <v>0</v>
      </c>
      <c r="E1899" t="s">
        <v>1885</v>
      </c>
    </row>
    <row r="1900" spans="1:5">
      <c r="A1900">
        <f>HYPERLINK("http://www.twitter.com/nyc311/status/773196851373830145", "773196851373830145")</f>
        <v>0</v>
      </c>
      <c r="B1900" s="2">
        <v>42619.6882986111</v>
      </c>
      <c r="C1900">
        <v>0</v>
      </c>
      <c r="D1900">
        <v>0</v>
      </c>
      <c r="E1900" t="s">
        <v>1886</v>
      </c>
    </row>
    <row r="1901" spans="1:5">
      <c r="A1901">
        <f>HYPERLINK("http://www.twitter.com/nyc311/status/773191488024870912", "773191488024870912")</f>
        <v>0</v>
      </c>
      <c r="B1901" s="2">
        <v>42619.6734953704</v>
      </c>
      <c r="C1901">
        <v>0</v>
      </c>
      <c r="D1901">
        <v>0</v>
      </c>
      <c r="E1901" t="s">
        <v>1887</v>
      </c>
    </row>
    <row r="1902" spans="1:5">
      <c r="A1902">
        <f>HYPERLINK("http://www.twitter.com/nyc311/status/773191220063502337", "773191220063502337")</f>
        <v>0</v>
      </c>
      <c r="B1902" s="2">
        <v>42619.6727546296</v>
      </c>
      <c r="C1902">
        <v>0</v>
      </c>
      <c r="D1902">
        <v>0</v>
      </c>
      <c r="E1902" t="s">
        <v>1888</v>
      </c>
    </row>
    <row r="1903" spans="1:5">
      <c r="A1903">
        <f>HYPERLINK("http://www.twitter.com/nyc311/status/773191205261828096", "773191205261828096")</f>
        <v>0</v>
      </c>
      <c r="B1903" s="2">
        <v>42619.6727199074</v>
      </c>
      <c r="C1903">
        <v>0</v>
      </c>
      <c r="D1903">
        <v>0</v>
      </c>
      <c r="E1903" t="s">
        <v>1889</v>
      </c>
    </row>
    <row r="1904" spans="1:5">
      <c r="A1904">
        <f>HYPERLINK("http://www.twitter.com/nyc311/status/773191043626008576", "773191043626008576")</f>
        <v>0</v>
      </c>
      <c r="B1904" s="2">
        <v>42619.6722685185</v>
      </c>
      <c r="C1904">
        <v>0</v>
      </c>
      <c r="D1904">
        <v>0</v>
      </c>
      <c r="E1904" t="s">
        <v>1890</v>
      </c>
    </row>
    <row r="1905" spans="1:5">
      <c r="A1905">
        <f>HYPERLINK("http://www.twitter.com/nyc311/status/773190239884079104", "773190239884079104")</f>
        <v>0</v>
      </c>
      <c r="B1905" s="2">
        <v>42619.6700578704</v>
      </c>
      <c r="C1905">
        <v>2</v>
      </c>
      <c r="D1905">
        <v>0</v>
      </c>
      <c r="E1905" t="s">
        <v>1891</v>
      </c>
    </row>
    <row r="1906" spans="1:5">
      <c r="A1906">
        <f>HYPERLINK("http://www.twitter.com/nyc311/status/773189301110706176", "773189301110706176")</f>
        <v>0</v>
      </c>
      <c r="B1906" s="2">
        <v>42619.6674652778</v>
      </c>
      <c r="C1906">
        <v>5</v>
      </c>
      <c r="D1906">
        <v>12</v>
      </c>
      <c r="E1906" t="s">
        <v>1892</v>
      </c>
    </row>
    <row r="1907" spans="1:5">
      <c r="A1907">
        <f>HYPERLINK("http://www.twitter.com/nyc311/status/773189266092556289", "773189266092556289")</f>
        <v>0</v>
      </c>
      <c r="B1907" s="2">
        <v>42619.6673611111</v>
      </c>
      <c r="C1907">
        <v>0</v>
      </c>
      <c r="D1907">
        <v>0</v>
      </c>
      <c r="E1907" t="s">
        <v>1893</v>
      </c>
    </row>
    <row r="1908" spans="1:5">
      <c r="A1908">
        <f>HYPERLINK("http://www.twitter.com/nyc311/status/773186834201477121", "773186834201477121")</f>
        <v>0</v>
      </c>
      <c r="B1908" s="2">
        <v>42619.6606597222</v>
      </c>
      <c r="C1908">
        <v>0</v>
      </c>
      <c r="D1908">
        <v>0</v>
      </c>
      <c r="E1908" t="s">
        <v>1894</v>
      </c>
    </row>
    <row r="1909" spans="1:5">
      <c r="A1909">
        <f>HYPERLINK("http://www.twitter.com/nyc311/status/773185822925488128", "773185822925488128")</f>
        <v>0</v>
      </c>
      <c r="B1909" s="2">
        <v>42619.6578587963</v>
      </c>
      <c r="C1909">
        <v>1</v>
      </c>
      <c r="D1909">
        <v>0</v>
      </c>
      <c r="E1909" t="s">
        <v>1895</v>
      </c>
    </row>
    <row r="1910" spans="1:5">
      <c r="A1910">
        <f>HYPERLINK("http://www.twitter.com/nyc311/status/773184263294480384", "773184263294480384")</f>
        <v>0</v>
      </c>
      <c r="B1910" s="2">
        <v>42619.6535648148</v>
      </c>
      <c r="C1910">
        <v>0</v>
      </c>
      <c r="D1910">
        <v>0</v>
      </c>
      <c r="E1910" t="s">
        <v>1896</v>
      </c>
    </row>
    <row r="1911" spans="1:5">
      <c r="A1911">
        <f>HYPERLINK("http://www.twitter.com/nyc311/status/773178106932760576", "773178106932760576")</f>
        <v>0</v>
      </c>
      <c r="B1911" s="2">
        <v>42619.6365740741</v>
      </c>
      <c r="C1911">
        <v>0</v>
      </c>
      <c r="D1911">
        <v>0</v>
      </c>
      <c r="E1911" t="s">
        <v>1897</v>
      </c>
    </row>
    <row r="1912" spans="1:5">
      <c r="A1912">
        <f>HYPERLINK("http://www.twitter.com/nyc311/status/773177530488647685", "773177530488647685")</f>
        <v>0</v>
      </c>
      <c r="B1912" s="2">
        <v>42619.6349768518</v>
      </c>
      <c r="C1912">
        <v>0</v>
      </c>
      <c r="D1912">
        <v>0</v>
      </c>
      <c r="E1912" t="s">
        <v>1898</v>
      </c>
    </row>
    <row r="1913" spans="1:5">
      <c r="A1913">
        <f>HYPERLINK("http://www.twitter.com/nyc311/status/773176751157633024", "773176751157633024")</f>
        <v>0</v>
      </c>
      <c r="B1913" s="2">
        <v>42619.6328356481</v>
      </c>
      <c r="C1913">
        <v>0</v>
      </c>
      <c r="D1913">
        <v>0</v>
      </c>
      <c r="E1913" t="s">
        <v>1899</v>
      </c>
    </row>
    <row r="1914" spans="1:5">
      <c r="A1914">
        <f>HYPERLINK("http://www.twitter.com/nyc311/status/773174910906691584", "773174910906691584")</f>
        <v>0</v>
      </c>
      <c r="B1914" s="2">
        <v>42619.6277546296</v>
      </c>
      <c r="C1914">
        <v>0</v>
      </c>
      <c r="D1914">
        <v>0</v>
      </c>
      <c r="E1914" t="s">
        <v>1900</v>
      </c>
    </row>
    <row r="1915" spans="1:5">
      <c r="A1915">
        <f>HYPERLINK("http://www.twitter.com/nyc311/status/773174790014328836", "773174790014328836")</f>
        <v>0</v>
      </c>
      <c r="B1915" s="2">
        <v>42619.6274189815</v>
      </c>
      <c r="C1915">
        <v>2</v>
      </c>
      <c r="D1915">
        <v>4</v>
      </c>
      <c r="E1915" t="s">
        <v>1901</v>
      </c>
    </row>
    <row r="1916" spans="1:5">
      <c r="A1916">
        <f>HYPERLINK("http://www.twitter.com/nyc311/status/773174094221180928", "773174094221180928")</f>
        <v>0</v>
      </c>
      <c r="B1916" s="2">
        <v>42619.6254976852</v>
      </c>
      <c r="C1916">
        <v>0</v>
      </c>
      <c r="D1916">
        <v>0</v>
      </c>
      <c r="E1916" t="s">
        <v>1902</v>
      </c>
    </row>
    <row r="1917" spans="1:5">
      <c r="A1917">
        <f>HYPERLINK("http://www.twitter.com/nyc311/status/773173342291517440", "773173342291517440")</f>
        <v>0</v>
      </c>
      <c r="B1917" s="2">
        <v>42619.6234259259</v>
      </c>
      <c r="C1917">
        <v>0</v>
      </c>
      <c r="D1917">
        <v>0</v>
      </c>
      <c r="E1917" t="s">
        <v>1903</v>
      </c>
    </row>
    <row r="1918" spans="1:5">
      <c r="A1918">
        <f>HYPERLINK("http://www.twitter.com/nyc311/status/773173070924247040", "773173070924247040")</f>
        <v>0</v>
      </c>
      <c r="B1918" s="2">
        <v>42619.6226736111</v>
      </c>
      <c r="C1918">
        <v>0</v>
      </c>
      <c r="D1918">
        <v>0</v>
      </c>
      <c r="E1918" t="s">
        <v>1904</v>
      </c>
    </row>
    <row r="1919" spans="1:5">
      <c r="A1919">
        <f>HYPERLINK("http://www.twitter.com/nyc311/status/773170329229352960", "773170329229352960")</f>
        <v>0</v>
      </c>
      <c r="B1919" s="2">
        <v>42619.6151041667</v>
      </c>
      <c r="C1919">
        <v>0</v>
      </c>
      <c r="D1919">
        <v>0</v>
      </c>
      <c r="E1919" t="s">
        <v>1905</v>
      </c>
    </row>
    <row r="1920" spans="1:5">
      <c r="A1920">
        <f>HYPERLINK("http://www.twitter.com/nyc311/status/773169273929928704", "773169273929928704")</f>
        <v>0</v>
      </c>
      <c r="B1920" s="2">
        <v>42619.6121990741</v>
      </c>
      <c r="C1920">
        <v>0</v>
      </c>
      <c r="D1920">
        <v>0</v>
      </c>
      <c r="E1920" t="s">
        <v>1906</v>
      </c>
    </row>
    <row r="1921" spans="1:5">
      <c r="A1921">
        <f>HYPERLINK("http://www.twitter.com/nyc311/status/773167336903892992", "773167336903892992")</f>
        <v>0</v>
      </c>
      <c r="B1921" s="2">
        <v>42619.6068518519</v>
      </c>
      <c r="C1921">
        <v>0</v>
      </c>
      <c r="D1921">
        <v>0</v>
      </c>
      <c r="E1921" t="s">
        <v>1907</v>
      </c>
    </row>
    <row r="1922" spans="1:5">
      <c r="A1922">
        <f>HYPERLINK("http://www.twitter.com/nyc311/status/773165050316124160", "773165050316124160")</f>
        <v>0</v>
      </c>
      <c r="B1922" s="2">
        <v>42619.6005439815</v>
      </c>
      <c r="C1922">
        <v>0</v>
      </c>
      <c r="D1922">
        <v>0</v>
      </c>
      <c r="E1922" t="s">
        <v>1908</v>
      </c>
    </row>
    <row r="1923" spans="1:5">
      <c r="A1923">
        <f>HYPERLINK("http://www.twitter.com/nyc311/status/773164164911161345", "773164164911161345")</f>
        <v>0</v>
      </c>
      <c r="B1923" s="2">
        <v>42619.5981018519</v>
      </c>
      <c r="C1923">
        <v>0</v>
      </c>
      <c r="D1923">
        <v>0</v>
      </c>
      <c r="E1923" t="s">
        <v>1909</v>
      </c>
    </row>
    <row r="1924" spans="1:5">
      <c r="A1924">
        <f>HYPERLINK("http://www.twitter.com/nyc311/status/773163314197237760", "773163314197237760")</f>
        <v>0</v>
      </c>
      <c r="B1924" s="2">
        <v>42619.5957523148</v>
      </c>
      <c r="C1924">
        <v>0</v>
      </c>
      <c r="D1924">
        <v>0</v>
      </c>
      <c r="E1924" t="s">
        <v>1910</v>
      </c>
    </row>
    <row r="1925" spans="1:5">
      <c r="A1925">
        <f>HYPERLINK("http://www.twitter.com/nyc311/status/773163143375847424", "773163143375847424")</f>
        <v>0</v>
      </c>
      <c r="B1925" s="2">
        <v>42619.5952777778</v>
      </c>
      <c r="C1925">
        <v>0</v>
      </c>
      <c r="D1925">
        <v>0</v>
      </c>
      <c r="E1925" t="s">
        <v>1911</v>
      </c>
    </row>
    <row r="1926" spans="1:5">
      <c r="A1926">
        <f>HYPERLINK("http://www.twitter.com/nyc311/status/773162640415793152", "773162640415793152")</f>
        <v>0</v>
      </c>
      <c r="B1926" s="2">
        <v>42619.5938888889</v>
      </c>
      <c r="C1926">
        <v>0</v>
      </c>
      <c r="D1926">
        <v>0</v>
      </c>
      <c r="E1926" t="s">
        <v>1912</v>
      </c>
    </row>
    <row r="1927" spans="1:5">
      <c r="A1927">
        <f>HYPERLINK("http://www.twitter.com/nyc311/status/773162112990478336", "773162112990478336")</f>
        <v>0</v>
      </c>
      <c r="B1927" s="2">
        <v>42619.5924421296</v>
      </c>
      <c r="C1927">
        <v>0</v>
      </c>
      <c r="D1927">
        <v>0</v>
      </c>
      <c r="E1927" t="s">
        <v>1913</v>
      </c>
    </row>
    <row r="1928" spans="1:5">
      <c r="A1928">
        <f>HYPERLINK("http://www.twitter.com/nyc311/status/773161616472993792", "773161616472993792")</f>
        <v>0</v>
      </c>
      <c r="B1928" s="2">
        <v>42619.5910648148</v>
      </c>
      <c r="C1928">
        <v>1</v>
      </c>
      <c r="D1928">
        <v>0</v>
      </c>
      <c r="E1928" t="s">
        <v>1914</v>
      </c>
    </row>
    <row r="1929" spans="1:5">
      <c r="A1929">
        <f>HYPERLINK("http://www.twitter.com/nyc311/status/773159663508553728", "773159663508553728")</f>
        <v>0</v>
      </c>
      <c r="B1929" s="2">
        <v>42619.5856828704</v>
      </c>
      <c r="C1929">
        <v>9</v>
      </c>
      <c r="D1929">
        <v>4</v>
      </c>
      <c r="E1929" t="s">
        <v>1915</v>
      </c>
    </row>
    <row r="1930" spans="1:5">
      <c r="A1930">
        <f>HYPERLINK("http://www.twitter.com/nyc311/status/772887572834025472", "772887572834025472")</f>
        <v>0</v>
      </c>
      <c r="B1930" s="2">
        <v>42618.834849537</v>
      </c>
      <c r="C1930">
        <v>0</v>
      </c>
      <c r="D1930">
        <v>1</v>
      </c>
      <c r="E1930" t="s">
        <v>1135</v>
      </c>
    </row>
    <row r="1931" spans="1:5">
      <c r="A1931">
        <f>HYPERLINK("http://www.twitter.com/nyc311/status/772857475141890048", "772857475141890048")</f>
        <v>0</v>
      </c>
      <c r="B1931" s="2">
        <v>42618.7517939815</v>
      </c>
      <c r="C1931">
        <v>2</v>
      </c>
      <c r="D1931">
        <v>0</v>
      </c>
      <c r="E1931" t="s">
        <v>1916</v>
      </c>
    </row>
    <row r="1932" spans="1:5">
      <c r="A1932">
        <f>HYPERLINK("http://www.twitter.com/nyc311/status/772850796316811264", "772850796316811264")</f>
        <v>0</v>
      </c>
      <c r="B1932" s="2">
        <v>42618.7333680556</v>
      </c>
      <c r="C1932">
        <v>0</v>
      </c>
      <c r="D1932">
        <v>37</v>
      </c>
      <c r="E1932" t="s">
        <v>1917</v>
      </c>
    </row>
    <row r="1933" spans="1:5">
      <c r="A1933">
        <f>HYPERLINK("http://www.twitter.com/nyc311/status/772842474742185984", "772842474742185984")</f>
        <v>0</v>
      </c>
      <c r="B1933" s="2">
        <v>42618.7104050926</v>
      </c>
      <c r="C1933">
        <v>1</v>
      </c>
      <c r="D1933">
        <v>2</v>
      </c>
      <c r="E1933" t="s">
        <v>1918</v>
      </c>
    </row>
    <row r="1934" spans="1:5">
      <c r="A1934">
        <f>HYPERLINK("http://www.twitter.com/nyc311/status/772827564192755712", "772827564192755712")</f>
        <v>0</v>
      </c>
      <c r="B1934" s="2">
        <v>42618.6692592593</v>
      </c>
      <c r="C1934">
        <v>0</v>
      </c>
      <c r="D1934">
        <v>1</v>
      </c>
      <c r="E1934" t="s">
        <v>1919</v>
      </c>
    </row>
    <row r="1935" spans="1:5">
      <c r="A1935">
        <f>HYPERLINK("http://www.twitter.com/nyc311/status/772800413011673088", "772800413011673088")</f>
        <v>0</v>
      </c>
      <c r="B1935" s="2">
        <v>42618.5943402778</v>
      </c>
      <c r="C1935">
        <v>1</v>
      </c>
      <c r="D1935">
        <v>3</v>
      </c>
      <c r="E1935" t="s">
        <v>1920</v>
      </c>
    </row>
    <row r="1936" spans="1:5">
      <c r="A1936">
        <f>HYPERLINK("http://www.twitter.com/nyc311/status/772797313899266048", "772797313899266048")</f>
        <v>0</v>
      </c>
      <c r="B1936" s="2">
        <v>42618.585787037</v>
      </c>
      <c r="C1936">
        <v>5</v>
      </c>
      <c r="D1936">
        <v>9</v>
      </c>
      <c r="E1936" t="s">
        <v>1921</v>
      </c>
    </row>
    <row r="1937" spans="1:5">
      <c r="A1937">
        <f>HYPERLINK("http://www.twitter.com/nyc311/status/772762604234240000", "772762604234240000")</f>
        <v>0</v>
      </c>
      <c r="B1937" s="2">
        <v>42618.49</v>
      </c>
      <c r="C1937">
        <v>2</v>
      </c>
      <c r="D1937">
        <v>1</v>
      </c>
      <c r="E1937" t="s">
        <v>1922</v>
      </c>
    </row>
    <row r="1938" spans="1:5">
      <c r="A1938">
        <f>HYPERLINK("http://www.twitter.com/nyc311/status/772759023896633345", "772759023896633345")</f>
        <v>0</v>
      </c>
      <c r="B1938" s="2">
        <v>42618.4801273148</v>
      </c>
      <c r="C1938">
        <v>7</v>
      </c>
      <c r="D1938">
        <v>9</v>
      </c>
      <c r="E1938" t="s">
        <v>1923</v>
      </c>
    </row>
    <row r="1939" spans="1:5">
      <c r="A1939">
        <f>HYPERLINK("http://www.twitter.com/nyc311/status/772635854066053120", "772635854066053120")</f>
        <v>0</v>
      </c>
      <c r="B1939" s="2">
        <v>42618.1402430556</v>
      </c>
      <c r="C1939">
        <v>0</v>
      </c>
      <c r="D1939">
        <v>47</v>
      </c>
      <c r="E1939" t="s">
        <v>1924</v>
      </c>
    </row>
    <row r="1940" spans="1:5">
      <c r="A1940">
        <f>HYPERLINK("http://www.twitter.com/nyc311/status/772635815440777216", "772635815440777216")</f>
        <v>0</v>
      </c>
      <c r="B1940" s="2">
        <v>42618.1401273148</v>
      </c>
      <c r="C1940">
        <v>0</v>
      </c>
      <c r="D1940">
        <v>34</v>
      </c>
      <c r="E1940" t="s">
        <v>1925</v>
      </c>
    </row>
    <row r="1941" spans="1:5">
      <c r="A1941">
        <f>HYPERLINK("http://www.twitter.com/nyc311/status/772525181155872769", "772525181155872769")</f>
        <v>0</v>
      </c>
      <c r="B1941" s="2">
        <v>42617.834837963</v>
      </c>
      <c r="C1941">
        <v>1</v>
      </c>
      <c r="D1941">
        <v>1</v>
      </c>
      <c r="E1941" t="s">
        <v>1926</v>
      </c>
    </row>
    <row r="1942" spans="1:5">
      <c r="A1942">
        <f>HYPERLINK("http://www.twitter.com/nyc311/status/772514045610131456", "772514045610131456")</f>
        <v>0</v>
      </c>
      <c r="B1942" s="2">
        <v>42617.8041087963</v>
      </c>
      <c r="C1942">
        <v>0</v>
      </c>
      <c r="D1942">
        <v>67</v>
      </c>
      <c r="E1942" t="s">
        <v>1927</v>
      </c>
    </row>
    <row r="1943" spans="1:5">
      <c r="A1943">
        <f>HYPERLINK("http://www.twitter.com/nyc311/status/772494868585250816", "772494868585250816")</f>
        <v>0</v>
      </c>
      <c r="B1943" s="2">
        <v>42617.7511921296</v>
      </c>
      <c r="C1943">
        <v>0</v>
      </c>
      <c r="D1943">
        <v>0</v>
      </c>
      <c r="E1943" t="s">
        <v>1928</v>
      </c>
    </row>
    <row r="1944" spans="1:5">
      <c r="A1944">
        <f>HYPERLINK("http://www.twitter.com/nyc311/status/772479912108326912", "772479912108326912")</f>
        <v>0</v>
      </c>
      <c r="B1944" s="2">
        <v>42617.7099189815</v>
      </c>
      <c r="C1944">
        <v>2</v>
      </c>
      <c r="D1944">
        <v>7</v>
      </c>
      <c r="E1944" t="s">
        <v>1929</v>
      </c>
    </row>
    <row r="1945" spans="1:5">
      <c r="A1945">
        <f>HYPERLINK("http://www.twitter.com/nyc311/status/772464837922349058", "772464837922349058")</f>
        <v>0</v>
      </c>
      <c r="B1945" s="2">
        <v>42617.6683217593</v>
      </c>
      <c r="C1945">
        <v>4</v>
      </c>
      <c r="D1945">
        <v>5</v>
      </c>
      <c r="E1945" t="s">
        <v>1930</v>
      </c>
    </row>
    <row r="1946" spans="1:5">
      <c r="A1946">
        <f>HYPERLINK("http://www.twitter.com/nyc311/status/772458110552272896", "772458110552272896")</f>
        <v>0</v>
      </c>
      <c r="B1946" s="2">
        <v>42617.6497569444</v>
      </c>
      <c r="C1946">
        <v>0</v>
      </c>
      <c r="D1946">
        <v>22</v>
      </c>
      <c r="E1946" t="s">
        <v>1931</v>
      </c>
    </row>
    <row r="1947" spans="1:5">
      <c r="A1947">
        <f>HYPERLINK("http://www.twitter.com/nyc311/status/772458058756788228", "772458058756788228")</f>
        <v>0</v>
      </c>
      <c r="B1947" s="2">
        <v>42617.6496180556</v>
      </c>
      <c r="C1947">
        <v>0</v>
      </c>
      <c r="D1947">
        <v>116</v>
      </c>
      <c r="E1947" t="s">
        <v>1932</v>
      </c>
    </row>
    <row r="1948" spans="1:5">
      <c r="A1948">
        <f>HYPERLINK("http://www.twitter.com/nyc311/status/772434608218599424", "772434608218599424")</f>
        <v>0</v>
      </c>
      <c r="B1948" s="2">
        <v>42617.5849074074</v>
      </c>
      <c r="C1948">
        <v>5</v>
      </c>
      <c r="D1948">
        <v>6</v>
      </c>
      <c r="E1948" t="s">
        <v>1933</v>
      </c>
    </row>
    <row r="1949" spans="1:5">
      <c r="A1949">
        <f>HYPERLINK("http://www.twitter.com/nyc311/status/772162741977186304", "772162741977186304")</f>
        <v>0</v>
      </c>
      <c r="B1949" s="2">
        <v>42616.8346990741</v>
      </c>
      <c r="C1949">
        <v>0</v>
      </c>
      <c r="D1949">
        <v>0</v>
      </c>
      <c r="E1949" t="s">
        <v>1934</v>
      </c>
    </row>
    <row r="1950" spans="1:5">
      <c r="A1950">
        <f>HYPERLINK("http://www.twitter.com/nyc311/status/772147722300325888", "772147722300325888")</f>
        <v>0</v>
      </c>
      <c r="B1950" s="2">
        <v>42616.7932523148</v>
      </c>
      <c r="C1950">
        <v>4</v>
      </c>
      <c r="D1950">
        <v>3</v>
      </c>
      <c r="E1950" t="s">
        <v>1935</v>
      </c>
    </row>
    <row r="1951" spans="1:5">
      <c r="A1951">
        <f>HYPERLINK("http://www.twitter.com/nyc311/status/772132607270215680", "772132607270215680")</f>
        <v>0</v>
      </c>
      <c r="B1951" s="2">
        <v>42616.7515393519</v>
      </c>
      <c r="C1951">
        <v>5</v>
      </c>
      <c r="D1951">
        <v>4</v>
      </c>
      <c r="E1951" t="s">
        <v>1936</v>
      </c>
    </row>
    <row r="1952" spans="1:5">
      <c r="A1952">
        <f>HYPERLINK("http://www.twitter.com/nyc311/status/772117525844922369", "772117525844922369")</f>
        <v>0</v>
      </c>
      <c r="B1952" s="2">
        <v>42616.7099305556</v>
      </c>
      <c r="C1952">
        <v>1</v>
      </c>
      <c r="D1952">
        <v>0</v>
      </c>
      <c r="E1952" t="s">
        <v>1937</v>
      </c>
    </row>
    <row r="1953" spans="1:5">
      <c r="A1953">
        <f>HYPERLINK("http://www.twitter.com/nyc311/status/772117397230714881", "772117397230714881")</f>
        <v>0</v>
      </c>
      <c r="B1953" s="2">
        <v>42616.7095717593</v>
      </c>
      <c r="C1953">
        <v>0</v>
      </c>
      <c r="D1953">
        <v>105</v>
      </c>
      <c r="E1953" t="s">
        <v>1938</v>
      </c>
    </row>
    <row r="1954" spans="1:5">
      <c r="A1954">
        <f>HYPERLINK("http://www.twitter.com/nyc311/status/772102517606023169", "772102517606023169")</f>
        <v>0</v>
      </c>
      <c r="B1954" s="2">
        <v>42616.6685069444</v>
      </c>
      <c r="C1954">
        <v>4</v>
      </c>
      <c r="D1954">
        <v>3</v>
      </c>
      <c r="E1954" t="s">
        <v>1939</v>
      </c>
    </row>
    <row r="1955" spans="1:5">
      <c r="A1955">
        <f>HYPERLINK("http://www.twitter.com/nyc311/status/772072315664363520", "772072315664363520")</f>
        <v>0</v>
      </c>
      <c r="B1955" s="2">
        <v>42616.5851736111</v>
      </c>
      <c r="C1955">
        <v>5</v>
      </c>
      <c r="D1955">
        <v>3</v>
      </c>
      <c r="E1955" t="s">
        <v>1940</v>
      </c>
    </row>
    <row r="1956" spans="1:5">
      <c r="A1956">
        <f>HYPERLINK("http://www.twitter.com/nyc311/status/771808456076587008", "771808456076587008")</f>
        <v>0</v>
      </c>
      <c r="B1956" s="2">
        <v>42615.8570601852</v>
      </c>
      <c r="C1956">
        <v>7</v>
      </c>
      <c r="D1956">
        <v>6</v>
      </c>
      <c r="E1956" t="s">
        <v>1941</v>
      </c>
    </row>
    <row r="1957" spans="1:5">
      <c r="A1957">
        <f>HYPERLINK("http://www.twitter.com/nyc311/status/771805875224936448", "771805875224936448")</f>
        <v>0</v>
      </c>
      <c r="B1957" s="2">
        <v>42615.8499305556</v>
      </c>
      <c r="C1957">
        <v>1</v>
      </c>
      <c r="D1957">
        <v>0</v>
      </c>
      <c r="E1957" t="s">
        <v>1942</v>
      </c>
    </row>
    <row r="1958" spans="1:5">
      <c r="A1958">
        <f>HYPERLINK("http://www.twitter.com/nyc311/status/771800623511724032", "771800623511724032")</f>
        <v>0</v>
      </c>
      <c r="B1958" s="2">
        <v>42615.8354398148</v>
      </c>
      <c r="C1958">
        <v>0</v>
      </c>
      <c r="D1958">
        <v>0</v>
      </c>
      <c r="E1958" t="s">
        <v>1943</v>
      </c>
    </row>
    <row r="1959" spans="1:5">
      <c r="A1959">
        <f>HYPERLINK("http://www.twitter.com/nyc311/status/771770590629863424", "771770590629863424")</f>
        <v>0</v>
      </c>
      <c r="B1959" s="2">
        <v>42615.7525694444</v>
      </c>
      <c r="C1959">
        <v>2</v>
      </c>
      <c r="D1959">
        <v>3</v>
      </c>
      <c r="E1959" t="s">
        <v>1944</v>
      </c>
    </row>
    <row r="1960" spans="1:5">
      <c r="A1960">
        <f>HYPERLINK("http://www.twitter.com/nyc311/status/771769353591222276", "771769353591222276")</f>
        <v>0</v>
      </c>
      <c r="B1960" s="2">
        <v>42615.7491550926</v>
      </c>
      <c r="C1960">
        <v>0</v>
      </c>
      <c r="D1960">
        <v>93</v>
      </c>
      <c r="E1960" t="s">
        <v>1945</v>
      </c>
    </row>
    <row r="1961" spans="1:5">
      <c r="A1961">
        <f>HYPERLINK("http://www.twitter.com/nyc311/status/771761357679099904", "771761357679099904")</f>
        <v>0</v>
      </c>
      <c r="B1961" s="2">
        <v>42615.7270833333</v>
      </c>
      <c r="C1961">
        <v>0</v>
      </c>
      <c r="D1961">
        <v>25</v>
      </c>
      <c r="E1961" t="s">
        <v>1946</v>
      </c>
    </row>
    <row r="1962" spans="1:5">
      <c r="A1962">
        <f>HYPERLINK("http://www.twitter.com/nyc311/status/771760858854752256", "771760858854752256")</f>
        <v>0</v>
      </c>
      <c r="B1962" s="2">
        <v>42615.7257175926</v>
      </c>
      <c r="C1962">
        <v>0</v>
      </c>
      <c r="D1962">
        <v>51</v>
      </c>
      <c r="E1962" t="s">
        <v>1947</v>
      </c>
    </row>
    <row r="1963" spans="1:5">
      <c r="A1963">
        <f>HYPERLINK("http://www.twitter.com/nyc311/status/771756655101050880", "771756655101050880")</f>
        <v>0</v>
      </c>
      <c r="B1963" s="2">
        <v>42615.7141087963</v>
      </c>
      <c r="C1963">
        <v>0</v>
      </c>
      <c r="D1963">
        <v>82</v>
      </c>
      <c r="E1963" t="s">
        <v>1948</v>
      </c>
    </row>
    <row r="1964" spans="1:5">
      <c r="A1964">
        <f>HYPERLINK("http://www.twitter.com/nyc311/status/771756351815094272", "771756351815094272")</f>
        <v>0</v>
      </c>
      <c r="B1964" s="2">
        <v>42615.713275463</v>
      </c>
      <c r="C1964">
        <v>0</v>
      </c>
      <c r="D1964">
        <v>2</v>
      </c>
      <c r="E1964" t="s">
        <v>1949</v>
      </c>
    </row>
    <row r="1965" spans="1:5">
      <c r="A1965">
        <f>HYPERLINK("http://www.twitter.com/nyc311/status/771755215288688640", "771755215288688640")</f>
        <v>0</v>
      </c>
      <c r="B1965" s="2">
        <v>42615.7101388889</v>
      </c>
      <c r="C1965">
        <v>10</v>
      </c>
      <c r="D1965">
        <v>3</v>
      </c>
      <c r="E1965" t="s">
        <v>1950</v>
      </c>
    </row>
    <row r="1966" spans="1:5">
      <c r="A1966">
        <f>HYPERLINK("http://www.twitter.com/nyc311/status/771752574991134724", "771752574991134724")</f>
        <v>0</v>
      </c>
      <c r="B1966" s="2">
        <v>42615.7028587963</v>
      </c>
      <c r="C1966">
        <v>0</v>
      </c>
      <c r="D1966">
        <v>74</v>
      </c>
      <c r="E1966" t="s">
        <v>1951</v>
      </c>
    </row>
    <row r="1967" spans="1:5">
      <c r="A1967">
        <f>HYPERLINK("http://www.twitter.com/nyc311/status/771751725850042368", "771751725850042368")</f>
        <v>0</v>
      </c>
      <c r="B1967" s="2">
        <v>42615.7005092593</v>
      </c>
      <c r="C1967">
        <v>0</v>
      </c>
      <c r="D1967">
        <v>0</v>
      </c>
      <c r="E1967" t="s">
        <v>1952</v>
      </c>
    </row>
    <row r="1968" spans="1:5">
      <c r="A1968">
        <f>HYPERLINK("http://www.twitter.com/nyc311/status/771747784886251521", "771747784886251521")</f>
        <v>0</v>
      </c>
      <c r="B1968" s="2">
        <v>42615.6896296296</v>
      </c>
      <c r="C1968">
        <v>0</v>
      </c>
      <c r="D1968">
        <v>133</v>
      </c>
      <c r="E1968" t="s">
        <v>1953</v>
      </c>
    </row>
    <row r="1969" spans="1:5">
      <c r="A1969">
        <f>HYPERLINK("http://www.twitter.com/nyc311/status/771743084174540800", "771743084174540800")</f>
        <v>0</v>
      </c>
      <c r="B1969" s="2">
        <v>42615.6766666667</v>
      </c>
      <c r="C1969">
        <v>0</v>
      </c>
      <c r="D1969">
        <v>181</v>
      </c>
      <c r="E1969" t="s">
        <v>1954</v>
      </c>
    </row>
    <row r="1970" spans="1:5">
      <c r="A1970">
        <f>HYPERLINK("http://www.twitter.com/nyc311/status/771740781422018560", "771740781422018560")</f>
        <v>0</v>
      </c>
      <c r="B1970" s="2">
        <v>42615.6703125</v>
      </c>
      <c r="C1970">
        <v>0</v>
      </c>
      <c r="D1970">
        <v>0</v>
      </c>
      <c r="E1970" t="s">
        <v>1955</v>
      </c>
    </row>
    <row r="1971" spans="1:5">
      <c r="A1971">
        <f>HYPERLINK("http://www.twitter.com/nyc311/status/771739981308129280", "771739981308129280")</f>
        <v>0</v>
      </c>
      <c r="B1971" s="2">
        <v>42615.6681018519</v>
      </c>
      <c r="C1971">
        <v>2</v>
      </c>
      <c r="D1971">
        <v>3</v>
      </c>
      <c r="E1971" t="s">
        <v>1956</v>
      </c>
    </row>
    <row r="1972" spans="1:5">
      <c r="A1972">
        <f>HYPERLINK("http://www.twitter.com/nyc311/status/771739441362788352", "771739441362788352")</f>
        <v>0</v>
      </c>
      <c r="B1972" s="2">
        <v>42615.6666087963</v>
      </c>
      <c r="C1972">
        <v>2</v>
      </c>
      <c r="D1972">
        <v>0</v>
      </c>
      <c r="E1972" t="s">
        <v>1957</v>
      </c>
    </row>
    <row r="1973" spans="1:5">
      <c r="A1973">
        <f>HYPERLINK("http://www.twitter.com/nyc311/status/771725210814930944", "771725210814930944")</f>
        <v>0</v>
      </c>
      <c r="B1973" s="2">
        <v>42615.627337963</v>
      </c>
      <c r="C1973">
        <v>2</v>
      </c>
      <c r="D1973">
        <v>2</v>
      </c>
      <c r="E1973" t="s">
        <v>1958</v>
      </c>
    </row>
    <row r="1974" spans="1:5">
      <c r="A1974">
        <f>HYPERLINK("http://www.twitter.com/nyc311/status/771723064887414784", "771723064887414784")</f>
        <v>0</v>
      </c>
      <c r="B1974" s="2">
        <v>42615.6214236111</v>
      </c>
      <c r="C1974">
        <v>0</v>
      </c>
      <c r="D1974">
        <v>0</v>
      </c>
      <c r="E1974" t="s">
        <v>1959</v>
      </c>
    </row>
    <row r="1975" spans="1:5">
      <c r="A1975">
        <f>HYPERLINK("http://www.twitter.com/nyc311/status/771722511222472705", "771722511222472705")</f>
        <v>0</v>
      </c>
      <c r="B1975" s="2">
        <v>42615.6198958333</v>
      </c>
      <c r="C1975">
        <v>1</v>
      </c>
      <c r="D1975">
        <v>0</v>
      </c>
      <c r="E1975" t="s">
        <v>1960</v>
      </c>
    </row>
    <row r="1976" spans="1:5">
      <c r="A1976">
        <f>HYPERLINK("http://www.twitter.com/nyc311/status/771721560541519874", "771721560541519874")</f>
        <v>0</v>
      </c>
      <c r="B1976" s="2">
        <v>42615.6172685185</v>
      </c>
      <c r="C1976">
        <v>0</v>
      </c>
      <c r="D1976">
        <v>0</v>
      </c>
      <c r="E1976" t="s">
        <v>1961</v>
      </c>
    </row>
    <row r="1977" spans="1:5">
      <c r="A1977">
        <f>HYPERLINK("http://www.twitter.com/nyc311/status/771717246687338496", "771717246687338496")</f>
        <v>0</v>
      </c>
      <c r="B1977" s="2">
        <v>42615.6053703704</v>
      </c>
      <c r="C1977">
        <v>3</v>
      </c>
      <c r="D1977">
        <v>3</v>
      </c>
      <c r="E1977" t="s">
        <v>1962</v>
      </c>
    </row>
    <row r="1978" spans="1:5">
      <c r="A1978">
        <f>HYPERLINK("http://www.twitter.com/nyc311/status/771715713887268865", "771715713887268865")</f>
        <v>0</v>
      </c>
      <c r="B1978" s="2">
        <v>42615.6011342593</v>
      </c>
      <c r="C1978">
        <v>0</v>
      </c>
      <c r="D1978">
        <v>0</v>
      </c>
      <c r="E1978" t="s">
        <v>1963</v>
      </c>
    </row>
    <row r="1979" spans="1:5">
      <c r="A1979">
        <f>HYPERLINK("http://www.twitter.com/nyc311/status/771714808454451201", "771714808454451201")</f>
        <v>0</v>
      </c>
      <c r="B1979" s="2">
        <v>42615.5986342593</v>
      </c>
      <c r="C1979">
        <v>1</v>
      </c>
      <c r="D1979">
        <v>0</v>
      </c>
      <c r="E1979" t="s">
        <v>1964</v>
      </c>
    </row>
    <row r="1980" spans="1:5">
      <c r="A1980">
        <f>HYPERLINK("http://www.twitter.com/nyc311/status/771713922969763840", "771713922969763840")</f>
        <v>0</v>
      </c>
      <c r="B1980" s="2">
        <v>42615.5961921296</v>
      </c>
      <c r="C1980">
        <v>0</v>
      </c>
      <c r="D1980">
        <v>0</v>
      </c>
      <c r="E1980" t="s">
        <v>1965</v>
      </c>
    </row>
    <row r="1981" spans="1:5">
      <c r="A1981">
        <f>HYPERLINK("http://www.twitter.com/nyc311/status/771709430404673537", "771709430404673537")</f>
        <v>0</v>
      </c>
      <c r="B1981" s="2">
        <v>42615.5837962963</v>
      </c>
      <c r="C1981">
        <v>3</v>
      </c>
      <c r="D1981">
        <v>3</v>
      </c>
      <c r="E1981" t="s">
        <v>1966</v>
      </c>
    </row>
    <row r="1982" spans="1:5">
      <c r="A1982">
        <f>HYPERLINK("http://www.twitter.com/nyc311/status/771437961208598528", "771437961208598528")</f>
        <v>0</v>
      </c>
      <c r="B1982" s="2">
        <v>42614.8346875</v>
      </c>
      <c r="C1982">
        <v>3</v>
      </c>
      <c r="D1982">
        <v>2</v>
      </c>
      <c r="E1982" t="s">
        <v>1967</v>
      </c>
    </row>
    <row r="1983" spans="1:5">
      <c r="A1983">
        <f>HYPERLINK("http://www.twitter.com/nyc311/status/771423464477589504", "771423464477589504")</f>
        <v>0</v>
      </c>
      <c r="B1983" s="2">
        <v>42614.7946759259</v>
      </c>
      <c r="C1983">
        <v>0</v>
      </c>
      <c r="D1983">
        <v>0</v>
      </c>
      <c r="E1983" t="s">
        <v>1968</v>
      </c>
    </row>
    <row r="1984" spans="1:5">
      <c r="A1984">
        <f>HYPERLINK("http://www.twitter.com/nyc311/status/771422564090519554", "771422564090519554")</f>
        <v>0</v>
      </c>
      <c r="B1984" s="2">
        <v>42614.7921990741</v>
      </c>
      <c r="C1984">
        <v>5</v>
      </c>
      <c r="D1984">
        <v>7</v>
      </c>
      <c r="E1984" t="s">
        <v>1969</v>
      </c>
    </row>
    <row r="1985" spans="1:5">
      <c r="A1985">
        <f>HYPERLINK("http://www.twitter.com/nyc311/status/771408041946320897", "771408041946320897")</f>
        <v>0</v>
      </c>
      <c r="B1985" s="2">
        <v>42614.7521180556</v>
      </c>
      <c r="C1985">
        <v>6</v>
      </c>
      <c r="D1985">
        <v>9</v>
      </c>
      <c r="E1985" t="s">
        <v>1970</v>
      </c>
    </row>
    <row r="1986" spans="1:5">
      <c r="A1986">
        <f>HYPERLINK("http://www.twitter.com/nyc311/status/771401806173863936", "771401806173863936")</f>
        <v>0</v>
      </c>
      <c r="B1986" s="2">
        <v>42614.7349189815</v>
      </c>
      <c r="C1986">
        <v>0</v>
      </c>
      <c r="D1986">
        <v>0</v>
      </c>
      <c r="E1986" t="s">
        <v>1971</v>
      </c>
    </row>
    <row r="1987" spans="1:5">
      <c r="A1987">
        <f>HYPERLINK("http://www.twitter.com/nyc311/status/771395641947852800", "771395641947852800")</f>
        <v>0</v>
      </c>
      <c r="B1987" s="2">
        <v>42614.7179050926</v>
      </c>
      <c r="C1987">
        <v>0</v>
      </c>
      <c r="D1987">
        <v>0</v>
      </c>
      <c r="E1987" t="s">
        <v>1972</v>
      </c>
    </row>
    <row r="1988" spans="1:5">
      <c r="A1988">
        <f>HYPERLINK("http://www.twitter.com/nyc311/status/771395495919058948", "771395495919058948")</f>
        <v>0</v>
      </c>
      <c r="B1988" s="2">
        <v>42614.7175</v>
      </c>
      <c r="C1988">
        <v>0</v>
      </c>
      <c r="D1988">
        <v>0</v>
      </c>
      <c r="E1988" t="s">
        <v>1973</v>
      </c>
    </row>
    <row r="1989" spans="1:5">
      <c r="A1989">
        <f>HYPERLINK("http://www.twitter.com/nyc311/status/771393018872078336", "771393018872078336")</f>
        <v>0</v>
      </c>
      <c r="B1989" s="2">
        <v>42614.7106712963</v>
      </c>
      <c r="C1989">
        <v>8</v>
      </c>
      <c r="D1989">
        <v>8</v>
      </c>
      <c r="E1989" t="s">
        <v>1974</v>
      </c>
    </row>
    <row r="1990" spans="1:5">
      <c r="A1990">
        <f>HYPERLINK("http://www.twitter.com/nyc311/status/771383835611332608", "771383835611332608")</f>
        <v>0</v>
      </c>
      <c r="B1990" s="2">
        <v>42614.6853240741</v>
      </c>
      <c r="C1990">
        <v>1</v>
      </c>
      <c r="D1990">
        <v>0</v>
      </c>
      <c r="E1990" t="s">
        <v>1975</v>
      </c>
    </row>
    <row r="1991" spans="1:5">
      <c r="A1991">
        <f>HYPERLINK("http://www.twitter.com/nyc311/status/771380194523348992", "771380194523348992")</f>
        <v>0</v>
      </c>
      <c r="B1991" s="2">
        <v>42614.6752777778</v>
      </c>
      <c r="C1991">
        <v>1</v>
      </c>
      <c r="D1991">
        <v>0</v>
      </c>
      <c r="E1991" t="s">
        <v>1976</v>
      </c>
    </row>
    <row r="1992" spans="1:5">
      <c r="A1992">
        <f>HYPERLINK("http://www.twitter.com/nyc311/status/771378037476691968", "771378037476691968")</f>
        <v>0</v>
      </c>
      <c r="B1992" s="2">
        <v>42614.6693287037</v>
      </c>
      <c r="C1992">
        <v>4</v>
      </c>
      <c r="D1992">
        <v>3</v>
      </c>
      <c r="E1992" t="s">
        <v>1977</v>
      </c>
    </row>
    <row r="1993" spans="1:5">
      <c r="A1993">
        <f>HYPERLINK("http://www.twitter.com/nyc311/status/771374289773797376", "771374289773797376")</f>
        <v>0</v>
      </c>
      <c r="B1993" s="2">
        <v>42614.6589814815</v>
      </c>
      <c r="C1993">
        <v>0</v>
      </c>
      <c r="D1993">
        <v>0</v>
      </c>
      <c r="E1993" t="s">
        <v>1978</v>
      </c>
    </row>
    <row r="1994" spans="1:5">
      <c r="A1994">
        <f>HYPERLINK("http://www.twitter.com/nyc311/status/771357578106441728", "771357578106441728")</f>
        <v>0</v>
      </c>
      <c r="B1994" s="2">
        <v>42614.6128703704</v>
      </c>
      <c r="C1994">
        <v>0</v>
      </c>
      <c r="D1994">
        <v>0</v>
      </c>
      <c r="E1994" t="s">
        <v>1979</v>
      </c>
    </row>
    <row r="1995" spans="1:5">
      <c r="A1995">
        <f>HYPERLINK("http://www.twitter.com/nyc311/status/771356569728671744", "771356569728671744")</f>
        <v>0</v>
      </c>
      <c r="B1995" s="2">
        <v>42614.6100810185</v>
      </c>
      <c r="C1995">
        <v>0</v>
      </c>
      <c r="D1995">
        <v>0</v>
      </c>
      <c r="E1995" t="s">
        <v>1980</v>
      </c>
    </row>
    <row r="1996" spans="1:5">
      <c r="A1996">
        <f>HYPERLINK("http://www.twitter.com/nyc311/status/771356459410026497", "771356459410026497")</f>
        <v>0</v>
      </c>
      <c r="B1996" s="2">
        <v>42614.6097800926</v>
      </c>
      <c r="C1996">
        <v>0</v>
      </c>
      <c r="D1996">
        <v>0</v>
      </c>
      <c r="E1996" t="s">
        <v>1981</v>
      </c>
    </row>
    <row r="1997" spans="1:5">
      <c r="A1997">
        <f>HYPERLINK("http://www.twitter.com/nyc311/status/771354992112459776", "771354992112459776")</f>
        <v>0</v>
      </c>
      <c r="B1997" s="2">
        <v>42614.6057291667</v>
      </c>
      <c r="C1997">
        <v>0</v>
      </c>
      <c r="D1997">
        <v>0</v>
      </c>
      <c r="E1997" t="s">
        <v>1982</v>
      </c>
    </row>
    <row r="1998" spans="1:5">
      <c r="A1998">
        <f>HYPERLINK("http://www.twitter.com/nyc311/status/771354563517394944", "771354563517394944")</f>
        <v>0</v>
      </c>
      <c r="B1998" s="2">
        <v>42614.6045486111</v>
      </c>
      <c r="C1998">
        <v>0</v>
      </c>
      <c r="D1998">
        <v>0</v>
      </c>
      <c r="E1998" t="s">
        <v>1983</v>
      </c>
    </row>
    <row r="1999" spans="1:5">
      <c r="A1999">
        <f>HYPERLINK("http://www.twitter.com/nyc311/status/771353700958896129", "771353700958896129")</f>
        <v>0</v>
      </c>
      <c r="B1999" s="2">
        <v>42614.6021759259</v>
      </c>
      <c r="C1999">
        <v>0</v>
      </c>
      <c r="D1999">
        <v>0</v>
      </c>
      <c r="E1999" t="s">
        <v>1984</v>
      </c>
    </row>
    <row r="2000" spans="1:5">
      <c r="A2000">
        <f>HYPERLINK("http://www.twitter.com/nyc311/status/771353500127289344", "771353500127289344")</f>
        <v>0</v>
      </c>
      <c r="B2000" s="2">
        <v>42614.6016203704</v>
      </c>
      <c r="C2000">
        <v>0</v>
      </c>
      <c r="D2000">
        <v>0</v>
      </c>
      <c r="E2000" t="s">
        <v>1985</v>
      </c>
    </row>
    <row r="2001" spans="1:5">
      <c r="A2001">
        <f>HYPERLINK("http://www.twitter.com/nyc311/status/771353215505985536", "771353215505985536")</f>
        <v>0</v>
      </c>
      <c r="B2001" s="2">
        <v>42614.6008333333</v>
      </c>
      <c r="C2001">
        <v>0</v>
      </c>
      <c r="D2001">
        <v>0</v>
      </c>
      <c r="E2001" t="s">
        <v>1986</v>
      </c>
    </row>
    <row r="2002" spans="1:5">
      <c r="A2002">
        <f>HYPERLINK("http://www.twitter.com/nyc311/status/771351381642977280", "771351381642977280")</f>
        <v>0</v>
      </c>
      <c r="B2002" s="2">
        <v>42614.595775463</v>
      </c>
      <c r="C2002">
        <v>1</v>
      </c>
      <c r="D2002">
        <v>0</v>
      </c>
      <c r="E2002" t="s">
        <v>1987</v>
      </c>
    </row>
    <row r="2003" spans="1:5">
      <c r="A2003">
        <f>HYPERLINK("http://www.twitter.com/nyc311/status/771350386011738112", "771350386011738112")</f>
        <v>0</v>
      </c>
      <c r="B2003" s="2">
        <v>42614.5930208333</v>
      </c>
      <c r="C2003">
        <v>2</v>
      </c>
      <c r="D2003">
        <v>1</v>
      </c>
      <c r="E2003" t="s">
        <v>1988</v>
      </c>
    </row>
    <row r="2004" spans="1:5">
      <c r="A2004">
        <f>HYPERLINK("http://www.twitter.com/nyc311/status/771347773597839360", "771347773597839360")</f>
        <v>0</v>
      </c>
      <c r="B2004" s="2">
        <v>42614.5858101852</v>
      </c>
      <c r="C2004">
        <v>2</v>
      </c>
      <c r="D2004">
        <v>6</v>
      </c>
      <c r="E2004" t="s">
        <v>1989</v>
      </c>
    </row>
    <row r="2005" spans="1:5">
      <c r="A2005">
        <f>HYPERLINK("http://www.twitter.com/nyc311/status/771107501295230976", "771107501295230976")</f>
        <v>0</v>
      </c>
      <c r="B2005" s="2">
        <v>42613.9227893519</v>
      </c>
      <c r="C2005">
        <v>0</v>
      </c>
      <c r="D2005">
        <v>0</v>
      </c>
      <c r="E2005" t="s">
        <v>1990</v>
      </c>
    </row>
    <row r="2006" spans="1:5">
      <c r="A2006">
        <f>HYPERLINK("http://www.twitter.com/nyc311/status/771106437892284417", "771106437892284417")</f>
        <v>0</v>
      </c>
      <c r="B2006" s="2">
        <v>42613.919849537</v>
      </c>
      <c r="C2006">
        <v>0</v>
      </c>
      <c r="D2006">
        <v>0</v>
      </c>
      <c r="E2006" t="s">
        <v>1991</v>
      </c>
    </row>
    <row r="2007" spans="1:5">
      <c r="A2007">
        <f>HYPERLINK("http://www.twitter.com/nyc311/status/771105678861668353", "771105678861668353")</f>
        <v>0</v>
      </c>
      <c r="B2007" s="2">
        <v>42613.9177546296</v>
      </c>
      <c r="C2007">
        <v>0</v>
      </c>
      <c r="D2007">
        <v>0</v>
      </c>
      <c r="E2007" t="s">
        <v>1992</v>
      </c>
    </row>
    <row r="2008" spans="1:5">
      <c r="A2008">
        <f>HYPERLINK("http://www.twitter.com/nyc311/status/771105308001337345", "771105308001337345")</f>
        <v>0</v>
      </c>
      <c r="B2008" s="2">
        <v>42613.9167361111</v>
      </c>
      <c r="C2008">
        <v>0</v>
      </c>
      <c r="D2008">
        <v>0</v>
      </c>
      <c r="E2008" t="s">
        <v>1993</v>
      </c>
    </row>
    <row r="2009" spans="1:5">
      <c r="A2009">
        <f>HYPERLINK("http://www.twitter.com/nyc311/status/771105075263594497", "771105075263594497")</f>
        <v>0</v>
      </c>
      <c r="B2009" s="2">
        <v>42613.916099537</v>
      </c>
      <c r="C2009">
        <v>0</v>
      </c>
      <c r="D2009">
        <v>0</v>
      </c>
      <c r="E2009" t="s">
        <v>1994</v>
      </c>
    </row>
    <row r="2010" spans="1:5">
      <c r="A2010">
        <f>HYPERLINK("http://www.twitter.com/nyc311/status/771091927458516993", "771091927458516993")</f>
        <v>0</v>
      </c>
      <c r="B2010" s="2">
        <v>42613.8798148148</v>
      </c>
      <c r="C2010">
        <v>1</v>
      </c>
      <c r="D2010">
        <v>1</v>
      </c>
      <c r="E2010" t="s">
        <v>1995</v>
      </c>
    </row>
    <row r="2011" spans="1:5">
      <c r="A2011">
        <f>HYPERLINK("http://www.twitter.com/nyc311/status/771089040342978560", "771089040342978560")</f>
        <v>0</v>
      </c>
      <c r="B2011" s="2">
        <v>42613.8718518519</v>
      </c>
      <c r="C2011">
        <v>0</v>
      </c>
      <c r="D2011">
        <v>0</v>
      </c>
      <c r="E2011" t="s">
        <v>1996</v>
      </c>
    </row>
    <row r="2012" spans="1:5">
      <c r="A2012">
        <f>HYPERLINK("http://www.twitter.com/nyc311/status/771088890736283648", "771088890736283648")</f>
        <v>0</v>
      </c>
      <c r="B2012" s="2">
        <v>42613.8714351852</v>
      </c>
      <c r="C2012">
        <v>0</v>
      </c>
      <c r="D2012">
        <v>0</v>
      </c>
      <c r="E2012" t="s">
        <v>1997</v>
      </c>
    </row>
    <row r="2013" spans="1:5">
      <c r="A2013">
        <f>HYPERLINK("http://www.twitter.com/nyc311/status/771075844370497536", "771075844370497536")</f>
        <v>0</v>
      </c>
      <c r="B2013" s="2">
        <v>42613.8354282407</v>
      </c>
      <c r="C2013">
        <v>1</v>
      </c>
      <c r="D2013">
        <v>1</v>
      </c>
      <c r="E2013" t="s">
        <v>1998</v>
      </c>
    </row>
    <row r="2014" spans="1:5">
      <c r="A2014">
        <f>HYPERLINK("http://www.twitter.com/nyc311/status/771047028625436672", "771047028625436672")</f>
        <v>0</v>
      </c>
      <c r="B2014" s="2">
        <v>42613.7559143519</v>
      </c>
      <c r="C2014">
        <v>0</v>
      </c>
      <c r="D2014">
        <v>0</v>
      </c>
      <c r="E2014" t="s">
        <v>1999</v>
      </c>
    </row>
    <row r="2015" spans="1:5">
      <c r="A2015">
        <f>HYPERLINK("http://www.twitter.com/nyc311/status/771045678046928898", "771045678046928898")</f>
        <v>0</v>
      </c>
      <c r="B2015" s="2">
        <v>42613.7521875</v>
      </c>
      <c r="C2015">
        <v>5</v>
      </c>
      <c r="D2015">
        <v>7</v>
      </c>
      <c r="E2015" t="s">
        <v>2000</v>
      </c>
    </row>
    <row r="2016" spans="1:5">
      <c r="A2016">
        <f>HYPERLINK("http://www.twitter.com/nyc311/status/771028086968180736", "771028086968180736")</f>
        <v>0</v>
      </c>
      <c r="B2016" s="2">
        <v>42613.7036458333</v>
      </c>
      <c r="C2016">
        <v>0</v>
      </c>
      <c r="D2016">
        <v>0</v>
      </c>
      <c r="E2016" t="s">
        <v>2001</v>
      </c>
    </row>
    <row r="2017" spans="1:5">
      <c r="A2017">
        <f>HYPERLINK("http://www.twitter.com/nyc311/status/771027979510091776", "771027979510091776")</f>
        <v>0</v>
      </c>
      <c r="B2017" s="2">
        <v>42613.7033449074</v>
      </c>
      <c r="C2017">
        <v>0</v>
      </c>
      <c r="D2017">
        <v>0</v>
      </c>
      <c r="E2017" t="s">
        <v>2002</v>
      </c>
    </row>
    <row r="2018" spans="1:5">
      <c r="A2018">
        <f>HYPERLINK("http://www.twitter.com/nyc311/status/771025269637451776", "771025269637451776")</f>
        <v>0</v>
      </c>
      <c r="B2018" s="2">
        <v>42613.6958680556</v>
      </c>
      <c r="C2018">
        <v>0</v>
      </c>
      <c r="D2018">
        <v>0</v>
      </c>
      <c r="E2018" t="s">
        <v>2003</v>
      </c>
    </row>
    <row r="2019" spans="1:5">
      <c r="A2019">
        <f>HYPERLINK("http://www.twitter.com/nyc311/status/771015638496272388", "771015638496272388")</f>
        <v>0</v>
      </c>
      <c r="B2019" s="2">
        <v>42613.6692939815</v>
      </c>
      <c r="C2019">
        <v>1</v>
      </c>
      <c r="D2019">
        <v>4</v>
      </c>
      <c r="E2019" t="s">
        <v>2004</v>
      </c>
    </row>
    <row r="2020" spans="1:5">
      <c r="A2020">
        <f>HYPERLINK("http://www.twitter.com/nyc311/status/771009413876449282", "771009413876449282")</f>
        <v>0</v>
      </c>
      <c r="B2020" s="2">
        <v>42613.6521180556</v>
      </c>
      <c r="C2020">
        <v>1</v>
      </c>
      <c r="D2020">
        <v>0</v>
      </c>
      <c r="E2020" t="s">
        <v>2005</v>
      </c>
    </row>
    <row r="2021" spans="1:5">
      <c r="A2021">
        <f>HYPERLINK("http://www.twitter.com/nyc311/status/771009330112004096", "771009330112004096")</f>
        <v>0</v>
      </c>
      <c r="B2021" s="2">
        <v>42613.6518865741</v>
      </c>
      <c r="C2021">
        <v>1</v>
      </c>
      <c r="D2021">
        <v>0</v>
      </c>
      <c r="E2021" t="s">
        <v>2006</v>
      </c>
    </row>
    <row r="2022" spans="1:5">
      <c r="A2022">
        <f>HYPERLINK("http://www.twitter.com/nyc311/status/771004700837675008", "771004700837675008")</f>
        <v>0</v>
      </c>
      <c r="B2022" s="2">
        <v>42613.6391087963</v>
      </c>
      <c r="C2022">
        <v>0</v>
      </c>
      <c r="D2022">
        <v>0</v>
      </c>
      <c r="E2022" t="s">
        <v>2007</v>
      </c>
    </row>
    <row r="2023" spans="1:5">
      <c r="A2023">
        <f>HYPERLINK("http://www.twitter.com/nyc311/status/770994739269275648", "770994739269275648")</f>
        <v>0</v>
      </c>
      <c r="B2023" s="2">
        <v>42613.6116203704</v>
      </c>
      <c r="C2023">
        <v>0</v>
      </c>
      <c r="D2023">
        <v>0</v>
      </c>
      <c r="E2023" t="s">
        <v>2008</v>
      </c>
    </row>
    <row r="2024" spans="1:5">
      <c r="A2024">
        <f>HYPERLINK("http://www.twitter.com/nyc311/status/770992476136046592", "770992476136046592")</f>
        <v>0</v>
      </c>
      <c r="B2024" s="2">
        <v>42613.6053819444</v>
      </c>
      <c r="C2024">
        <v>0</v>
      </c>
      <c r="D2024">
        <v>0</v>
      </c>
      <c r="E2024" t="s">
        <v>2009</v>
      </c>
    </row>
    <row r="2025" spans="1:5">
      <c r="A2025">
        <f>HYPERLINK("http://www.twitter.com/nyc311/status/770991461978570752", "770991461978570752")</f>
        <v>0</v>
      </c>
      <c r="B2025" s="2">
        <v>42613.6025810185</v>
      </c>
      <c r="C2025">
        <v>0</v>
      </c>
      <c r="D2025">
        <v>0</v>
      </c>
      <c r="E2025" t="s">
        <v>2010</v>
      </c>
    </row>
    <row r="2026" spans="1:5">
      <c r="A2026">
        <f>HYPERLINK("http://www.twitter.com/nyc311/status/770985346175799296", "770985346175799296")</f>
        <v>0</v>
      </c>
      <c r="B2026" s="2">
        <v>42613.5857060185</v>
      </c>
      <c r="C2026">
        <v>20</v>
      </c>
      <c r="D2026">
        <v>23</v>
      </c>
      <c r="E2026" t="s">
        <v>2011</v>
      </c>
    </row>
    <row r="2027" spans="1:5">
      <c r="A2027">
        <f>HYPERLINK("http://www.twitter.com/nyc311/status/770717181751521287", "770717181751521287")</f>
        <v>0</v>
      </c>
      <c r="B2027" s="2">
        <v>42612.8457175926</v>
      </c>
      <c r="C2027">
        <v>0</v>
      </c>
      <c r="D2027">
        <v>0</v>
      </c>
      <c r="E2027" t="s">
        <v>2012</v>
      </c>
    </row>
    <row r="2028" spans="1:5">
      <c r="A2028">
        <f>HYPERLINK("http://www.twitter.com/nyc311/status/770713441485123585", "770713441485123585")</f>
        <v>0</v>
      </c>
      <c r="B2028" s="2">
        <v>42612.8353935185</v>
      </c>
      <c r="C2028">
        <v>2</v>
      </c>
      <c r="D2028">
        <v>2</v>
      </c>
      <c r="E2028" t="s">
        <v>2013</v>
      </c>
    </row>
    <row r="2029" spans="1:5">
      <c r="A2029">
        <f>HYPERLINK("http://www.twitter.com/nyc311/status/770683278252732416", "770683278252732416")</f>
        <v>0</v>
      </c>
      <c r="B2029" s="2">
        <v>42612.7521527778</v>
      </c>
      <c r="C2029">
        <v>4</v>
      </c>
      <c r="D2029">
        <v>6</v>
      </c>
      <c r="E2029" t="s">
        <v>2014</v>
      </c>
    </row>
    <row r="2030" spans="1:5">
      <c r="A2030">
        <f>HYPERLINK("http://www.twitter.com/nyc311/status/770679077619597313", "770679077619597313")</f>
        <v>0</v>
      </c>
      <c r="B2030" s="2">
        <v>42612.7405671296</v>
      </c>
      <c r="C2030">
        <v>0</v>
      </c>
      <c r="D2030">
        <v>0</v>
      </c>
      <c r="E2030" t="s">
        <v>2015</v>
      </c>
    </row>
    <row r="2031" spans="1:5">
      <c r="A2031">
        <f>HYPERLINK("http://www.twitter.com/nyc311/status/770666771976257536", "770666771976257536")</f>
        <v>0</v>
      </c>
      <c r="B2031" s="2">
        <v>42612.7066087963</v>
      </c>
      <c r="C2031">
        <v>0</v>
      </c>
      <c r="D2031">
        <v>0</v>
      </c>
      <c r="E2031" t="s">
        <v>2016</v>
      </c>
    </row>
    <row r="2032" spans="1:5">
      <c r="A2032">
        <f>HYPERLINK("http://www.twitter.com/nyc311/status/770663227751620610", "770663227751620610")</f>
        <v>0</v>
      </c>
      <c r="B2032" s="2">
        <v>42612.6968287037</v>
      </c>
      <c r="C2032">
        <v>0</v>
      </c>
      <c r="D2032">
        <v>0</v>
      </c>
      <c r="E2032" t="s">
        <v>2017</v>
      </c>
    </row>
    <row r="2033" spans="1:5">
      <c r="A2033">
        <f>HYPERLINK("http://www.twitter.com/nyc311/status/770653306817576961", "770653306817576961")</f>
        <v>0</v>
      </c>
      <c r="B2033" s="2">
        <v>42612.6694560185</v>
      </c>
      <c r="C2033">
        <v>6</v>
      </c>
      <c r="D2033">
        <v>3</v>
      </c>
      <c r="E2033" t="s">
        <v>2018</v>
      </c>
    </row>
    <row r="2034" spans="1:5">
      <c r="A2034">
        <f>HYPERLINK("http://www.twitter.com/nyc311/status/770644096193093633", "770644096193093633")</f>
        <v>0</v>
      </c>
      <c r="B2034" s="2">
        <v>42612.6440393518</v>
      </c>
      <c r="C2034">
        <v>0</v>
      </c>
      <c r="D2034">
        <v>0</v>
      </c>
      <c r="E2034" t="s">
        <v>2019</v>
      </c>
    </row>
    <row r="2035" spans="1:5">
      <c r="A2035">
        <f>HYPERLINK("http://www.twitter.com/nyc311/status/770632142527275008", "770632142527275008")</f>
        <v>0</v>
      </c>
      <c r="B2035" s="2">
        <v>42612.6110532407</v>
      </c>
      <c r="C2035">
        <v>1</v>
      </c>
      <c r="D2035">
        <v>0</v>
      </c>
      <c r="E2035" t="s">
        <v>2020</v>
      </c>
    </row>
    <row r="2036" spans="1:5">
      <c r="A2036">
        <f>HYPERLINK("http://www.twitter.com/nyc311/status/770630428759851008", "770630428759851008")</f>
        <v>0</v>
      </c>
      <c r="B2036" s="2">
        <v>42612.6063194444</v>
      </c>
      <c r="C2036">
        <v>0</v>
      </c>
      <c r="D2036">
        <v>0</v>
      </c>
      <c r="E2036" t="s">
        <v>2021</v>
      </c>
    </row>
    <row r="2037" spans="1:5">
      <c r="A2037">
        <f>HYPERLINK("http://www.twitter.com/nyc311/status/770630144818110464", "770630144818110464")</f>
        <v>0</v>
      </c>
      <c r="B2037" s="2">
        <v>42612.6055324074</v>
      </c>
      <c r="C2037">
        <v>0</v>
      </c>
      <c r="D2037">
        <v>0</v>
      </c>
      <c r="E2037" t="s">
        <v>2022</v>
      </c>
    </row>
    <row r="2038" spans="1:5">
      <c r="A2038">
        <f>HYPERLINK("http://www.twitter.com/nyc311/status/770623364062928896", "770623364062928896")</f>
        <v>0</v>
      </c>
      <c r="B2038" s="2">
        <v>42612.5868287037</v>
      </c>
      <c r="C2038">
        <v>0</v>
      </c>
      <c r="D2038">
        <v>0</v>
      </c>
      <c r="E2038" t="s">
        <v>2023</v>
      </c>
    </row>
    <row r="2039" spans="1:5">
      <c r="A2039">
        <f>HYPERLINK("http://www.twitter.com/nyc311/status/770622913762455553", "770622913762455553")</f>
        <v>0</v>
      </c>
      <c r="B2039" s="2">
        <v>42612.5855787037</v>
      </c>
      <c r="C2039">
        <v>3</v>
      </c>
      <c r="D2039">
        <v>6</v>
      </c>
      <c r="E2039" t="s">
        <v>2024</v>
      </c>
    </row>
    <row r="2040" spans="1:5">
      <c r="A2040">
        <f>HYPERLINK("http://www.twitter.com/nyc311/status/770620332004765696", "770620332004765696")</f>
        <v>0</v>
      </c>
      <c r="B2040" s="2">
        <v>42612.5784606481</v>
      </c>
      <c r="C2040">
        <v>0</v>
      </c>
      <c r="D2040">
        <v>0</v>
      </c>
      <c r="E2040" t="s">
        <v>2025</v>
      </c>
    </row>
    <row r="2041" spans="1:5">
      <c r="A2041">
        <f>HYPERLINK("http://www.twitter.com/nyc311/status/770619396674945024", "770619396674945024")</f>
        <v>0</v>
      </c>
      <c r="B2041" s="2">
        <v>42612.5758796296</v>
      </c>
      <c r="C2041">
        <v>0</v>
      </c>
      <c r="D2041">
        <v>0</v>
      </c>
      <c r="E2041" t="s">
        <v>2026</v>
      </c>
    </row>
    <row r="2042" spans="1:5">
      <c r="A2042">
        <f>HYPERLINK("http://www.twitter.com/nyc311/status/770350824891506692", "770350824891506692")</f>
        <v>0</v>
      </c>
      <c r="B2042" s="2">
        <v>42611.8347569444</v>
      </c>
      <c r="C2042">
        <v>1</v>
      </c>
      <c r="D2042">
        <v>3</v>
      </c>
      <c r="E2042" t="s">
        <v>2027</v>
      </c>
    </row>
    <row r="2043" spans="1:5">
      <c r="A2043">
        <f>HYPERLINK("http://www.twitter.com/nyc311/status/770325325008044033", "770325325008044033")</f>
        <v>0</v>
      </c>
      <c r="B2043" s="2">
        <v>42611.7643981481</v>
      </c>
      <c r="C2043">
        <v>0</v>
      </c>
      <c r="D2043">
        <v>0</v>
      </c>
      <c r="E2043" t="s">
        <v>2028</v>
      </c>
    </row>
    <row r="2044" spans="1:5">
      <c r="A2044">
        <f>HYPERLINK("http://www.twitter.com/nyc311/status/770323334160650240", "770323334160650240")</f>
        <v>0</v>
      </c>
      <c r="B2044" s="2">
        <v>42611.758900463</v>
      </c>
      <c r="C2044">
        <v>0</v>
      </c>
      <c r="D2044">
        <v>0</v>
      </c>
      <c r="E2044" t="s">
        <v>2029</v>
      </c>
    </row>
    <row r="2045" spans="1:5">
      <c r="A2045">
        <f>HYPERLINK("http://www.twitter.com/nyc311/status/770322076209152001", "770322076209152001")</f>
        <v>0</v>
      </c>
      <c r="B2045" s="2">
        <v>42611.7554282407</v>
      </c>
      <c r="C2045">
        <v>0</v>
      </c>
      <c r="D2045">
        <v>0</v>
      </c>
      <c r="E2045" t="s">
        <v>2030</v>
      </c>
    </row>
    <row r="2046" spans="1:5">
      <c r="A2046">
        <f>HYPERLINK("http://www.twitter.com/nyc311/status/770321929639256067", "770321929639256067")</f>
        <v>0</v>
      </c>
      <c r="B2046" s="2">
        <v>42611.7550231482</v>
      </c>
      <c r="C2046">
        <v>0</v>
      </c>
      <c r="D2046">
        <v>0</v>
      </c>
      <c r="E2046" t="s">
        <v>2031</v>
      </c>
    </row>
    <row r="2047" spans="1:5">
      <c r="A2047">
        <f>HYPERLINK("http://www.twitter.com/nyc311/status/770321499311968256", "770321499311968256")</f>
        <v>0</v>
      </c>
      <c r="B2047" s="2">
        <v>42611.7538310185</v>
      </c>
      <c r="C2047">
        <v>0</v>
      </c>
      <c r="D2047">
        <v>0</v>
      </c>
      <c r="E2047" t="s">
        <v>2032</v>
      </c>
    </row>
    <row r="2048" spans="1:5">
      <c r="A2048">
        <f>HYPERLINK("http://www.twitter.com/nyc311/status/770320734040297472", "770320734040297472")</f>
        <v>0</v>
      </c>
      <c r="B2048" s="2">
        <v>42611.751724537</v>
      </c>
      <c r="C2048">
        <v>8</v>
      </c>
      <c r="D2048">
        <v>7</v>
      </c>
      <c r="E2048" t="s">
        <v>2033</v>
      </c>
    </row>
    <row r="2049" spans="1:5">
      <c r="A2049">
        <f>HYPERLINK("http://www.twitter.com/nyc311/status/770319062916329473", "770319062916329473")</f>
        <v>0</v>
      </c>
      <c r="B2049" s="2">
        <v>42611.7471180556</v>
      </c>
      <c r="C2049">
        <v>0</v>
      </c>
      <c r="D2049">
        <v>1</v>
      </c>
      <c r="E2049" t="s">
        <v>2034</v>
      </c>
    </row>
    <row r="2050" spans="1:5">
      <c r="A2050">
        <f>HYPERLINK("http://www.twitter.com/nyc311/status/770310222133035008", "770310222133035008")</f>
        <v>0</v>
      </c>
      <c r="B2050" s="2">
        <v>42611.7227199074</v>
      </c>
      <c r="C2050">
        <v>0</v>
      </c>
      <c r="D2050">
        <v>0</v>
      </c>
      <c r="E2050" t="s">
        <v>2035</v>
      </c>
    </row>
    <row r="2051" spans="1:5">
      <c r="A2051">
        <f>HYPERLINK("http://www.twitter.com/nyc311/status/770307496816865281", "770307496816865281")</f>
        <v>0</v>
      </c>
      <c r="B2051" s="2">
        <v>42611.7151967593</v>
      </c>
      <c r="C2051">
        <v>1</v>
      </c>
      <c r="D2051">
        <v>0</v>
      </c>
      <c r="E2051" t="s">
        <v>2036</v>
      </c>
    </row>
    <row r="2052" spans="1:5">
      <c r="A2052">
        <f>HYPERLINK("http://www.twitter.com/nyc311/status/770299751476695040", "770299751476695040")</f>
        <v>0</v>
      </c>
      <c r="B2052" s="2">
        <v>42611.6938194444</v>
      </c>
      <c r="C2052">
        <v>0</v>
      </c>
      <c r="D2052">
        <v>0</v>
      </c>
      <c r="E2052" t="s">
        <v>2037</v>
      </c>
    </row>
    <row r="2053" spans="1:5">
      <c r="A2053">
        <f>HYPERLINK("http://www.twitter.com/nyc311/status/770297862399885313", "770297862399885313")</f>
        <v>0</v>
      </c>
      <c r="B2053" s="2">
        <v>42611.6886111111</v>
      </c>
      <c r="C2053">
        <v>0</v>
      </c>
      <c r="D2053">
        <v>0</v>
      </c>
      <c r="E2053" t="s">
        <v>2038</v>
      </c>
    </row>
    <row r="2054" spans="1:5">
      <c r="A2054">
        <f>HYPERLINK("http://www.twitter.com/nyc311/status/770294929981599748", "770294929981599748")</f>
        <v>0</v>
      </c>
      <c r="B2054" s="2">
        <v>42611.6805208333</v>
      </c>
      <c r="C2054">
        <v>0</v>
      </c>
      <c r="D2054">
        <v>0</v>
      </c>
      <c r="E2054" t="s">
        <v>2039</v>
      </c>
    </row>
    <row r="2055" spans="1:5">
      <c r="A2055">
        <f>HYPERLINK("http://www.twitter.com/nyc311/status/770293940700446720", "770293940700446720")</f>
        <v>0</v>
      </c>
      <c r="B2055" s="2">
        <v>42611.6777893519</v>
      </c>
      <c r="C2055">
        <v>0</v>
      </c>
      <c r="D2055">
        <v>0</v>
      </c>
      <c r="E2055" t="s">
        <v>2040</v>
      </c>
    </row>
    <row r="2056" spans="1:5">
      <c r="A2056">
        <f>HYPERLINK("http://www.twitter.com/nyc311/status/770290657634189312", "770290657634189312")</f>
        <v>0</v>
      </c>
      <c r="B2056" s="2">
        <v>42611.6687268519</v>
      </c>
      <c r="C2056">
        <v>2</v>
      </c>
      <c r="D2056">
        <v>4</v>
      </c>
      <c r="E2056" t="s">
        <v>2041</v>
      </c>
    </row>
    <row r="2057" spans="1:5">
      <c r="A2057">
        <f>HYPERLINK("http://www.twitter.com/nyc311/status/770284385996304384", "770284385996304384")</f>
        <v>0</v>
      </c>
      <c r="B2057" s="2">
        <v>42611.6514236111</v>
      </c>
      <c r="C2057">
        <v>0</v>
      </c>
      <c r="D2057">
        <v>0</v>
      </c>
      <c r="E2057" t="s">
        <v>2042</v>
      </c>
    </row>
    <row r="2058" spans="1:5">
      <c r="A2058">
        <f>HYPERLINK("http://www.twitter.com/nyc311/status/770283027364806660", "770283027364806660")</f>
        <v>0</v>
      </c>
      <c r="B2058" s="2">
        <v>42611.6476736111</v>
      </c>
      <c r="C2058">
        <v>0</v>
      </c>
      <c r="D2058">
        <v>0</v>
      </c>
      <c r="E2058" t="s">
        <v>2043</v>
      </c>
    </row>
    <row r="2059" spans="1:5">
      <c r="A2059">
        <f>HYPERLINK("http://www.twitter.com/nyc311/status/770282337569505280", "770282337569505280")</f>
        <v>0</v>
      </c>
      <c r="B2059" s="2">
        <v>42611.645775463</v>
      </c>
      <c r="C2059">
        <v>0</v>
      </c>
      <c r="D2059">
        <v>0</v>
      </c>
      <c r="E2059" t="s">
        <v>2044</v>
      </c>
    </row>
    <row r="2060" spans="1:5">
      <c r="A2060">
        <f>HYPERLINK("http://www.twitter.com/nyc311/status/770275472680873984", "770275472680873984")</f>
        <v>0</v>
      </c>
      <c r="B2060" s="2">
        <v>42611.6268287037</v>
      </c>
      <c r="C2060">
        <v>3</v>
      </c>
      <c r="D2060">
        <v>6</v>
      </c>
      <c r="E2060" t="s">
        <v>2045</v>
      </c>
    </row>
    <row r="2061" spans="1:5">
      <c r="A2061">
        <f>HYPERLINK("http://www.twitter.com/nyc311/status/770274911868846081", "770274911868846081")</f>
        <v>0</v>
      </c>
      <c r="B2061" s="2">
        <v>42611.6252777778</v>
      </c>
      <c r="C2061">
        <v>0</v>
      </c>
      <c r="D2061">
        <v>1</v>
      </c>
      <c r="E2061" t="s">
        <v>2046</v>
      </c>
    </row>
    <row r="2062" spans="1:5">
      <c r="A2062">
        <f>HYPERLINK("http://www.twitter.com/nyc311/status/770274053244485636", "770274053244485636")</f>
        <v>0</v>
      </c>
      <c r="B2062" s="2">
        <v>42611.6229050926</v>
      </c>
      <c r="C2062">
        <v>0</v>
      </c>
      <c r="D2062">
        <v>0</v>
      </c>
      <c r="E2062" t="s">
        <v>2047</v>
      </c>
    </row>
    <row r="2063" spans="1:5">
      <c r="A2063">
        <f>HYPERLINK("http://www.twitter.com/nyc311/status/770273563060367360", "770273563060367360")</f>
        <v>0</v>
      </c>
      <c r="B2063" s="2">
        <v>42611.6215625</v>
      </c>
      <c r="C2063">
        <v>0</v>
      </c>
      <c r="D2063">
        <v>0</v>
      </c>
      <c r="E2063" t="s">
        <v>2048</v>
      </c>
    </row>
    <row r="2064" spans="1:5">
      <c r="A2064">
        <f>HYPERLINK("http://www.twitter.com/nyc311/status/770272865560190977", "770272865560190977")</f>
        <v>0</v>
      </c>
      <c r="B2064" s="2">
        <v>42611.6196296296</v>
      </c>
      <c r="C2064">
        <v>0</v>
      </c>
      <c r="D2064">
        <v>0</v>
      </c>
      <c r="E2064" t="s">
        <v>2049</v>
      </c>
    </row>
    <row r="2065" spans="1:5">
      <c r="A2065">
        <f>HYPERLINK("http://www.twitter.com/nyc311/status/770272015102124032", "770272015102124032")</f>
        <v>0</v>
      </c>
      <c r="B2065" s="2">
        <v>42611.6172916667</v>
      </c>
      <c r="C2065">
        <v>2</v>
      </c>
      <c r="D2065">
        <v>1</v>
      </c>
      <c r="E2065" t="s">
        <v>2050</v>
      </c>
    </row>
    <row r="2066" spans="1:5">
      <c r="A2066">
        <f>HYPERLINK("http://www.twitter.com/nyc311/status/770269563413987328", "770269563413987328")</f>
        <v>0</v>
      </c>
      <c r="B2066" s="2">
        <v>42611.6105208333</v>
      </c>
      <c r="C2066">
        <v>0</v>
      </c>
      <c r="D2066">
        <v>0</v>
      </c>
      <c r="E2066" t="s">
        <v>2051</v>
      </c>
    </row>
    <row r="2067" spans="1:5">
      <c r="A2067">
        <f>HYPERLINK("http://www.twitter.com/nyc311/status/770269376838791168", "770269376838791168")</f>
        <v>0</v>
      </c>
      <c r="B2067" s="2">
        <v>42611.6100115741</v>
      </c>
      <c r="C2067">
        <v>0</v>
      </c>
      <c r="D2067">
        <v>0</v>
      </c>
      <c r="E2067" t="s">
        <v>2052</v>
      </c>
    </row>
    <row r="2068" spans="1:5">
      <c r="A2068">
        <f>HYPERLINK("http://www.twitter.com/nyc311/status/770269047002923009", "770269047002923009")</f>
        <v>0</v>
      </c>
      <c r="B2068" s="2">
        <v>42611.6090972222</v>
      </c>
      <c r="C2068">
        <v>0</v>
      </c>
      <c r="D2068">
        <v>0</v>
      </c>
      <c r="E2068" t="s">
        <v>2053</v>
      </c>
    </row>
    <row r="2069" spans="1:5">
      <c r="A2069">
        <f>HYPERLINK("http://www.twitter.com/nyc311/status/770268447863402497", "770268447863402497")</f>
        <v>0</v>
      </c>
      <c r="B2069" s="2">
        <v>42611.6074421296</v>
      </c>
      <c r="C2069">
        <v>0</v>
      </c>
      <c r="D2069">
        <v>0</v>
      </c>
      <c r="E2069" t="s">
        <v>2054</v>
      </c>
    </row>
    <row r="2070" spans="1:5">
      <c r="A2070">
        <f>HYPERLINK("http://www.twitter.com/nyc311/status/770268212936249344", "770268212936249344")</f>
        <v>0</v>
      </c>
      <c r="B2070" s="2">
        <v>42611.6067939815</v>
      </c>
      <c r="C2070">
        <v>0</v>
      </c>
      <c r="D2070">
        <v>0</v>
      </c>
      <c r="E2070" t="s">
        <v>2055</v>
      </c>
    </row>
    <row r="2071" spans="1:5">
      <c r="A2071">
        <f>HYPERLINK("http://www.twitter.com/nyc311/status/770267977895780353", "770267977895780353")</f>
        <v>0</v>
      </c>
      <c r="B2071" s="2">
        <v>42611.6061458333</v>
      </c>
      <c r="C2071">
        <v>0</v>
      </c>
      <c r="D2071">
        <v>0</v>
      </c>
      <c r="E2071" t="s">
        <v>2056</v>
      </c>
    </row>
    <row r="2072" spans="1:5">
      <c r="A2072">
        <f>HYPERLINK("http://www.twitter.com/nyc311/status/770267591705321473", "770267591705321473")</f>
        <v>0</v>
      </c>
      <c r="B2072" s="2">
        <v>42611.6050810185</v>
      </c>
      <c r="C2072">
        <v>1</v>
      </c>
      <c r="D2072">
        <v>0</v>
      </c>
      <c r="E2072" t="s">
        <v>2057</v>
      </c>
    </row>
    <row r="2073" spans="1:5">
      <c r="A2073">
        <f>HYPERLINK("http://www.twitter.com/nyc311/status/770266674616471552", "770266674616471552")</f>
        <v>0</v>
      </c>
      <c r="B2073" s="2">
        <v>42611.6025462963</v>
      </c>
      <c r="C2073">
        <v>0</v>
      </c>
      <c r="D2073">
        <v>0</v>
      </c>
      <c r="E2073" t="s">
        <v>2058</v>
      </c>
    </row>
    <row r="2074" spans="1:5">
      <c r="A2074">
        <f>HYPERLINK("http://www.twitter.com/nyc311/status/770266493447798784", "770266493447798784")</f>
        <v>0</v>
      </c>
      <c r="B2074" s="2">
        <v>42611.6020486111</v>
      </c>
      <c r="C2074">
        <v>0</v>
      </c>
      <c r="D2074">
        <v>0</v>
      </c>
      <c r="E2074" t="s">
        <v>2059</v>
      </c>
    </row>
    <row r="2075" spans="1:5">
      <c r="A2075">
        <f>HYPERLINK("http://www.twitter.com/nyc311/status/770266370193973248", "770266370193973248")</f>
        <v>0</v>
      </c>
      <c r="B2075" s="2">
        <v>42611.601712963</v>
      </c>
      <c r="C2075">
        <v>0</v>
      </c>
      <c r="D2075">
        <v>0</v>
      </c>
      <c r="E2075" t="s">
        <v>2060</v>
      </c>
    </row>
    <row r="2076" spans="1:5">
      <c r="A2076">
        <f>HYPERLINK("http://www.twitter.com/nyc311/status/770266174634557440", "770266174634557440")</f>
        <v>0</v>
      </c>
      <c r="B2076" s="2">
        <v>42611.6011689815</v>
      </c>
      <c r="C2076">
        <v>0</v>
      </c>
      <c r="D2076">
        <v>0</v>
      </c>
      <c r="E2076" t="s">
        <v>2061</v>
      </c>
    </row>
    <row r="2077" spans="1:5">
      <c r="A2077">
        <f>HYPERLINK("http://www.twitter.com/nyc311/status/770265483987877888", "770265483987877888")</f>
        <v>0</v>
      </c>
      <c r="B2077" s="2">
        <v>42611.5992592593</v>
      </c>
      <c r="C2077">
        <v>0</v>
      </c>
      <c r="D2077">
        <v>1</v>
      </c>
      <c r="E2077" t="s">
        <v>2062</v>
      </c>
    </row>
    <row r="2078" spans="1:5">
      <c r="A2078">
        <f>HYPERLINK("http://www.twitter.com/nyc311/status/770263742479228928", "770263742479228928")</f>
        <v>0</v>
      </c>
      <c r="B2078" s="2">
        <v>42611.5944560185</v>
      </c>
      <c r="C2078">
        <v>0</v>
      </c>
      <c r="D2078">
        <v>0</v>
      </c>
      <c r="E2078" t="s">
        <v>2063</v>
      </c>
    </row>
    <row r="2079" spans="1:5">
      <c r="A2079">
        <f>HYPERLINK("http://www.twitter.com/nyc311/status/770263089266692096", "770263089266692096")</f>
        <v>0</v>
      </c>
      <c r="B2079" s="2">
        <v>42611.592650463</v>
      </c>
      <c r="C2079">
        <v>0</v>
      </c>
      <c r="D2079">
        <v>0</v>
      </c>
      <c r="E2079" t="s">
        <v>2064</v>
      </c>
    </row>
    <row r="2080" spans="1:5">
      <c r="A2080">
        <f>HYPERLINK("http://www.twitter.com/nyc311/status/770260392174055424", "770260392174055424")</f>
        <v>0</v>
      </c>
      <c r="B2080" s="2">
        <v>42611.5852083333</v>
      </c>
      <c r="C2080">
        <v>2</v>
      </c>
      <c r="D2080">
        <v>6</v>
      </c>
      <c r="E2080" t="s">
        <v>2065</v>
      </c>
    </row>
    <row r="2081" spans="1:5">
      <c r="A2081">
        <f>HYPERLINK("http://www.twitter.com/nyc311/status/769988319879061506", "769988319879061506")</f>
        <v>0</v>
      </c>
      <c r="B2081" s="2">
        <v>42610.8344328704</v>
      </c>
      <c r="C2081">
        <v>1</v>
      </c>
      <c r="D2081">
        <v>0</v>
      </c>
      <c r="E2081" t="s">
        <v>2066</v>
      </c>
    </row>
    <row r="2082" spans="1:5">
      <c r="A2082">
        <f>HYPERLINK("http://www.twitter.com/nyc311/status/769958208274325510", "769958208274325510")</f>
        <v>0</v>
      </c>
      <c r="B2082" s="2">
        <v>42610.7513425926</v>
      </c>
      <c r="C2082">
        <v>2</v>
      </c>
      <c r="D2082">
        <v>1</v>
      </c>
      <c r="E2082" t="s">
        <v>2067</v>
      </c>
    </row>
    <row r="2083" spans="1:5">
      <c r="A2083">
        <f>HYPERLINK("http://www.twitter.com/nyc311/status/769928030907166721", "769928030907166721")</f>
        <v>0</v>
      </c>
      <c r="B2083" s="2">
        <v>42610.6680671296</v>
      </c>
      <c r="C2083">
        <v>5</v>
      </c>
      <c r="D2083">
        <v>10</v>
      </c>
      <c r="E2083" t="s">
        <v>2068</v>
      </c>
    </row>
    <row r="2084" spans="1:5">
      <c r="A2084">
        <f>HYPERLINK("http://www.twitter.com/nyc311/status/769897860271861760", "769897860271861760")</f>
        <v>0</v>
      </c>
      <c r="B2084" s="2">
        <v>42610.5848148148</v>
      </c>
      <c r="C2084">
        <v>1</v>
      </c>
      <c r="D2084">
        <v>0</v>
      </c>
      <c r="E2084" t="s">
        <v>2069</v>
      </c>
    </row>
    <row r="2085" spans="1:5">
      <c r="A2085">
        <f>HYPERLINK("http://www.twitter.com/nyc311/status/769625965945290753", "769625965945290753")</f>
        <v>0</v>
      </c>
      <c r="B2085" s="2">
        <v>42609.834525463</v>
      </c>
      <c r="C2085">
        <v>0</v>
      </c>
      <c r="D2085">
        <v>1</v>
      </c>
      <c r="E2085" t="s">
        <v>2070</v>
      </c>
    </row>
    <row r="2086" spans="1:5">
      <c r="A2086">
        <f>HYPERLINK("http://www.twitter.com/nyc311/status/769610911560658945", "769610911560658945")</f>
        <v>0</v>
      </c>
      <c r="B2086" s="2">
        <v>42609.7929861111</v>
      </c>
      <c r="C2086">
        <v>6</v>
      </c>
      <c r="D2086">
        <v>5</v>
      </c>
      <c r="E2086" t="s">
        <v>2071</v>
      </c>
    </row>
    <row r="2087" spans="1:5">
      <c r="A2087">
        <f>HYPERLINK("http://www.twitter.com/nyc311/status/769595845327151108", "769595845327151108")</f>
        <v>0</v>
      </c>
      <c r="B2087" s="2">
        <v>42609.751412037</v>
      </c>
      <c r="C2087">
        <v>8</v>
      </c>
      <c r="D2087">
        <v>6</v>
      </c>
      <c r="E2087" t="s">
        <v>2072</v>
      </c>
    </row>
    <row r="2088" spans="1:5">
      <c r="A2088">
        <f>HYPERLINK("http://www.twitter.com/nyc311/status/769565728555012096", "769565728555012096")</f>
        <v>0</v>
      </c>
      <c r="B2088" s="2">
        <v>42609.6683101852</v>
      </c>
      <c r="C2088">
        <v>3</v>
      </c>
      <c r="D2088">
        <v>2</v>
      </c>
      <c r="E2088" t="s">
        <v>2073</v>
      </c>
    </row>
    <row r="2089" spans="1:5">
      <c r="A2089">
        <f>HYPERLINK("http://www.twitter.com/nyc311/status/769535504618577920", "769535504618577920")</f>
        <v>0</v>
      </c>
      <c r="B2089" s="2">
        <v>42609.5849074074</v>
      </c>
      <c r="C2089">
        <v>5</v>
      </c>
      <c r="D2089">
        <v>4</v>
      </c>
      <c r="E2089" t="s">
        <v>2074</v>
      </c>
    </row>
    <row r="2090" spans="1:5">
      <c r="A2090">
        <f>HYPERLINK("http://www.twitter.com/nyc311/status/769275649383100417", "769275649383100417")</f>
        <v>0</v>
      </c>
      <c r="B2090" s="2">
        <v>42608.8678356481</v>
      </c>
      <c r="C2090">
        <v>1</v>
      </c>
      <c r="D2090">
        <v>1</v>
      </c>
      <c r="E2090" t="s">
        <v>2075</v>
      </c>
    </row>
    <row r="2091" spans="1:5">
      <c r="A2091">
        <f>HYPERLINK("http://www.twitter.com/nyc311/status/769263740990713856", "769263740990713856")</f>
        <v>0</v>
      </c>
      <c r="B2091" s="2">
        <v>42608.8349768519</v>
      </c>
      <c r="C2091">
        <v>2</v>
      </c>
      <c r="D2091">
        <v>0</v>
      </c>
      <c r="E2091" t="s">
        <v>2076</v>
      </c>
    </row>
    <row r="2092" spans="1:5">
      <c r="A2092">
        <f>HYPERLINK("http://www.twitter.com/nyc311/status/769233609773514753", "769233609773514753")</f>
        <v>0</v>
      </c>
      <c r="B2092" s="2">
        <v>42608.7518287037</v>
      </c>
      <c r="C2092">
        <v>5</v>
      </c>
      <c r="D2092">
        <v>2</v>
      </c>
      <c r="E2092" t="s">
        <v>2077</v>
      </c>
    </row>
    <row r="2093" spans="1:5">
      <c r="A2093">
        <f>HYPERLINK("http://www.twitter.com/nyc311/status/769225786192691200", "769225786192691200")</f>
        <v>0</v>
      </c>
      <c r="B2093" s="2">
        <v>42608.7302430556</v>
      </c>
      <c r="C2093">
        <v>0</v>
      </c>
      <c r="D2093">
        <v>0</v>
      </c>
      <c r="E2093" t="s">
        <v>2078</v>
      </c>
    </row>
    <row r="2094" spans="1:5">
      <c r="A2094">
        <f>HYPERLINK("http://www.twitter.com/nyc311/status/769206561386487809", "769206561386487809")</f>
        <v>0</v>
      </c>
      <c r="B2094" s="2">
        <v>42608.6771990741</v>
      </c>
      <c r="C2094">
        <v>2</v>
      </c>
      <c r="D2094">
        <v>2</v>
      </c>
      <c r="E2094" t="s">
        <v>2079</v>
      </c>
    </row>
    <row r="2095" spans="1:5">
      <c r="A2095">
        <f>HYPERLINK("http://www.twitter.com/nyc311/status/769203635913945088", "769203635913945088")</f>
        <v>0</v>
      </c>
      <c r="B2095" s="2">
        <v>42608.6691203704</v>
      </c>
      <c r="C2095">
        <v>4</v>
      </c>
      <c r="D2095">
        <v>1</v>
      </c>
      <c r="E2095" t="s">
        <v>2080</v>
      </c>
    </row>
    <row r="2096" spans="1:5">
      <c r="A2096">
        <f>HYPERLINK("http://www.twitter.com/nyc311/status/769202527887888384", "769202527887888384")</f>
        <v>0</v>
      </c>
      <c r="B2096" s="2">
        <v>42608.6660648148</v>
      </c>
      <c r="C2096">
        <v>0</v>
      </c>
      <c r="D2096">
        <v>0</v>
      </c>
      <c r="E2096" t="s">
        <v>2081</v>
      </c>
    </row>
    <row r="2097" spans="1:5">
      <c r="A2097">
        <f>HYPERLINK("http://www.twitter.com/nyc311/status/769202160785653760", "769202160785653760")</f>
        <v>0</v>
      </c>
      <c r="B2097" s="2">
        <v>42608.6650462963</v>
      </c>
      <c r="C2097">
        <v>0</v>
      </c>
      <c r="D2097">
        <v>0</v>
      </c>
      <c r="E2097" t="s">
        <v>2082</v>
      </c>
    </row>
    <row r="2098" spans="1:5">
      <c r="A2098">
        <f>HYPERLINK("http://www.twitter.com/nyc311/status/769202039884775426", "769202039884775426")</f>
        <v>0</v>
      </c>
      <c r="B2098" s="2">
        <v>42608.6647222222</v>
      </c>
      <c r="C2098">
        <v>1</v>
      </c>
      <c r="D2098">
        <v>0</v>
      </c>
      <c r="E2098" t="s">
        <v>2083</v>
      </c>
    </row>
    <row r="2099" spans="1:5">
      <c r="A2099">
        <f>HYPERLINK("http://www.twitter.com/nyc311/status/769192020103536641", "769192020103536641")</f>
        <v>0</v>
      </c>
      <c r="B2099" s="2">
        <v>42608.6370717593</v>
      </c>
      <c r="C2099">
        <v>0</v>
      </c>
      <c r="D2099">
        <v>0</v>
      </c>
      <c r="E2099" t="s">
        <v>2084</v>
      </c>
    </row>
    <row r="2100" spans="1:5">
      <c r="A2100">
        <f>HYPERLINK("http://www.twitter.com/nyc311/status/769188287852515328", "769188287852515328")</f>
        <v>0</v>
      </c>
      <c r="B2100" s="2">
        <v>42608.6267708333</v>
      </c>
      <c r="C2100">
        <v>0</v>
      </c>
      <c r="D2100">
        <v>0</v>
      </c>
      <c r="E2100" t="s">
        <v>2085</v>
      </c>
    </row>
    <row r="2101" spans="1:5">
      <c r="A2101">
        <f>HYPERLINK("http://www.twitter.com/nyc311/status/769187902324695040", "769187902324695040")</f>
        <v>0</v>
      </c>
      <c r="B2101" s="2">
        <v>42608.6257060185</v>
      </c>
      <c r="C2101">
        <v>0</v>
      </c>
      <c r="D2101">
        <v>0</v>
      </c>
      <c r="E2101" t="s">
        <v>2086</v>
      </c>
    </row>
    <row r="2102" spans="1:5">
      <c r="A2102">
        <f>HYPERLINK("http://www.twitter.com/nyc311/status/769187366317789184", "769187366317789184")</f>
        <v>0</v>
      </c>
      <c r="B2102" s="2">
        <v>42608.624224537</v>
      </c>
      <c r="C2102">
        <v>1</v>
      </c>
      <c r="D2102">
        <v>0</v>
      </c>
      <c r="E2102" t="s">
        <v>2087</v>
      </c>
    </row>
    <row r="2103" spans="1:5">
      <c r="A2103">
        <f>HYPERLINK("http://www.twitter.com/nyc311/status/769183952313708549", "769183952313708549")</f>
        <v>0</v>
      </c>
      <c r="B2103" s="2">
        <v>42608.6148032407</v>
      </c>
      <c r="C2103">
        <v>0</v>
      </c>
      <c r="D2103">
        <v>0</v>
      </c>
      <c r="E2103" t="s">
        <v>2088</v>
      </c>
    </row>
    <row r="2104" spans="1:5">
      <c r="A2104">
        <f>HYPERLINK("http://www.twitter.com/nyc311/status/769183513820164097", "769183513820164097")</f>
        <v>0</v>
      </c>
      <c r="B2104" s="2">
        <v>42608.613599537</v>
      </c>
      <c r="C2104">
        <v>0</v>
      </c>
      <c r="D2104">
        <v>0</v>
      </c>
      <c r="E2104" t="s">
        <v>2089</v>
      </c>
    </row>
    <row r="2105" spans="1:5">
      <c r="A2105">
        <f>HYPERLINK("http://www.twitter.com/nyc311/status/769179558620827648", "769179558620827648")</f>
        <v>0</v>
      </c>
      <c r="B2105" s="2">
        <v>42608.6026851852</v>
      </c>
      <c r="C2105">
        <v>1</v>
      </c>
      <c r="D2105">
        <v>0</v>
      </c>
      <c r="E2105" t="s">
        <v>2090</v>
      </c>
    </row>
    <row r="2106" spans="1:5">
      <c r="A2106">
        <f>HYPERLINK("http://www.twitter.com/nyc311/status/769173315739148288", "769173315739148288")</f>
        <v>0</v>
      </c>
      <c r="B2106" s="2">
        <v>42608.5854513889</v>
      </c>
      <c r="C2106">
        <v>0</v>
      </c>
      <c r="D2106">
        <v>3</v>
      </c>
      <c r="E2106" t="s">
        <v>2091</v>
      </c>
    </row>
    <row r="2107" spans="1:5">
      <c r="A2107">
        <f>HYPERLINK("http://www.twitter.com/nyc311/status/768925119188262912", "768925119188262912")</f>
        <v>0</v>
      </c>
      <c r="B2107" s="2">
        <v>42607.9005671296</v>
      </c>
      <c r="C2107">
        <v>1</v>
      </c>
      <c r="D2107">
        <v>0</v>
      </c>
      <c r="E2107" t="s">
        <v>2092</v>
      </c>
    </row>
    <row r="2108" spans="1:5">
      <c r="A2108">
        <f>HYPERLINK("http://www.twitter.com/nyc311/status/768918623834542084", "768918623834542084")</f>
        <v>0</v>
      </c>
      <c r="B2108" s="2">
        <v>42607.8826388889</v>
      </c>
      <c r="C2108">
        <v>0</v>
      </c>
      <c r="D2108">
        <v>0</v>
      </c>
      <c r="E2108" t="s">
        <v>2093</v>
      </c>
    </row>
    <row r="2109" spans="1:5">
      <c r="A2109">
        <f>HYPERLINK("http://www.twitter.com/nyc311/status/768916860293308416", "768916860293308416")</f>
        <v>0</v>
      </c>
      <c r="B2109" s="2">
        <v>42607.8777662037</v>
      </c>
      <c r="C2109">
        <v>1</v>
      </c>
      <c r="D2109">
        <v>1</v>
      </c>
      <c r="E2109" t="s">
        <v>2094</v>
      </c>
    </row>
    <row r="2110" spans="1:5">
      <c r="A2110">
        <f>HYPERLINK("http://www.twitter.com/nyc311/status/768903230306840576", "768903230306840576")</f>
        <v>0</v>
      </c>
      <c r="B2110" s="2">
        <v>42607.840162037</v>
      </c>
      <c r="C2110">
        <v>0</v>
      </c>
      <c r="D2110">
        <v>0</v>
      </c>
      <c r="E2110" t="s">
        <v>2095</v>
      </c>
    </row>
    <row r="2111" spans="1:5">
      <c r="A2111">
        <f>HYPERLINK("http://www.twitter.com/nyc311/status/768901381562433536", "768901381562433536")</f>
        <v>0</v>
      </c>
      <c r="B2111" s="2">
        <v>42607.8350578704</v>
      </c>
      <c r="C2111">
        <v>1</v>
      </c>
      <c r="D2111">
        <v>1</v>
      </c>
      <c r="E2111" t="s">
        <v>2096</v>
      </c>
    </row>
    <row r="2112" spans="1:5">
      <c r="A2112">
        <f>HYPERLINK("http://www.twitter.com/nyc311/status/768900974320685056", "768900974320685056")</f>
        <v>0</v>
      </c>
      <c r="B2112" s="2">
        <v>42607.8339351852</v>
      </c>
      <c r="C2112">
        <v>0</v>
      </c>
      <c r="D2112">
        <v>0</v>
      </c>
      <c r="E2112" t="s">
        <v>2097</v>
      </c>
    </row>
    <row r="2113" spans="1:5">
      <c r="A2113">
        <f>HYPERLINK("http://www.twitter.com/nyc311/status/768894990353399808", "768894990353399808")</f>
        <v>0</v>
      </c>
      <c r="B2113" s="2">
        <v>42607.8174189815</v>
      </c>
      <c r="C2113">
        <v>0</v>
      </c>
      <c r="D2113">
        <v>1</v>
      </c>
      <c r="E2113" t="s">
        <v>2098</v>
      </c>
    </row>
    <row r="2114" spans="1:5">
      <c r="A2114">
        <f>HYPERLINK("http://www.twitter.com/nyc311/status/768894927132585984", "768894927132585984")</f>
        <v>0</v>
      </c>
      <c r="B2114" s="2">
        <v>42607.8172453704</v>
      </c>
      <c r="C2114">
        <v>0</v>
      </c>
      <c r="D2114">
        <v>0</v>
      </c>
      <c r="E2114" t="s">
        <v>2099</v>
      </c>
    </row>
    <row r="2115" spans="1:5">
      <c r="A2115">
        <f>HYPERLINK("http://www.twitter.com/nyc311/status/768893057303535616", "768893057303535616")</f>
        <v>0</v>
      </c>
      <c r="B2115" s="2">
        <v>42607.8120833333</v>
      </c>
      <c r="C2115">
        <v>0</v>
      </c>
      <c r="D2115">
        <v>0</v>
      </c>
      <c r="E2115" t="s">
        <v>2100</v>
      </c>
    </row>
    <row r="2116" spans="1:5">
      <c r="A2116">
        <f>HYPERLINK("http://www.twitter.com/nyc311/status/768884264825917441", "768884264825917441")</f>
        <v>0</v>
      </c>
      <c r="B2116" s="2">
        <v>42607.7878240741</v>
      </c>
      <c r="C2116">
        <v>0</v>
      </c>
      <c r="D2116">
        <v>0</v>
      </c>
      <c r="E2116" t="s">
        <v>2101</v>
      </c>
    </row>
    <row r="2117" spans="1:5">
      <c r="A2117">
        <f>HYPERLINK("http://www.twitter.com/nyc311/status/768871195634728960", "768871195634728960")</f>
        <v>0</v>
      </c>
      <c r="B2117" s="2">
        <v>42607.7517592593</v>
      </c>
      <c r="C2117">
        <v>2</v>
      </c>
      <c r="D2117">
        <v>5</v>
      </c>
      <c r="E2117" t="s">
        <v>2102</v>
      </c>
    </row>
    <row r="2118" spans="1:5">
      <c r="A2118">
        <f>HYPERLINK("http://www.twitter.com/nyc311/status/768856905917890560", "768856905917890560")</f>
        <v>0</v>
      </c>
      <c r="B2118" s="2">
        <v>42607.7123263889</v>
      </c>
      <c r="C2118">
        <v>0</v>
      </c>
      <c r="D2118">
        <v>0</v>
      </c>
      <c r="E2118" t="s">
        <v>2103</v>
      </c>
    </row>
    <row r="2119" spans="1:5">
      <c r="A2119">
        <f>HYPERLINK("http://www.twitter.com/nyc311/status/768856597670035456", "768856597670035456")</f>
        <v>0</v>
      </c>
      <c r="B2119" s="2">
        <v>42607.7114814815</v>
      </c>
      <c r="C2119">
        <v>0</v>
      </c>
      <c r="D2119">
        <v>0</v>
      </c>
      <c r="E2119" t="s">
        <v>2104</v>
      </c>
    </row>
    <row r="2120" spans="1:5">
      <c r="A2120">
        <f>HYPERLINK("http://www.twitter.com/nyc311/status/768850446786101248", "768850446786101248")</f>
        <v>0</v>
      </c>
      <c r="B2120" s="2">
        <v>42607.6945023148</v>
      </c>
      <c r="C2120">
        <v>1</v>
      </c>
      <c r="D2120">
        <v>1</v>
      </c>
      <c r="E2120" t="s">
        <v>2105</v>
      </c>
    </row>
    <row r="2121" spans="1:5">
      <c r="A2121">
        <f>HYPERLINK("http://www.twitter.com/nyc311/status/768850403098329089", "768850403098329089")</f>
        <v>0</v>
      </c>
      <c r="B2121" s="2">
        <v>42607.6943865741</v>
      </c>
      <c r="C2121">
        <v>1</v>
      </c>
      <c r="D2121">
        <v>0</v>
      </c>
      <c r="E2121" t="s">
        <v>2106</v>
      </c>
    </row>
    <row r="2122" spans="1:5">
      <c r="A2122">
        <f>HYPERLINK("http://www.twitter.com/nyc311/status/768846925244338176", "768846925244338176")</f>
        <v>0</v>
      </c>
      <c r="B2122" s="2">
        <v>42607.6847916667</v>
      </c>
      <c r="C2122">
        <v>0</v>
      </c>
      <c r="D2122">
        <v>0</v>
      </c>
      <c r="E2122" t="s">
        <v>2107</v>
      </c>
    </row>
    <row r="2123" spans="1:5">
      <c r="A2123">
        <f>HYPERLINK("http://www.twitter.com/nyc311/status/768846450528817152", "768846450528817152")</f>
        <v>0</v>
      </c>
      <c r="B2123" s="2">
        <v>42607.6834722222</v>
      </c>
      <c r="C2123">
        <v>0</v>
      </c>
      <c r="D2123">
        <v>0</v>
      </c>
      <c r="E2123" t="s">
        <v>2108</v>
      </c>
    </row>
    <row r="2124" spans="1:5">
      <c r="A2124">
        <f>HYPERLINK("http://www.twitter.com/nyc311/status/768845369648242688", "768845369648242688")</f>
        <v>0</v>
      </c>
      <c r="B2124" s="2">
        <v>42607.6804976852</v>
      </c>
      <c r="C2124">
        <v>0</v>
      </c>
      <c r="D2124">
        <v>0</v>
      </c>
      <c r="E2124" t="s">
        <v>2109</v>
      </c>
    </row>
    <row r="2125" spans="1:5">
      <c r="A2125">
        <f>HYPERLINK("http://www.twitter.com/nyc311/status/768841233217294337", "768841233217294337")</f>
        <v>0</v>
      </c>
      <c r="B2125" s="2">
        <v>42607.6690856482</v>
      </c>
      <c r="C2125">
        <v>0</v>
      </c>
      <c r="D2125">
        <v>0</v>
      </c>
      <c r="E2125" t="s">
        <v>2110</v>
      </c>
    </row>
    <row r="2126" spans="1:5">
      <c r="A2126">
        <f>HYPERLINK("http://www.twitter.com/nyc311/status/768835354145292288", "768835354145292288")</f>
        <v>0</v>
      </c>
      <c r="B2126" s="2">
        <v>42607.6528587963</v>
      </c>
      <c r="C2126">
        <v>0</v>
      </c>
      <c r="D2126">
        <v>0</v>
      </c>
      <c r="E2126" t="s">
        <v>2111</v>
      </c>
    </row>
    <row r="2127" spans="1:5">
      <c r="A2127">
        <f>HYPERLINK("http://www.twitter.com/nyc311/status/768823029560381440", "768823029560381440")</f>
        <v>0</v>
      </c>
      <c r="B2127" s="2">
        <v>42607.6188425926</v>
      </c>
      <c r="C2127">
        <v>0</v>
      </c>
      <c r="D2127">
        <v>0</v>
      </c>
      <c r="E2127" t="s">
        <v>2112</v>
      </c>
    </row>
    <row r="2128" spans="1:5">
      <c r="A2128">
        <f>HYPERLINK("http://www.twitter.com/nyc311/status/768818875987361792", "768818875987361792")</f>
        <v>0</v>
      </c>
      <c r="B2128" s="2">
        <v>42607.6073842593</v>
      </c>
      <c r="C2128">
        <v>0</v>
      </c>
      <c r="D2128">
        <v>0</v>
      </c>
      <c r="E2128" t="s">
        <v>2113</v>
      </c>
    </row>
    <row r="2129" spans="1:5">
      <c r="A2129">
        <f>HYPERLINK("http://www.twitter.com/nyc311/status/768817872596529152", "768817872596529152")</f>
        <v>0</v>
      </c>
      <c r="B2129" s="2">
        <v>42607.6046180556</v>
      </c>
      <c r="C2129">
        <v>0</v>
      </c>
      <c r="D2129">
        <v>0</v>
      </c>
      <c r="E2129" t="s">
        <v>2114</v>
      </c>
    </row>
    <row r="2130" spans="1:5">
      <c r="A2130">
        <f>HYPERLINK("http://www.twitter.com/nyc311/status/768816587507982336", "768816587507982336")</f>
        <v>0</v>
      </c>
      <c r="B2130" s="2">
        <v>42607.6010763889</v>
      </c>
      <c r="C2130">
        <v>0</v>
      </c>
      <c r="D2130">
        <v>0</v>
      </c>
      <c r="E2130" t="s">
        <v>2115</v>
      </c>
    </row>
    <row r="2131" spans="1:5">
      <c r="A2131">
        <f>HYPERLINK("http://www.twitter.com/nyc311/status/768816111546671104", "768816111546671104")</f>
        <v>0</v>
      </c>
      <c r="B2131" s="2">
        <v>42607.5997569444</v>
      </c>
      <c r="C2131">
        <v>0</v>
      </c>
      <c r="D2131">
        <v>0</v>
      </c>
      <c r="E2131" t="s">
        <v>2116</v>
      </c>
    </row>
    <row r="2132" spans="1:5">
      <c r="A2132">
        <f>HYPERLINK("http://www.twitter.com/nyc311/status/768815782834962432", "768815782834962432")</f>
        <v>0</v>
      </c>
      <c r="B2132" s="2">
        <v>42607.5988541667</v>
      </c>
      <c r="C2132">
        <v>1</v>
      </c>
      <c r="D2132">
        <v>0</v>
      </c>
      <c r="E2132" t="s">
        <v>2117</v>
      </c>
    </row>
    <row r="2133" spans="1:5">
      <c r="A2133">
        <f>HYPERLINK("http://www.twitter.com/nyc311/status/768815485060313089", "768815485060313089")</f>
        <v>0</v>
      </c>
      <c r="B2133" s="2">
        <v>42607.5980324074</v>
      </c>
      <c r="C2133">
        <v>1</v>
      </c>
      <c r="D2133">
        <v>0</v>
      </c>
      <c r="E2133" t="s">
        <v>2118</v>
      </c>
    </row>
    <row r="2134" spans="1:5">
      <c r="A2134">
        <f>HYPERLINK("http://www.twitter.com/nyc311/status/768814447116840960", "768814447116840960")</f>
        <v>0</v>
      </c>
      <c r="B2134" s="2">
        <v>42607.595162037</v>
      </c>
      <c r="C2134">
        <v>0</v>
      </c>
      <c r="D2134">
        <v>0</v>
      </c>
      <c r="E2134" t="s">
        <v>2119</v>
      </c>
    </row>
    <row r="2135" spans="1:5">
      <c r="A2135">
        <f>HYPERLINK("http://www.twitter.com/nyc311/status/768810980927238145", "768810980927238145")</f>
        <v>0</v>
      </c>
      <c r="B2135" s="2">
        <v>42607.5856018519</v>
      </c>
      <c r="C2135">
        <v>0</v>
      </c>
      <c r="D2135">
        <v>0</v>
      </c>
      <c r="E2135" t="s">
        <v>2120</v>
      </c>
    </row>
    <row r="2136" spans="1:5">
      <c r="A2136">
        <f>HYPERLINK("http://www.twitter.com/nyc311/status/768550230740566016", "768550230740566016")</f>
        <v>0</v>
      </c>
      <c r="B2136" s="2">
        <v>42606.8660648148</v>
      </c>
      <c r="C2136">
        <v>2</v>
      </c>
      <c r="D2136">
        <v>2</v>
      </c>
      <c r="E2136" t="s">
        <v>2121</v>
      </c>
    </row>
    <row r="2137" spans="1:5">
      <c r="A2137">
        <f>HYPERLINK("http://www.twitter.com/nyc311/status/768544019739774976", "768544019739774976")</f>
        <v>0</v>
      </c>
      <c r="B2137" s="2">
        <v>42606.8489236111</v>
      </c>
      <c r="C2137">
        <v>1</v>
      </c>
      <c r="D2137">
        <v>0</v>
      </c>
      <c r="E2137" t="s">
        <v>2122</v>
      </c>
    </row>
    <row r="2138" spans="1:5">
      <c r="A2138">
        <f>HYPERLINK("http://www.twitter.com/nyc311/status/768538989083189248", "768538989083189248")</f>
        <v>0</v>
      </c>
      <c r="B2138" s="2">
        <v>42606.8350462963</v>
      </c>
      <c r="C2138">
        <v>2</v>
      </c>
      <c r="D2138">
        <v>1</v>
      </c>
      <c r="E2138" t="s">
        <v>2123</v>
      </c>
    </row>
    <row r="2139" spans="1:5">
      <c r="A2139">
        <f>HYPERLINK("http://www.twitter.com/nyc311/status/768534169530007553", "768534169530007553")</f>
        <v>0</v>
      </c>
      <c r="B2139" s="2">
        <v>42606.8217476852</v>
      </c>
      <c r="C2139">
        <v>1</v>
      </c>
      <c r="D2139">
        <v>0</v>
      </c>
      <c r="E2139" t="s">
        <v>2124</v>
      </c>
    </row>
    <row r="2140" spans="1:5">
      <c r="A2140">
        <f>HYPERLINK("http://www.twitter.com/nyc311/status/768533692486672385", "768533692486672385")</f>
        <v>0</v>
      </c>
      <c r="B2140" s="2">
        <v>42606.8204282407</v>
      </c>
      <c r="C2140">
        <v>0</v>
      </c>
      <c r="D2140">
        <v>0</v>
      </c>
      <c r="E2140" t="s">
        <v>2125</v>
      </c>
    </row>
    <row r="2141" spans="1:5">
      <c r="A2141">
        <f>HYPERLINK("http://www.twitter.com/nyc311/status/768531855972990977", "768531855972990977")</f>
        <v>0</v>
      </c>
      <c r="B2141" s="2">
        <v>42606.8153587963</v>
      </c>
      <c r="C2141">
        <v>2</v>
      </c>
      <c r="D2141">
        <v>0</v>
      </c>
      <c r="E2141" t="s">
        <v>2126</v>
      </c>
    </row>
    <row r="2142" spans="1:5">
      <c r="A2142">
        <f>HYPERLINK("http://www.twitter.com/nyc311/status/768531515240247296", "768531515240247296")</f>
        <v>0</v>
      </c>
      <c r="B2142" s="2">
        <v>42606.8144212963</v>
      </c>
      <c r="C2142">
        <v>0</v>
      </c>
      <c r="D2142">
        <v>0</v>
      </c>
      <c r="E2142" t="s">
        <v>2127</v>
      </c>
    </row>
    <row r="2143" spans="1:5">
      <c r="A2143">
        <f>HYPERLINK("http://www.twitter.com/nyc311/status/768529730186403840", "768529730186403840")</f>
        <v>0</v>
      </c>
      <c r="B2143" s="2">
        <v>42606.8094907407</v>
      </c>
      <c r="C2143">
        <v>0</v>
      </c>
      <c r="D2143">
        <v>0</v>
      </c>
      <c r="E2143" t="s">
        <v>2128</v>
      </c>
    </row>
    <row r="2144" spans="1:5">
      <c r="A2144">
        <f>HYPERLINK("http://www.twitter.com/nyc311/status/768526814868307973", "768526814868307973")</f>
        <v>0</v>
      </c>
      <c r="B2144" s="2">
        <v>42606.8014467593</v>
      </c>
      <c r="C2144">
        <v>0</v>
      </c>
      <c r="D2144">
        <v>0</v>
      </c>
      <c r="E2144" t="s">
        <v>2129</v>
      </c>
    </row>
    <row r="2145" spans="1:5">
      <c r="A2145">
        <f>HYPERLINK("http://www.twitter.com/nyc311/status/768516874413957121", "768516874413957121")</f>
        <v>0</v>
      </c>
      <c r="B2145" s="2">
        <v>42606.7740162037</v>
      </c>
      <c r="C2145">
        <v>0</v>
      </c>
      <c r="D2145">
        <v>0</v>
      </c>
      <c r="E2145" t="s">
        <v>2130</v>
      </c>
    </row>
    <row r="2146" spans="1:5">
      <c r="A2146">
        <f>HYPERLINK("http://www.twitter.com/nyc311/status/768516711968542721", "768516711968542721")</f>
        <v>0</v>
      </c>
      <c r="B2146" s="2">
        <v>42606.7735763889</v>
      </c>
      <c r="C2146">
        <v>0</v>
      </c>
      <c r="D2146">
        <v>0</v>
      </c>
      <c r="E2146" t="s">
        <v>2131</v>
      </c>
    </row>
    <row r="2147" spans="1:5">
      <c r="A2147">
        <f>HYPERLINK("http://www.twitter.com/nyc311/status/768513506232721408", "768513506232721408")</f>
        <v>0</v>
      </c>
      <c r="B2147" s="2">
        <v>42606.7647222222</v>
      </c>
      <c r="C2147">
        <v>1</v>
      </c>
      <c r="D2147">
        <v>0</v>
      </c>
      <c r="E2147" t="s">
        <v>2132</v>
      </c>
    </row>
    <row r="2148" spans="1:5">
      <c r="A2148">
        <f>HYPERLINK("http://www.twitter.com/nyc311/status/768508895505637376", "768508895505637376")</f>
        <v>0</v>
      </c>
      <c r="B2148" s="2">
        <v>42606.7520023148</v>
      </c>
      <c r="C2148">
        <v>2</v>
      </c>
      <c r="D2148">
        <v>3</v>
      </c>
      <c r="E2148" t="s">
        <v>294</v>
      </c>
    </row>
    <row r="2149" spans="1:5">
      <c r="A2149">
        <f>HYPERLINK("http://www.twitter.com/nyc311/status/768493818987577344", "768493818987577344")</f>
        <v>0</v>
      </c>
      <c r="B2149" s="2">
        <v>42606.7104050926</v>
      </c>
      <c r="C2149">
        <v>0</v>
      </c>
      <c r="D2149">
        <v>0</v>
      </c>
      <c r="E2149" t="s">
        <v>2133</v>
      </c>
    </row>
    <row r="2150" spans="1:5">
      <c r="A2150">
        <f>HYPERLINK("http://www.twitter.com/nyc311/status/768478999039320064", "768478999039320064")</f>
        <v>0</v>
      </c>
      <c r="B2150" s="2">
        <v>42606.6695023148</v>
      </c>
      <c r="C2150">
        <v>9</v>
      </c>
      <c r="D2150">
        <v>9</v>
      </c>
      <c r="E2150" t="s">
        <v>2134</v>
      </c>
    </row>
    <row r="2151" spans="1:5">
      <c r="A2151">
        <f>HYPERLINK("http://www.twitter.com/nyc311/status/768469190088990720", "768469190088990720")</f>
        <v>0</v>
      </c>
      <c r="B2151" s="2">
        <v>42606.6424421296</v>
      </c>
      <c r="C2151">
        <v>1</v>
      </c>
      <c r="D2151">
        <v>0</v>
      </c>
      <c r="E2151" t="s">
        <v>2135</v>
      </c>
    </row>
    <row r="2152" spans="1:5">
      <c r="A2152">
        <f>HYPERLINK("http://www.twitter.com/nyc311/status/768464038535856128", "768464038535856128")</f>
        <v>0</v>
      </c>
      <c r="B2152" s="2">
        <v>42606.6282175926</v>
      </c>
      <c r="C2152">
        <v>0</v>
      </c>
      <c r="D2152">
        <v>0</v>
      </c>
      <c r="E2152" t="s">
        <v>2136</v>
      </c>
    </row>
    <row r="2153" spans="1:5">
      <c r="A2153">
        <f>HYPERLINK("http://www.twitter.com/nyc311/status/768463722339631105", "768463722339631105")</f>
        <v>0</v>
      </c>
      <c r="B2153" s="2">
        <v>42606.627349537</v>
      </c>
      <c r="C2153">
        <v>0</v>
      </c>
      <c r="D2153">
        <v>0</v>
      </c>
      <c r="E2153" t="s">
        <v>2137</v>
      </c>
    </row>
    <row r="2154" spans="1:5">
      <c r="A2154">
        <f>HYPERLINK("http://www.twitter.com/nyc311/status/768458141319266304", "768458141319266304")</f>
        <v>0</v>
      </c>
      <c r="B2154" s="2">
        <v>42606.6119444444</v>
      </c>
      <c r="C2154">
        <v>0</v>
      </c>
      <c r="D2154">
        <v>0</v>
      </c>
      <c r="E2154" t="s">
        <v>2138</v>
      </c>
    </row>
    <row r="2155" spans="1:5">
      <c r="A2155">
        <f>HYPERLINK("http://www.twitter.com/nyc311/status/768457700443299841", "768457700443299841")</f>
        <v>0</v>
      </c>
      <c r="B2155" s="2">
        <v>42606.6107291667</v>
      </c>
      <c r="C2155">
        <v>0</v>
      </c>
      <c r="D2155">
        <v>0</v>
      </c>
      <c r="E2155" t="s">
        <v>2139</v>
      </c>
    </row>
    <row r="2156" spans="1:5">
      <c r="A2156">
        <f>HYPERLINK("http://www.twitter.com/nyc311/status/768457236880486400", "768457236880486400")</f>
        <v>0</v>
      </c>
      <c r="B2156" s="2">
        <v>42606.6094560185</v>
      </c>
      <c r="C2156">
        <v>0</v>
      </c>
      <c r="D2156">
        <v>0</v>
      </c>
      <c r="E2156" t="s">
        <v>2140</v>
      </c>
    </row>
    <row r="2157" spans="1:5">
      <c r="A2157">
        <f>HYPERLINK("http://www.twitter.com/nyc311/status/768456831039660032", "768456831039660032")</f>
        <v>0</v>
      </c>
      <c r="B2157" s="2">
        <v>42606.6083333333</v>
      </c>
      <c r="C2157">
        <v>0</v>
      </c>
      <c r="D2157">
        <v>0</v>
      </c>
      <c r="E2157" t="s">
        <v>2141</v>
      </c>
    </row>
    <row r="2158" spans="1:5">
      <c r="A2158">
        <f>HYPERLINK("http://www.twitter.com/nyc311/status/768456531629211649", "768456531629211649")</f>
        <v>0</v>
      </c>
      <c r="B2158" s="2">
        <v>42606.6075115741</v>
      </c>
      <c r="C2158">
        <v>0</v>
      </c>
      <c r="D2158">
        <v>0</v>
      </c>
      <c r="E2158" t="s">
        <v>2142</v>
      </c>
    </row>
    <row r="2159" spans="1:5">
      <c r="A2159">
        <f>HYPERLINK("http://www.twitter.com/nyc311/status/768448612535762944", "768448612535762944")</f>
        <v>0</v>
      </c>
      <c r="B2159" s="2">
        <v>42606.5856481481</v>
      </c>
      <c r="C2159">
        <v>1</v>
      </c>
      <c r="D2159">
        <v>3</v>
      </c>
      <c r="E2159" t="s">
        <v>2143</v>
      </c>
    </row>
    <row r="2160" spans="1:5">
      <c r="A2160">
        <f>HYPERLINK("http://www.twitter.com/nyc311/status/768444940594606080", "768444940594606080")</f>
        <v>0</v>
      </c>
      <c r="B2160" s="2">
        <v>42606.5755208333</v>
      </c>
      <c r="C2160">
        <v>1</v>
      </c>
      <c r="D2160">
        <v>0</v>
      </c>
      <c r="E2160" t="s">
        <v>2144</v>
      </c>
    </row>
    <row r="2161" spans="1:5">
      <c r="A2161">
        <f>HYPERLINK("http://www.twitter.com/nyc311/status/768176539393417216", "768176539393417216")</f>
        <v>0</v>
      </c>
      <c r="B2161" s="2">
        <v>42605.8348726852</v>
      </c>
      <c r="C2161">
        <v>2</v>
      </c>
      <c r="D2161">
        <v>1</v>
      </c>
      <c r="E2161" t="s">
        <v>2145</v>
      </c>
    </row>
    <row r="2162" spans="1:5">
      <c r="A2162">
        <f>HYPERLINK("http://www.twitter.com/nyc311/status/768176537614942208", "768176537614942208")</f>
        <v>0</v>
      </c>
      <c r="B2162" s="2">
        <v>42605.8348726852</v>
      </c>
      <c r="C2162">
        <v>2</v>
      </c>
      <c r="D2162">
        <v>1</v>
      </c>
      <c r="E2162" t="s">
        <v>2146</v>
      </c>
    </row>
    <row r="2163" spans="1:5">
      <c r="A2163">
        <f>HYPERLINK("http://www.twitter.com/nyc311/status/768146470407200769", "768146470407200769")</f>
        <v>0</v>
      </c>
      <c r="B2163" s="2">
        <v>42605.7518981481</v>
      </c>
      <c r="C2163">
        <v>8</v>
      </c>
      <c r="D2163">
        <v>6</v>
      </c>
      <c r="E2163" t="s">
        <v>2147</v>
      </c>
    </row>
    <row r="2164" spans="1:5">
      <c r="A2164">
        <f>HYPERLINK("http://www.twitter.com/nyc311/status/768118531380678656", "768118531380678656")</f>
        <v>0</v>
      </c>
      <c r="B2164" s="2">
        <v>42605.6748032407</v>
      </c>
      <c r="C2164">
        <v>1</v>
      </c>
      <c r="D2164">
        <v>0</v>
      </c>
      <c r="E2164" t="s">
        <v>2148</v>
      </c>
    </row>
    <row r="2165" spans="1:5">
      <c r="A2165">
        <f>HYPERLINK("http://www.twitter.com/nyc311/status/768116355971284992", "768116355971284992")</f>
        <v>0</v>
      </c>
      <c r="B2165" s="2">
        <v>42605.6687962963</v>
      </c>
      <c r="C2165">
        <v>0</v>
      </c>
      <c r="D2165">
        <v>3</v>
      </c>
      <c r="E2165" t="s">
        <v>2149</v>
      </c>
    </row>
    <row r="2166" spans="1:5">
      <c r="A2166">
        <f>HYPERLINK("http://www.twitter.com/nyc311/status/768109504722505728", "768109504722505728")</f>
        <v>0</v>
      </c>
      <c r="B2166" s="2">
        <v>42605.6498958333</v>
      </c>
      <c r="C2166">
        <v>0</v>
      </c>
      <c r="D2166">
        <v>0</v>
      </c>
      <c r="E2166" t="s">
        <v>2150</v>
      </c>
    </row>
    <row r="2167" spans="1:5">
      <c r="A2167">
        <f>HYPERLINK("http://www.twitter.com/nyc311/status/768107769597685760", "768107769597685760")</f>
        <v>0</v>
      </c>
      <c r="B2167" s="2">
        <v>42605.6451041667</v>
      </c>
      <c r="C2167">
        <v>0</v>
      </c>
      <c r="D2167">
        <v>0</v>
      </c>
      <c r="E2167" t="s">
        <v>2151</v>
      </c>
    </row>
    <row r="2168" spans="1:5">
      <c r="A2168">
        <f>HYPERLINK("http://www.twitter.com/nyc311/status/768107256873443328", "768107256873443328")</f>
        <v>0</v>
      </c>
      <c r="B2168" s="2">
        <v>42605.6436921296</v>
      </c>
      <c r="C2168">
        <v>0</v>
      </c>
      <c r="D2168">
        <v>0</v>
      </c>
      <c r="E2168" t="s">
        <v>2152</v>
      </c>
    </row>
    <row r="2169" spans="1:5">
      <c r="A2169">
        <f>HYPERLINK("http://www.twitter.com/nyc311/status/768106731117355008", "768106731117355008")</f>
        <v>0</v>
      </c>
      <c r="B2169" s="2">
        <v>42605.6422453704</v>
      </c>
      <c r="C2169">
        <v>0</v>
      </c>
      <c r="D2169">
        <v>0</v>
      </c>
      <c r="E2169" t="s">
        <v>2153</v>
      </c>
    </row>
    <row r="2170" spans="1:5">
      <c r="A2170">
        <f>HYPERLINK("http://www.twitter.com/nyc311/status/768106478460870657", "768106478460870657")</f>
        <v>0</v>
      </c>
      <c r="B2170" s="2">
        <v>42605.6415393519</v>
      </c>
      <c r="C2170">
        <v>0</v>
      </c>
      <c r="D2170">
        <v>0</v>
      </c>
      <c r="E2170" t="s">
        <v>2154</v>
      </c>
    </row>
    <row r="2171" spans="1:5">
      <c r="A2171">
        <f>HYPERLINK("http://www.twitter.com/nyc311/status/768105181405929472", "768105181405929472")</f>
        <v>0</v>
      </c>
      <c r="B2171" s="2">
        <v>42605.637962963</v>
      </c>
      <c r="C2171">
        <v>0</v>
      </c>
      <c r="D2171">
        <v>0</v>
      </c>
      <c r="E2171" t="s">
        <v>2155</v>
      </c>
    </row>
    <row r="2172" spans="1:5">
      <c r="A2172">
        <f>HYPERLINK("http://www.twitter.com/nyc311/status/768103945365491712", "768103945365491712")</f>
        <v>0</v>
      </c>
      <c r="B2172" s="2">
        <v>42605.6345486111</v>
      </c>
      <c r="C2172">
        <v>1</v>
      </c>
      <c r="D2172">
        <v>0</v>
      </c>
      <c r="E2172" t="s">
        <v>2156</v>
      </c>
    </row>
    <row r="2173" spans="1:5">
      <c r="A2173">
        <f>HYPERLINK("http://www.twitter.com/nyc311/status/768096532507856896", "768096532507856896")</f>
        <v>0</v>
      </c>
      <c r="B2173" s="2">
        <v>42605.6140972222</v>
      </c>
      <c r="C2173">
        <v>0</v>
      </c>
      <c r="D2173">
        <v>0</v>
      </c>
      <c r="E2173" t="s">
        <v>2157</v>
      </c>
    </row>
    <row r="2174" spans="1:5">
      <c r="A2174">
        <f>HYPERLINK("http://www.twitter.com/nyc311/status/768096120757248000", "768096120757248000")</f>
        <v>0</v>
      </c>
      <c r="B2174" s="2">
        <v>42605.612962963</v>
      </c>
      <c r="C2174">
        <v>0</v>
      </c>
      <c r="D2174">
        <v>0</v>
      </c>
      <c r="E2174" t="s">
        <v>2158</v>
      </c>
    </row>
    <row r="2175" spans="1:5">
      <c r="A2175">
        <f>HYPERLINK("http://www.twitter.com/nyc311/status/768095890540208129", "768095890540208129")</f>
        <v>0</v>
      </c>
      <c r="B2175" s="2">
        <v>42605.6123263889</v>
      </c>
      <c r="C2175">
        <v>0</v>
      </c>
      <c r="D2175">
        <v>0</v>
      </c>
      <c r="E2175" t="s">
        <v>2159</v>
      </c>
    </row>
    <row r="2176" spans="1:5">
      <c r="A2176">
        <f>HYPERLINK("http://www.twitter.com/nyc311/status/768095823083270144", "768095823083270144")</f>
        <v>0</v>
      </c>
      <c r="B2176" s="2">
        <v>42605.6121412037</v>
      </c>
      <c r="C2176">
        <v>0</v>
      </c>
      <c r="D2176">
        <v>0</v>
      </c>
      <c r="E2176" t="s">
        <v>2160</v>
      </c>
    </row>
    <row r="2177" spans="1:5">
      <c r="A2177">
        <f>HYPERLINK("http://www.twitter.com/nyc311/status/768086203753238528", "768086203753238528")</f>
        <v>0</v>
      </c>
      <c r="B2177" s="2">
        <v>42605.5855902778</v>
      </c>
      <c r="C2177">
        <v>0</v>
      </c>
      <c r="D2177">
        <v>2</v>
      </c>
      <c r="E2177" t="s">
        <v>2161</v>
      </c>
    </row>
    <row r="2178" spans="1:5">
      <c r="A2178">
        <f>HYPERLINK("http://www.twitter.com/nyc311/status/768084435224891392", "768084435224891392")</f>
        <v>0</v>
      </c>
      <c r="B2178" s="2">
        <v>42605.5807175926</v>
      </c>
      <c r="C2178">
        <v>0</v>
      </c>
      <c r="D2178">
        <v>0</v>
      </c>
      <c r="E2178" t="s">
        <v>2162</v>
      </c>
    </row>
    <row r="2179" spans="1:5">
      <c r="A2179">
        <f>HYPERLINK("http://www.twitter.com/nyc311/status/767826042497200128", "767826042497200128")</f>
        <v>0</v>
      </c>
      <c r="B2179" s="2">
        <v>42604.8676851852</v>
      </c>
      <c r="C2179">
        <v>1</v>
      </c>
      <c r="D2179">
        <v>0</v>
      </c>
      <c r="E2179" t="s">
        <v>2163</v>
      </c>
    </row>
    <row r="2180" spans="1:5">
      <c r="A2180">
        <f>HYPERLINK("http://www.twitter.com/nyc311/status/767814071739617282", "767814071739617282")</f>
        <v>0</v>
      </c>
      <c r="B2180" s="2">
        <v>42604.8346527778</v>
      </c>
      <c r="C2180">
        <v>1</v>
      </c>
      <c r="D2180">
        <v>1</v>
      </c>
      <c r="E2180" t="s">
        <v>2164</v>
      </c>
    </row>
    <row r="2181" spans="1:5">
      <c r="A2181">
        <f>HYPERLINK("http://www.twitter.com/nyc311/status/767811365667016704", "767811365667016704")</f>
        <v>0</v>
      </c>
      <c r="B2181" s="2">
        <v>42604.8271875</v>
      </c>
      <c r="C2181">
        <v>2</v>
      </c>
      <c r="D2181">
        <v>0</v>
      </c>
      <c r="E2181" t="s">
        <v>2165</v>
      </c>
    </row>
    <row r="2182" spans="1:5">
      <c r="A2182">
        <f>HYPERLINK("http://www.twitter.com/nyc311/status/767783974462775296", "767783974462775296")</f>
        <v>0</v>
      </c>
      <c r="B2182" s="2">
        <v>42604.7515972222</v>
      </c>
      <c r="C2182">
        <v>32</v>
      </c>
      <c r="D2182">
        <v>35</v>
      </c>
      <c r="E2182" t="s">
        <v>2166</v>
      </c>
    </row>
    <row r="2183" spans="1:5">
      <c r="A2183">
        <f>HYPERLINK("http://www.twitter.com/nyc311/status/767782039315746820", "767782039315746820")</f>
        <v>0</v>
      </c>
      <c r="B2183" s="2">
        <v>42604.7462615741</v>
      </c>
      <c r="C2183">
        <v>0</v>
      </c>
      <c r="D2183">
        <v>0</v>
      </c>
      <c r="E2183" t="s">
        <v>2167</v>
      </c>
    </row>
    <row r="2184" spans="1:5">
      <c r="A2184">
        <f>HYPERLINK("http://www.twitter.com/nyc311/status/767781832314216449", "767781832314216449")</f>
        <v>0</v>
      </c>
      <c r="B2184" s="2">
        <v>42604.7456944444</v>
      </c>
      <c r="C2184">
        <v>0</v>
      </c>
      <c r="D2184">
        <v>0</v>
      </c>
      <c r="E2184" t="s">
        <v>2168</v>
      </c>
    </row>
    <row r="2185" spans="1:5">
      <c r="A2185">
        <f>HYPERLINK("http://www.twitter.com/nyc311/status/767781641708339208", "767781641708339208")</f>
        <v>0</v>
      </c>
      <c r="B2185" s="2">
        <v>42604.745162037</v>
      </c>
      <c r="C2185">
        <v>1</v>
      </c>
      <c r="D2185">
        <v>1</v>
      </c>
      <c r="E2185" t="s">
        <v>2169</v>
      </c>
    </row>
    <row r="2186" spans="1:5">
      <c r="A2186">
        <f>HYPERLINK("http://www.twitter.com/nyc311/status/767753944122683392", "767753944122683392")</f>
        <v>0</v>
      </c>
      <c r="B2186" s="2">
        <v>42604.6687384259</v>
      </c>
      <c r="C2186">
        <v>1</v>
      </c>
      <c r="D2186">
        <v>2</v>
      </c>
      <c r="E2186" t="s">
        <v>2170</v>
      </c>
    </row>
    <row r="2187" spans="1:5">
      <c r="A2187">
        <f>HYPERLINK("http://www.twitter.com/nyc311/status/767750015955660800", "767750015955660800")</f>
        <v>0</v>
      </c>
      <c r="B2187" s="2">
        <v>42604.6578935185</v>
      </c>
      <c r="C2187">
        <v>0</v>
      </c>
      <c r="D2187">
        <v>0</v>
      </c>
      <c r="E2187" t="s">
        <v>2171</v>
      </c>
    </row>
    <row r="2188" spans="1:5">
      <c r="A2188">
        <f>HYPERLINK("http://www.twitter.com/nyc311/status/767748413735796736", "767748413735796736")</f>
        <v>0</v>
      </c>
      <c r="B2188" s="2">
        <v>42604.6534722222</v>
      </c>
      <c r="C2188">
        <v>1</v>
      </c>
      <c r="D2188">
        <v>0</v>
      </c>
      <c r="E2188" t="s">
        <v>2172</v>
      </c>
    </row>
    <row r="2189" spans="1:5">
      <c r="A2189">
        <f>HYPERLINK("http://www.twitter.com/nyc311/status/767748136202821632", "767748136202821632")</f>
        <v>0</v>
      </c>
      <c r="B2189" s="2">
        <v>42604.6527083333</v>
      </c>
      <c r="C2189">
        <v>0</v>
      </c>
      <c r="D2189">
        <v>0</v>
      </c>
      <c r="E2189" t="s">
        <v>2173</v>
      </c>
    </row>
    <row r="2190" spans="1:5">
      <c r="A2190">
        <f>HYPERLINK("http://www.twitter.com/nyc311/status/767743407703859200", "767743407703859200")</f>
        <v>0</v>
      </c>
      <c r="B2190" s="2">
        <v>42604.6396643519</v>
      </c>
      <c r="C2190">
        <v>0</v>
      </c>
      <c r="D2190">
        <v>0</v>
      </c>
      <c r="E2190" t="s">
        <v>2174</v>
      </c>
    </row>
    <row r="2191" spans="1:5">
      <c r="A2191">
        <f>HYPERLINK("http://www.twitter.com/nyc311/status/767743155416535041", "767743155416535041")</f>
        <v>0</v>
      </c>
      <c r="B2191" s="2">
        <v>42604.6389583333</v>
      </c>
      <c r="C2191">
        <v>0</v>
      </c>
      <c r="D2191">
        <v>0</v>
      </c>
      <c r="E2191" t="s">
        <v>2175</v>
      </c>
    </row>
    <row r="2192" spans="1:5">
      <c r="A2192">
        <f>HYPERLINK("http://www.twitter.com/nyc311/status/767742969399173120", "767742969399173120")</f>
        <v>0</v>
      </c>
      <c r="B2192" s="2">
        <v>42604.6384490741</v>
      </c>
      <c r="C2192">
        <v>0</v>
      </c>
      <c r="D2192">
        <v>0</v>
      </c>
      <c r="E2192" t="s">
        <v>2176</v>
      </c>
    </row>
    <row r="2193" spans="1:5">
      <c r="A2193">
        <f>HYPERLINK("http://www.twitter.com/nyc311/status/767742834262806528", "767742834262806528")</f>
        <v>0</v>
      </c>
      <c r="B2193" s="2">
        <v>42604.6380787037</v>
      </c>
      <c r="C2193">
        <v>0</v>
      </c>
      <c r="D2193">
        <v>0</v>
      </c>
      <c r="E2193" t="s">
        <v>2177</v>
      </c>
    </row>
    <row r="2194" spans="1:5">
      <c r="A2194">
        <f>HYPERLINK("http://www.twitter.com/nyc311/status/767741072806207509", "767741072806207509")</f>
        <v>0</v>
      </c>
      <c r="B2194" s="2">
        <v>42604.6332175926</v>
      </c>
      <c r="C2194">
        <v>0</v>
      </c>
      <c r="D2194">
        <v>0</v>
      </c>
      <c r="E2194" t="s">
        <v>2178</v>
      </c>
    </row>
    <row r="2195" spans="1:5">
      <c r="A2195">
        <f>HYPERLINK("http://www.twitter.com/nyc311/status/767740918552260608", "767740918552260608")</f>
        <v>0</v>
      </c>
      <c r="B2195" s="2">
        <v>42604.6327893519</v>
      </c>
      <c r="C2195">
        <v>0</v>
      </c>
      <c r="D2195">
        <v>0</v>
      </c>
      <c r="E2195" t="s">
        <v>2179</v>
      </c>
    </row>
    <row r="2196" spans="1:5">
      <c r="A2196">
        <f>HYPERLINK("http://www.twitter.com/nyc311/status/767740533942935552", "767740533942935552")</f>
        <v>0</v>
      </c>
      <c r="B2196" s="2">
        <v>42604.631724537</v>
      </c>
      <c r="C2196">
        <v>0</v>
      </c>
      <c r="D2196">
        <v>0</v>
      </c>
      <c r="E2196" t="s">
        <v>2180</v>
      </c>
    </row>
    <row r="2197" spans="1:5">
      <c r="A2197">
        <f>HYPERLINK("http://www.twitter.com/nyc311/status/767738742157217792", "767738742157217792")</f>
        <v>0</v>
      </c>
      <c r="B2197" s="2">
        <v>42604.6267824074</v>
      </c>
      <c r="C2197">
        <v>1</v>
      </c>
      <c r="D2197">
        <v>3</v>
      </c>
      <c r="E2197" t="s">
        <v>2181</v>
      </c>
    </row>
    <row r="2198" spans="1:5">
      <c r="A2198">
        <f>HYPERLINK("http://www.twitter.com/nyc311/status/767736072176623616", "767736072176623616")</f>
        <v>0</v>
      </c>
      <c r="B2198" s="2">
        <v>42604.6194212963</v>
      </c>
      <c r="C2198">
        <v>0</v>
      </c>
      <c r="D2198">
        <v>0</v>
      </c>
      <c r="E2198" t="s">
        <v>2182</v>
      </c>
    </row>
    <row r="2199" spans="1:5">
      <c r="A2199">
        <f>HYPERLINK("http://www.twitter.com/nyc311/status/767734952972738560", "767734952972738560")</f>
        <v>0</v>
      </c>
      <c r="B2199" s="2">
        <v>42604.6163310185</v>
      </c>
      <c r="C2199">
        <v>0</v>
      </c>
      <c r="D2199">
        <v>0</v>
      </c>
      <c r="E2199" t="s">
        <v>2183</v>
      </c>
    </row>
    <row r="2200" spans="1:5">
      <c r="A2200">
        <f>HYPERLINK("http://www.twitter.com/nyc311/status/767734685032189953", "767734685032189953")</f>
        <v>0</v>
      </c>
      <c r="B2200" s="2">
        <v>42604.6155902778</v>
      </c>
      <c r="C2200">
        <v>0</v>
      </c>
      <c r="D2200">
        <v>0</v>
      </c>
      <c r="E2200" t="s">
        <v>2184</v>
      </c>
    </row>
    <row r="2201" spans="1:5">
      <c r="A2201">
        <f>HYPERLINK("http://www.twitter.com/nyc311/status/767730311929159680", "767730311929159680")</f>
        <v>0</v>
      </c>
      <c r="B2201" s="2">
        <v>42604.6035185185</v>
      </c>
      <c r="C2201">
        <v>0</v>
      </c>
      <c r="D2201">
        <v>0</v>
      </c>
      <c r="E2201" t="s">
        <v>2185</v>
      </c>
    </row>
    <row r="2202" spans="1:5">
      <c r="A2202">
        <f>HYPERLINK("http://www.twitter.com/nyc311/status/767729684717170688", "767729684717170688")</f>
        <v>0</v>
      </c>
      <c r="B2202" s="2">
        <v>42604.6017939815</v>
      </c>
      <c r="C2202">
        <v>0</v>
      </c>
      <c r="D2202">
        <v>0</v>
      </c>
      <c r="E2202" t="s">
        <v>2186</v>
      </c>
    </row>
    <row r="2203" spans="1:5">
      <c r="A2203">
        <f>HYPERLINK("http://www.twitter.com/nyc311/status/767729394244849664", "767729394244849664")</f>
        <v>0</v>
      </c>
      <c r="B2203" s="2">
        <v>42604.6009837963</v>
      </c>
      <c r="C2203">
        <v>0</v>
      </c>
      <c r="D2203">
        <v>0</v>
      </c>
      <c r="E2203" t="s">
        <v>2187</v>
      </c>
    </row>
    <row r="2204" spans="1:5">
      <c r="A2204">
        <f>HYPERLINK("http://www.twitter.com/nyc311/status/767727209175998464", "767727209175998464")</f>
        <v>0</v>
      </c>
      <c r="B2204" s="2">
        <v>42604.5949652778</v>
      </c>
      <c r="C2204">
        <v>0</v>
      </c>
      <c r="D2204">
        <v>0</v>
      </c>
      <c r="E2204" t="s">
        <v>2188</v>
      </c>
    </row>
    <row r="2205" spans="1:5">
      <c r="A2205">
        <f>HYPERLINK("http://www.twitter.com/nyc311/status/767727070076108800", "767727070076108800")</f>
        <v>0</v>
      </c>
      <c r="B2205" s="2">
        <v>42604.5945717593</v>
      </c>
      <c r="C2205">
        <v>2</v>
      </c>
      <c r="D2205">
        <v>0</v>
      </c>
      <c r="E2205" t="s">
        <v>2189</v>
      </c>
    </row>
    <row r="2206" spans="1:5">
      <c r="A2206">
        <f>HYPERLINK("http://www.twitter.com/nyc311/status/767723751332995073", "767723751332995073")</f>
        <v>0</v>
      </c>
      <c r="B2206" s="2">
        <v>42604.5854166667</v>
      </c>
      <c r="C2206">
        <v>5</v>
      </c>
      <c r="D2206">
        <v>3</v>
      </c>
      <c r="E2206" t="s">
        <v>2190</v>
      </c>
    </row>
    <row r="2207" spans="1:5">
      <c r="A2207">
        <f>HYPERLINK("http://www.twitter.com/nyc311/status/767723533430644738", "767723533430644738")</f>
        <v>0</v>
      </c>
      <c r="B2207" s="2">
        <v>42604.5848148148</v>
      </c>
      <c r="C2207">
        <v>1</v>
      </c>
      <c r="D2207">
        <v>0</v>
      </c>
      <c r="E2207" t="s">
        <v>2191</v>
      </c>
    </row>
    <row r="2208" spans="1:5">
      <c r="A2208">
        <f>HYPERLINK("http://www.twitter.com/nyc311/status/767723282040840192", "767723282040840192")</f>
        <v>0</v>
      </c>
      <c r="B2208" s="2">
        <v>42604.5841203704</v>
      </c>
      <c r="C2208">
        <v>2</v>
      </c>
      <c r="D2208">
        <v>0</v>
      </c>
      <c r="E2208" t="s">
        <v>2192</v>
      </c>
    </row>
    <row r="2209" spans="1:5">
      <c r="A2209">
        <f>HYPERLINK("http://www.twitter.com/nyc311/status/767722739704758272", "767722739704758272")</f>
        <v>0</v>
      </c>
      <c r="B2209" s="2">
        <v>42604.5826273148</v>
      </c>
      <c r="C2209">
        <v>0</v>
      </c>
      <c r="D2209">
        <v>0</v>
      </c>
      <c r="E2209" t="s">
        <v>2193</v>
      </c>
    </row>
    <row r="2210" spans="1:5">
      <c r="A2210">
        <f>HYPERLINK("http://www.twitter.com/nyc311/status/767722075746365440", "767722075746365440")</f>
        <v>0</v>
      </c>
      <c r="B2210" s="2">
        <v>42604.5807986111</v>
      </c>
      <c r="C2210">
        <v>0</v>
      </c>
      <c r="D2210">
        <v>0</v>
      </c>
      <c r="E2210" t="s">
        <v>2194</v>
      </c>
    </row>
    <row r="2211" spans="1:5">
      <c r="A2211">
        <f>HYPERLINK("http://www.twitter.com/nyc311/status/767721739279302656", "767721739279302656")</f>
        <v>0</v>
      </c>
      <c r="B2211" s="2">
        <v>42604.5798611111</v>
      </c>
      <c r="C2211">
        <v>0</v>
      </c>
      <c r="D2211">
        <v>0</v>
      </c>
      <c r="E2211" t="s">
        <v>2195</v>
      </c>
    </row>
    <row r="2212" spans="1:5">
      <c r="A2212">
        <f>HYPERLINK("http://www.twitter.com/nyc311/status/767721721558343680", "767721721558343680")</f>
        <v>0</v>
      </c>
      <c r="B2212" s="2">
        <v>42604.5798148148</v>
      </c>
      <c r="C2212">
        <v>0</v>
      </c>
      <c r="D2212">
        <v>0</v>
      </c>
      <c r="E2212" t="s">
        <v>2196</v>
      </c>
    </row>
    <row r="2213" spans="1:5">
      <c r="A2213">
        <f>HYPERLINK("http://www.twitter.com/nyc311/status/767721498303983616", "767721498303983616")</f>
        <v>0</v>
      </c>
      <c r="B2213" s="2">
        <v>42604.5792013889</v>
      </c>
      <c r="C2213">
        <v>0</v>
      </c>
      <c r="D2213">
        <v>0</v>
      </c>
      <c r="E2213" t="s">
        <v>2197</v>
      </c>
    </row>
    <row r="2214" spans="1:5">
      <c r="A2214">
        <f>HYPERLINK("http://www.twitter.com/nyc311/status/767721106547539969", "767721106547539969")</f>
        <v>0</v>
      </c>
      <c r="B2214" s="2">
        <v>42604.578125</v>
      </c>
      <c r="C2214">
        <v>0</v>
      </c>
      <c r="D2214">
        <v>0</v>
      </c>
      <c r="E2214" t="s">
        <v>2198</v>
      </c>
    </row>
    <row r="2215" spans="1:5">
      <c r="A2215">
        <f>HYPERLINK("http://www.twitter.com/nyc311/status/767720791324721152", "767720791324721152")</f>
        <v>0</v>
      </c>
      <c r="B2215" s="2">
        <v>42604.5772453704</v>
      </c>
      <c r="C2215">
        <v>0</v>
      </c>
      <c r="D2215">
        <v>0</v>
      </c>
      <c r="E2215" t="s">
        <v>2199</v>
      </c>
    </row>
    <row r="2216" spans="1:5">
      <c r="A2216">
        <f>HYPERLINK("http://www.twitter.com/nyc311/status/767717893652054016", "767717893652054016")</f>
        <v>0</v>
      </c>
      <c r="B2216" s="2">
        <v>42604.5692592593</v>
      </c>
      <c r="C2216">
        <v>0</v>
      </c>
      <c r="D2216">
        <v>0</v>
      </c>
      <c r="E2216" t="s">
        <v>2200</v>
      </c>
    </row>
    <row r="2217" spans="1:5">
      <c r="A2217">
        <f>HYPERLINK("http://www.twitter.com/nyc311/status/767451547043332097", "767451547043332097")</f>
        <v>0</v>
      </c>
      <c r="B2217" s="2">
        <v>42603.8342824074</v>
      </c>
      <c r="C2217">
        <v>1</v>
      </c>
      <c r="D2217">
        <v>1</v>
      </c>
      <c r="E2217" t="s">
        <v>2201</v>
      </c>
    </row>
    <row r="2218" spans="1:5">
      <c r="A2218">
        <f>HYPERLINK("http://www.twitter.com/nyc311/status/767421438139723776", "767421438139723776")</f>
        <v>0</v>
      </c>
      <c r="B2218" s="2">
        <v>42603.7511921296</v>
      </c>
      <c r="C2218">
        <v>6</v>
      </c>
      <c r="D2218">
        <v>3</v>
      </c>
      <c r="E2218" t="s">
        <v>2202</v>
      </c>
    </row>
    <row r="2219" spans="1:5">
      <c r="A2219">
        <f>HYPERLINK("http://www.twitter.com/nyc311/status/767391272965443584", "767391272965443584")</f>
        <v>0</v>
      </c>
      <c r="B2219" s="2">
        <v>42603.6679513889</v>
      </c>
      <c r="C2219">
        <v>6</v>
      </c>
      <c r="D2219">
        <v>8</v>
      </c>
      <c r="E2219" t="s">
        <v>2203</v>
      </c>
    </row>
    <row r="2220" spans="1:5">
      <c r="A2220">
        <f>HYPERLINK("http://www.twitter.com/nyc311/status/767360859689672705", "767360859689672705")</f>
        <v>0</v>
      </c>
      <c r="B2220" s="2">
        <v>42603.5840277778</v>
      </c>
      <c r="C2220">
        <v>4</v>
      </c>
      <c r="D2220">
        <v>4</v>
      </c>
      <c r="E2220" t="s">
        <v>1262</v>
      </c>
    </row>
    <row r="2221" spans="1:5">
      <c r="A2221">
        <f>HYPERLINK("http://www.twitter.com/nyc311/status/767089167864135681", "767089167864135681")</f>
        <v>0</v>
      </c>
      <c r="B2221" s="2">
        <v>42602.8343055556</v>
      </c>
      <c r="C2221">
        <v>3</v>
      </c>
      <c r="D2221">
        <v>1</v>
      </c>
      <c r="E2221" t="s">
        <v>2204</v>
      </c>
    </row>
    <row r="2222" spans="1:5">
      <c r="A2222">
        <f>HYPERLINK("http://www.twitter.com/nyc311/status/767059064861884416", "767059064861884416")</f>
        <v>0</v>
      </c>
      <c r="B2222" s="2">
        <v>42602.7512268519</v>
      </c>
      <c r="C2222">
        <v>5</v>
      </c>
      <c r="D2222">
        <v>3</v>
      </c>
      <c r="E2222" t="s">
        <v>2205</v>
      </c>
    </row>
    <row r="2223" spans="1:5">
      <c r="A2223">
        <f>HYPERLINK("http://www.twitter.com/nyc311/status/767028988007051264", "767028988007051264")</f>
        <v>0</v>
      </c>
      <c r="B2223" s="2">
        <v>42602.6682407407</v>
      </c>
      <c r="C2223">
        <v>7</v>
      </c>
      <c r="D2223">
        <v>0</v>
      </c>
      <c r="E2223" t="s">
        <v>1439</v>
      </c>
    </row>
    <row r="2224" spans="1:5">
      <c r="A2224">
        <f>HYPERLINK("http://www.twitter.com/nyc311/status/766998735607984128", "766998735607984128")</f>
        <v>0</v>
      </c>
      <c r="B2224" s="2">
        <v>42602.5847569444</v>
      </c>
      <c r="C2224">
        <v>4</v>
      </c>
      <c r="D2224">
        <v>3</v>
      </c>
      <c r="E2224" t="s">
        <v>2206</v>
      </c>
    </row>
    <row r="2225" spans="1:5">
      <c r="A2225">
        <f>HYPERLINK("http://www.twitter.com/nyc311/status/766740847568224256", "766740847568224256")</f>
        <v>0</v>
      </c>
      <c r="B2225" s="2">
        <v>42601.873125</v>
      </c>
      <c r="C2225">
        <v>0</v>
      </c>
      <c r="D2225">
        <v>0</v>
      </c>
      <c r="E2225" t="s">
        <v>2207</v>
      </c>
    </row>
    <row r="2226" spans="1:5">
      <c r="A2226">
        <f>HYPERLINK("http://www.twitter.com/nyc311/status/766739093439057920", "766739093439057920")</f>
        <v>0</v>
      </c>
      <c r="B2226" s="2">
        <v>42601.868275463</v>
      </c>
      <c r="C2226">
        <v>0</v>
      </c>
      <c r="D2226">
        <v>0</v>
      </c>
      <c r="E2226" t="s">
        <v>2208</v>
      </c>
    </row>
    <row r="2227" spans="1:5">
      <c r="A2227">
        <f>HYPERLINK("http://www.twitter.com/nyc311/status/766727010991341568", "766727010991341568")</f>
        <v>0</v>
      </c>
      <c r="B2227" s="2">
        <v>42601.8349421296</v>
      </c>
      <c r="C2227">
        <v>2</v>
      </c>
      <c r="D2227">
        <v>1</v>
      </c>
      <c r="E2227" t="s">
        <v>2209</v>
      </c>
    </row>
    <row r="2228" spans="1:5">
      <c r="A2228">
        <f>HYPERLINK("http://www.twitter.com/nyc311/status/766720796328923136", "766720796328923136")</f>
        <v>0</v>
      </c>
      <c r="B2228" s="2">
        <v>42601.8177893519</v>
      </c>
      <c r="C2228">
        <v>0</v>
      </c>
      <c r="D2228">
        <v>0</v>
      </c>
      <c r="E2228" t="s">
        <v>2210</v>
      </c>
    </row>
    <row r="2229" spans="1:5">
      <c r="A2229">
        <f>HYPERLINK("http://www.twitter.com/nyc311/status/766714675606282240", "766714675606282240")</f>
        <v>0</v>
      </c>
      <c r="B2229" s="2">
        <v>42601.8009027778</v>
      </c>
      <c r="C2229">
        <v>0</v>
      </c>
      <c r="D2229">
        <v>0</v>
      </c>
      <c r="E2229" t="s">
        <v>2211</v>
      </c>
    </row>
    <row r="2230" spans="1:5">
      <c r="A2230">
        <f>HYPERLINK("http://www.twitter.com/nyc311/status/766701560470638592", "766701560470638592")</f>
        <v>0</v>
      </c>
      <c r="B2230" s="2">
        <v>42601.7647106481</v>
      </c>
      <c r="C2230">
        <v>0</v>
      </c>
      <c r="D2230">
        <v>0</v>
      </c>
      <c r="E2230" t="s">
        <v>2212</v>
      </c>
    </row>
    <row r="2231" spans="1:5">
      <c r="A2231">
        <f>HYPERLINK("http://www.twitter.com/nyc311/status/766696857619861504", "766696857619861504")</f>
        <v>0</v>
      </c>
      <c r="B2231" s="2">
        <v>42601.7517361111</v>
      </c>
      <c r="C2231">
        <v>9</v>
      </c>
      <c r="D2231">
        <v>6</v>
      </c>
      <c r="E2231" t="s">
        <v>2213</v>
      </c>
    </row>
    <row r="2232" spans="1:5">
      <c r="A2232">
        <f>HYPERLINK("http://www.twitter.com/nyc311/status/766696733099298816", "766696733099298816")</f>
        <v>0</v>
      </c>
      <c r="B2232" s="2">
        <v>42601.7513888889</v>
      </c>
      <c r="C2232">
        <v>0</v>
      </c>
      <c r="D2232">
        <v>0</v>
      </c>
      <c r="E2232" t="s">
        <v>2214</v>
      </c>
    </row>
    <row r="2233" spans="1:5">
      <c r="A2233">
        <f>HYPERLINK("http://www.twitter.com/nyc311/status/766696446666149888", "766696446666149888")</f>
        <v>0</v>
      </c>
      <c r="B2233" s="2">
        <v>42601.7506018519</v>
      </c>
      <c r="C2233">
        <v>0</v>
      </c>
      <c r="D2233">
        <v>0</v>
      </c>
      <c r="E2233" t="s">
        <v>2215</v>
      </c>
    </row>
    <row r="2234" spans="1:5">
      <c r="A2234">
        <f>HYPERLINK("http://www.twitter.com/nyc311/status/766696153874329600", "766696153874329600")</f>
        <v>0</v>
      </c>
      <c r="B2234" s="2">
        <v>42601.7497916667</v>
      </c>
      <c r="C2234">
        <v>0</v>
      </c>
      <c r="D2234">
        <v>0</v>
      </c>
      <c r="E2234" t="s">
        <v>2216</v>
      </c>
    </row>
    <row r="2235" spans="1:5">
      <c r="A2235">
        <f>HYPERLINK("http://www.twitter.com/nyc311/status/766690670866292736", "766690670866292736")</f>
        <v>0</v>
      </c>
      <c r="B2235" s="2">
        <v>42601.7346643519</v>
      </c>
      <c r="C2235">
        <v>0</v>
      </c>
      <c r="D2235">
        <v>0</v>
      </c>
      <c r="E2235" t="s">
        <v>2217</v>
      </c>
    </row>
    <row r="2236" spans="1:5">
      <c r="A2236">
        <f>HYPERLINK("http://www.twitter.com/nyc311/status/766666779053678592", "766666779053678592")</f>
        <v>0</v>
      </c>
      <c r="B2236" s="2">
        <v>42601.6687268519</v>
      </c>
      <c r="C2236">
        <v>4</v>
      </c>
      <c r="D2236">
        <v>5</v>
      </c>
      <c r="E2236" t="s">
        <v>2218</v>
      </c>
    </row>
    <row r="2237" spans="1:5">
      <c r="A2237">
        <f>HYPERLINK("http://www.twitter.com/nyc311/status/766651580573683712", "766651580573683712")</f>
        <v>0</v>
      </c>
      <c r="B2237" s="2">
        <v>42601.6267939815</v>
      </c>
      <c r="C2237">
        <v>2</v>
      </c>
      <c r="D2237">
        <v>2</v>
      </c>
      <c r="E2237" t="s">
        <v>2219</v>
      </c>
    </row>
    <row r="2238" spans="1:5">
      <c r="A2238">
        <f>HYPERLINK("http://www.twitter.com/nyc311/status/766639207251050496", "766639207251050496")</f>
        <v>0</v>
      </c>
      <c r="B2238" s="2">
        <v>42601.592650463</v>
      </c>
      <c r="C2238">
        <v>1</v>
      </c>
      <c r="D2238">
        <v>0</v>
      </c>
      <c r="E2238" t="s">
        <v>2220</v>
      </c>
    </row>
    <row r="2239" spans="1:5">
      <c r="A2239">
        <f>HYPERLINK("http://www.twitter.com/nyc311/status/766638556102164480", "766638556102164480")</f>
        <v>0</v>
      </c>
      <c r="B2239" s="2">
        <v>42601.5908449074</v>
      </c>
      <c r="C2239">
        <v>0</v>
      </c>
      <c r="D2239">
        <v>0</v>
      </c>
      <c r="E2239" t="s">
        <v>2221</v>
      </c>
    </row>
    <row r="2240" spans="1:5">
      <c r="A2240">
        <f>HYPERLINK("http://www.twitter.com/nyc311/status/766638532005883904", "766638532005883904")</f>
        <v>0</v>
      </c>
      <c r="B2240" s="2">
        <v>42601.590787037</v>
      </c>
      <c r="C2240">
        <v>0</v>
      </c>
      <c r="D2240">
        <v>0</v>
      </c>
      <c r="E2240" t="s">
        <v>2222</v>
      </c>
    </row>
    <row r="2241" spans="1:5">
      <c r="A2241">
        <f>HYPERLINK("http://www.twitter.com/nyc311/status/766637197990699008", "766637197990699008")</f>
        <v>0</v>
      </c>
      <c r="B2241" s="2">
        <v>42601.5871064815</v>
      </c>
      <c r="C2241">
        <v>0</v>
      </c>
      <c r="D2241">
        <v>0</v>
      </c>
      <c r="E2241" t="s">
        <v>2223</v>
      </c>
    </row>
    <row r="2242" spans="1:5">
      <c r="A2242">
        <f>HYPERLINK("http://www.twitter.com/nyc311/status/766636840736722945", "766636840736722945")</f>
        <v>0</v>
      </c>
      <c r="B2242" s="2">
        <v>42601.5861111111</v>
      </c>
      <c r="C2242">
        <v>0</v>
      </c>
      <c r="D2242">
        <v>0</v>
      </c>
      <c r="E2242" t="s">
        <v>2224</v>
      </c>
    </row>
    <row r="2243" spans="1:5">
      <c r="A2243">
        <f>HYPERLINK("http://www.twitter.com/nyc311/status/766636563803545600", "766636563803545600")</f>
        <v>0</v>
      </c>
      <c r="B2243" s="2">
        <v>42601.5853472222</v>
      </c>
      <c r="C2243">
        <v>3</v>
      </c>
      <c r="D2243">
        <v>11</v>
      </c>
      <c r="E2243" t="s">
        <v>2225</v>
      </c>
    </row>
    <row r="2244" spans="1:5">
      <c r="A2244">
        <f>HYPERLINK("http://www.twitter.com/nyc311/status/766636143219773440", "766636143219773440")</f>
        <v>0</v>
      </c>
      <c r="B2244" s="2">
        <v>42601.5841898148</v>
      </c>
      <c r="C2244">
        <v>0</v>
      </c>
      <c r="D2244">
        <v>0</v>
      </c>
      <c r="E2244" t="s">
        <v>2226</v>
      </c>
    </row>
    <row r="2245" spans="1:5">
      <c r="A2245">
        <f>HYPERLINK("http://www.twitter.com/nyc311/status/766635133671727104", "766635133671727104")</f>
        <v>0</v>
      </c>
      <c r="B2245" s="2">
        <v>42601.581400463</v>
      </c>
      <c r="C2245">
        <v>0</v>
      </c>
      <c r="D2245">
        <v>0</v>
      </c>
      <c r="E2245" t="s">
        <v>2227</v>
      </c>
    </row>
    <row r="2246" spans="1:5">
      <c r="A2246">
        <f>HYPERLINK("http://www.twitter.com/nyc311/status/766631074067783680", "766631074067783680")</f>
        <v>0</v>
      </c>
      <c r="B2246" s="2">
        <v>42601.5702083333</v>
      </c>
      <c r="C2246">
        <v>0</v>
      </c>
      <c r="D2246">
        <v>0</v>
      </c>
      <c r="E2246" t="s">
        <v>2228</v>
      </c>
    </row>
    <row r="2247" spans="1:5">
      <c r="A2247">
        <f>HYPERLINK("http://www.twitter.com/nyc311/status/766630537389871104", "766630537389871104")</f>
        <v>0</v>
      </c>
      <c r="B2247" s="2">
        <v>42601.5687268519</v>
      </c>
      <c r="C2247">
        <v>0</v>
      </c>
      <c r="D2247">
        <v>0</v>
      </c>
      <c r="E2247" t="s">
        <v>2229</v>
      </c>
    </row>
    <row r="2248" spans="1:5">
      <c r="A2248">
        <f>HYPERLINK("http://www.twitter.com/nyc311/status/766373593206972416", "766373593206972416")</f>
        <v>0</v>
      </c>
      <c r="B2248" s="2">
        <v>42600.8596875</v>
      </c>
      <c r="C2248">
        <v>0</v>
      </c>
      <c r="D2248">
        <v>0</v>
      </c>
      <c r="E2248" t="s">
        <v>2230</v>
      </c>
    </row>
    <row r="2249" spans="1:5">
      <c r="A2249">
        <f>HYPERLINK("http://www.twitter.com/nyc311/status/766369273648381952", "766369273648381952")</f>
        <v>0</v>
      </c>
      <c r="B2249" s="2">
        <v>42600.8477662037</v>
      </c>
      <c r="C2249">
        <v>0</v>
      </c>
      <c r="D2249">
        <v>0</v>
      </c>
      <c r="E2249" t="s">
        <v>2231</v>
      </c>
    </row>
    <row r="2250" spans="1:5">
      <c r="A2250">
        <f>HYPERLINK("http://www.twitter.com/nyc311/status/766369030252945409", "766369030252945409")</f>
        <v>0</v>
      </c>
      <c r="B2250" s="2">
        <v>42600.8470949074</v>
      </c>
      <c r="C2250">
        <v>0</v>
      </c>
      <c r="D2250">
        <v>0</v>
      </c>
      <c r="E2250" t="s">
        <v>2232</v>
      </c>
    </row>
    <row r="2251" spans="1:5">
      <c r="A2251">
        <f>HYPERLINK("http://www.twitter.com/nyc311/status/766364596374495232", "766364596374495232")</f>
        <v>0</v>
      </c>
      <c r="B2251" s="2">
        <v>42600.8348611111</v>
      </c>
      <c r="C2251">
        <v>1</v>
      </c>
      <c r="D2251">
        <v>0</v>
      </c>
      <c r="E2251" t="s">
        <v>2233</v>
      </c>
    </row>
    <row r="2252" spans="1:5">
      <c r="A2252">
        <f>HYPERLINK("http://www.twitter.com/nyc311/status/766349578014687232", "766349578014687232")</f>
        <v>0</v>
      </c>
      <c r="B2252" s="2">
        <v>42600.7934259259</v>
      </c>
      <c r="C2252">
        <v>8</v>
      </c>
      <c r="D2252">
        <v>15</v>
      </c>
      <c r="E2252" t="s">
        <v>2234</v>
      </c>
    </row>
    <row r="2253" spans="1:5">
      <c r="A2253">
        <f>HYPERLINK("http://www.twitter.com/nyc311/status/766334198122700800", "766334198122700800")</f>
        <v>0</v>
      </c>
      <c r="B2253" s="2">
        <v>42600.7509837963</v>
      </c>
      <c r="C2253">
        <v>5</v>
      </c>
      <c r="D2253">
        <v>6</v>
      </c>
      <c r="E2253" t="s">
        <v>2235</v>
      </c>
    </row>
    <row r="2254" spans="1:5">
      <c r="A2254">
        <f>HYPERLINK("http://www.twitter.com/nyc311/status/766326717397004288", "766326717397004288")</f>
        <v>0</v>
      </c>
      <c r="B2254" s="2">
        <v>42600.7303356481</v>
      </c>
      <c r="C2254">
        <v>1</v>
      </c>
      <c r="D2254">
        <v>0</v>
      </c>
      <c r="E2254" t="s">
        <v>2236</v>
      </c>
    </row>
    <row r="2255" spans="1:5">
      <c r="A2255">
        <f>HYPERLINK("http://www.twitter.com/nyc311/status/766323041815191552", "766323041815191552")</f>
        <v>0</v>
      </c>
      <c r="B2255" s="2">
        <v>42600.7201967593</v>
      </c>
      <c r="C2255">
        <v>0</v>
      </c>
      <c r="D2255">
        <v>0</v>
      </c>
      <c r="E2255" t="s">
        <v>2237</v>
      </c>
    </row>
    <row r="2256" spans="1:5">
      <c r="A2256">
        <f>HYPERLINK("http://www.twitter.com/nyc311/status/766304421655478272", "766304421655478272")</f>
        <v>0</v>
      </c>
      <c r="B2256" s="2">
        <v>42600.6688194444</v>
      </c>
      <c r="C2256">
        <v>1</v>
      </c>
      <c r="D2256">
        <v>2</v>
      </c>
      <c r="E2256" t="s">
        <v>2238</v>
      </c>
    </row>
    <row r="2257" spans="1:5">
      <c r="A2257">
        <f>HYPERLINK("http://www.twitter.com/nyc311/status/766291643125362689", "766291643125362689")</f>
        <v>0</v>
      </c>
      <c r="B2257" s="2">
        <v>42600.6335532407</v>
      </c>
      <c r="C2257">
        <v>0</v>
      </c>
      <c r="D2257">
        <v>0</v>
      </c>
      <c r="E2257" t="s">
        <v>2239</v>
      </c>
    </row>
    <row r="2258" spans="1:5">
      <c r="A2258">
        <f>HYPERLINK("http://www.twitter.com/nyc311/status/766289852103098368", "766289852103098368")</f>
        <v>0</v>
      </c>
      <c r="B2258" s="2">
        <v>42600.6286111111</v>
      </c>
      <c r="C2258">
        <v>0</v>
      </c>
      <c r="D2258">
        <v>0</v>
      </c>
      <c r="E2258" t="s">
        <v>2240</v>
      </c>
    </row>
    <row r="2259" spans="1:5">
      <c r="A2259">
        <f>HYPERLINK("http://www.twitter.com/nyc311/status/766289073334001664", "766289073334001664")</f>
        <v>0</v>
      </c>
      <c r="B2259" s="2">
        <v>42600.6264583333</v>
      </c>
      <c r="C2259">
        <v>0</v>
      </c>
      <c r="D2259">
        <v>0</v>
      </c>
      <c r="E2259" t="s">
        <v>2241</v>
      </c>
    </row>
    <row r="2260" spans="1:5">
      <c r="A2260">
        <f>HYPERLINK("http://www.twitter.com/nyc311/status/766284742090166272", "766284742090166272")</f>
        <v>0</v>
      </c>
      <c r="B2260" s="2">
        <v>42600.6145138889</v>
      </c>
      <c r="C2260">
        <v>0</v>
      </c>
      <c r="D2260">
        <v>0</v>
      </c>
      <c r="E2260" t="s">
        <v>2242</v>
      </c>
    </row>
    <row r="2261" spans="1:5">
      <c r="A2261">
        <f>HYPERLINK("http://www.twitter.com/nyc311/status/766284167558684672", "766284167558684672")</f>
        <v>0</v>
      </c>
      <c r="B2261" s="2">
        <v>42600.6129282407</v>
      </c>
      <c r="C2261">
        <v>0</v>
      </c>
      <c r="D2261">
        <v>0</v>
      </c>
      <c r="E2261" t="s">
        <v>2243</v>
      </c>
    </row>
    <row r="2262" spans="1:5">
      <c r="A2262">
        <f>HYPERLINK("http://www.twitter.com/nyc311/status/766281187061035008", "766281187061035008")</f>
        <v>0</v>
      </c>
      <c r="B2262" s="2">
        <v>42600.6046990741</v>
      </c>
      <c r="C2262">
        <v>0</v>
      </c>
      <c r="D2262">
        <v>0</v>
      </c>
      <c r="E2262" t="s">
        <v>2244</v>
      </c>
    </row>
    <row r="2263" spans="1:5">
      <c r="A2263">
        <f>HYPERLINK("http://www.twitter.com/nyc311/status/766279967298686976", "766279967298686976")</f>
        <v>0</v>
      </c>
      <c r="B2263" s="2">
        <v>42600.6013310185</v>
      </c>
      <c r="C2263">
        <v>0</v>
      </c>
      <c r="D2263">
        <v>0</v>
      </c>
      <c r="E2263" t="s">
        <v>2245</v>
      </c>
    </row>
    <row r="2264" spans="1:5">
      <c r="A2264">
        <f>HYPERLINK("http://www.twitter.com/nyc311/status/766279267500064770", "766279267500064770")</f>
        <v>0</v>
      </c>
      <c r="B2264" s="2">
        <v>42600.5993981482</v>
      </c>
      <c r="C2264">
        <v>0</v>
      </c>
      <c r="D2264">
        <v>0</v>
      </c>
      <c r="E2264" t="s">
        <v>2246</v>
      </c>
    </row>
    <row r="2265" spans="1:5">
      <c r="A2265">
        <f>HYPERLINK("http://www.twitter.com/nyc311/status/766278014338564096", "766278014338564096")</f>
        <v>0</v>
      </c>
      <c r="B2265" s="2">
        <v>42600.5959490741</v>
      </c>
      <c r="C2265">
        <v>0</v>
      </c>
      <c r="D2265">
        <v>0</v>
      </c>
      <c r="E2265" t="s">
        <v>2247</v>
      </c>
    </row>
    <row r="2266" spans="1:5">
      <c r="A2266">
        <f>HYPERLINK("http://www.twitter.com/nyc311/status/766277974333292546", "766277974333292546")</f>
        <v>0</v>
      </c>
      <c r="B2266" s="2">
        <v>42600.5958333333</v>
      </c>
      <c r="C2266">
        <v>0</v>
      </c>
      <c r="D2266">
        <v>0</v>
      </c>
      <c r="E2266" t="s">
        <v>2248</v>
      </c>
    </row>
    <row r="2267" spans="1:5">
      <c r="A2267">
        <f>HYPERLINK("http://www.twitter.com/nyc311/status/766274124729708544", "766274124729708544")</f>
        <v>0</v>
      </c>
      <c r="B2267" s="2">
        <v>42600.5852083333</v>
      </c>
      <c r="C2267">
        <v>4</v>
      </c>
      <c r="D2267">
        <v>8</v>
      </c>
      <c r="E2267" t="s">
        <v>2249</v>
      </c>
    </row>
    <row r="2268" spans="1:5">
      <c r="A2268">
        <f>HYPERLINK("http://www.twitter.com/nyc311/status/766006381593948160", "766006381593948160")</f>
        <v>0</v>
      </c>
      <c r="B2268" s="2">
        <v>42599.8463773148</v>
      </c>
      <c r="C2268">
        <v>1</v>
      </c>
      <c r="D2268">
        <v>0</v>
      </c>
      <c r="E2268" t="s">
        <v>2250</v>
      </c>
    </row>
    <row r="2269" spans="1:5">
      <c r="A2269">
        <f>HYPERLINK("http://www.twitter.com/nyc311/status/766002309566459905", "766002309566459905")</f>
        <v>0</v>
      </c>
      <c r="B2269" s="2">
        <v>42599.8351388889</v>
      </c>
      <c r="C2269">
        <v>2</v>
      </c>
      <c r="D2269">
        <v>0</v>
      </c>
      <c r="E2269" t="s">
        <v>2251</v>
      </c>
    </row>
    <row r="2270" spans="1:5">
      <c r="A2270">
        <f>HYPERLINK("http://www.twitter.com/nyc311/status/765993048744558593", "765993048744558593")</f>
        <v>0</v>
      </c>
      <c r="B2270" s="2">
        <v>42599.8095833333</v>
      </c>
      <c r="C2270">
        <v>0</v>
      </c>
      <c r="D2270">
        <v>0</v>
      </c>
      <c r="E2270" t="s">
        <v>2252</v>
      </c>
    </row>
    <row r="2271" spans="1:5">
      <c r="A2271">
        <f>HYPERLINK("http://www.twitter.com/nyc311/status/765992107869863938", "765992107869863938")</f>
        <v>0</v>
      </c>
      <c r="B2271" s="2">
        <v>42599.8069907407</v>
      </c>
      <c r="C2271">
        <v>0</v>
      </c>
      <c r="D2271">
        <v>0</v>
      </c>
      <c r="E2271" t="s">
        <v>2253</v>
      </c>
    </row>
    <row r="2272" spans="1:5">
      <c r="A2272">
        <f>HYPERLINK("http://www.twitter.com/nyc311/status/765991938357096448", "765991938357096448")</f>
        <v>0</v>
      </c>
      <c r="B2272" s="2">
        <v>42599.8065277778</v>
      </c>
      <c r="C2272">
        <v>1</v>
      </c>
      <c r="D2272">
        <v>0</v>
      </c>
      <c r="E2272" t="s">
        <v>2254</v>
      </c>
    </row>
    <row r="2273" spans="1:5">
      <c r="A2273">
        <f>HYPERLINK("http://www.twitter.com/nyc311/status/765991253532106752", "765991253532106752")</f>
        <v>0</v>
      </c>
      <c r="B2273" s="2">
        <v>42599.8046296296</v>
      </c>
      <c r="C2273">
        <v>0</v>
      </c>
      <c r="D2273">
        <v>0</v>
      </c>
      <c r="E2273" t="s">
        <v>2255</v>
      </c>
    </row>
    <row r="2274" spans="1:5">
      <c r="A2274">
        <f>HYPERLINK("http://www.twitter.com/nyc311/status/765988727587999746", "765988727587999746")</f>
        <v>0</v>
      </c>
      <c r="B2274" s="2">
        <v>42599.797662037</v>
      </c>
      <c r="C2274">
        <v>0</v>
      </c>
      <c r="D2274">
        <v>0</v>
      </c>
      <c r="E2274" t="s">
        <v>2256</v>
      </c>
    </row>
    <row r="2275" spans="1:5">
      <c r="A2275">
        <f>HYPERLINK("http://www.twitter.com/nyc311/status/765988168093097984", "765988168093097984")</f>
        <v>0</v>
      </c>
      <c r="B2275" s="2">
        <v>42599.7961226852</v>
      </c>
      <c r="C2275">
        <v>0</v>
      </c>
      <c r="D2275">
        <v>0</v>
      </c>
      <c r="E2275" t="s">
        <v>2257</v>
      </c>
    </row>
    <row r="2276" spans="1:5">
      <c r="A2276">
        <f>HYPERLINK("http://www.twitter.com/nyc311/status/765985907434479619", "765985907434479619")</f>
        <v>0</v>
      </c>
      <c r="B2276" s="2">
        <v>42599.7898842593</v>
      </c>
      <c r="C2276">
        <v>0</v>
      </c>
      <c r="D2276">
        <v>0</v>
      </c>
      <c r="E2276" t="s">
        <v>2258</v>
      </c>
    </row>
    <row r="2277" spans="1:5">
      <c r="A2277">
        <f>HYPERLINK("http://www.twitter.com/nyc311/status/765972093833977864", "765972093833977864")</f>
        <v>0</v>
      </c>
      <c r="B2277" s="2">
        <v>42599.7517592593</v>
      </c>
      <c r="C2277">
        <v>5</v>
      </c>
      <c r="D2277">
        <v>4</v>
      </c>
      <c r="E2277" t="s">
        <v>2259</v>
      </c>
    </row>
    <row r="2278" spans="1:5">
      <c r="A2278">
        <f>HYPERLINK("http://www.twitter.com/nyc311/status/765942036361015297", "765942036361015297")</f>
        <v>0</v>
      </c>
      <c r="B2278" s="2">
        <v>42599.6688194444</v>
      </c>
      <c r="C2278">
        <v>11</v>
      </c>
      <c r="D2278">
        <v>10</v>
      </c>
      <c r="E2278" t="s">
        <v>2260</v>
      </c>
    </row>
    <row r="2279" spans="1:5">
      <c r="A2279">
        <f>HYPERLINK("http://www.twitter.com/nyc311/status/765936754067144704", "765936754067144704")</f>
        <v>0</v>
      </c>
      <c r="B2279" s="2">
        <v>42599.6542476852</v>
      </c>
      <c r="C2279">
        <v>0</v>
      </c>
      <c r="D2279">
        <v>0</v>
      </c>
      <c r="E2279" t="s">
        <v>2261</v>
      </c>
    </row>
    <row r="2280" spans="1:5">
      <c r="A2280">
        <f>HYPERLINK("http://www.twitter.com/nyc311/status/765935347251441664", "765935347251441664")</f>
        <v>0</v>
      </c>
      <c r="B2280" s="2">
        <v>42599.6503587963</v>
      </c>
      <c r="C2280">
        <v>0</v>
      </c>
      <c r="D2280">
        <v>0</v>
      </c>
      <c r="E2280" t="s">
        <v>2262</v>
      </c>
    </row>
    <row r="2281" spans="1:5">
      <c r="A2281">
        <f>HYPERLINK("http://www.twitter.com/nyc311/status/765930931936985088", "765930931936985088")</f>
        <v>0</v>
      </c>
      <c r="B2281" s="2">
        <v>42599.6381828704</v>
      </c>
      <c r="C2281">
        <v>0</v>
      </c>
      <c r="D2281">
        <v>0</v>
      </c>
      <c r="E2281" t="s">
        <v>2263</v>
      </c>
    </row>
    <row r="2282" spans="1:5">
      <c r="A2282">
        <f>HYPERLINK("http://www.twitter.com/nyc311/status/765930199166939137", "765930199166939137")</f>
        <v>0</v>
      </c>
      <c r="B2282" s="2">
        <v>42599.6361574074</v>
      </c>
      <c r="C2282">
        <v>0</v>
      </c>
      <c r="D2282">
        <v>0</v>
      </c>
      <c r="E2282" t="s">
        <v>2264</v>
      </c>
    </row>
    <row r="2283" spans="1:5">
      <c r="A2283">
        <f>HYPERLINK("http://www.twitter.com/nyc311/status/765929758542757888", "765929758542757888")</f>
        <v>0</v>
      </c>
      <c r="B2283" s="2">
        <v>42599.6349421296</v>
      </c>
      <c r="C2283">
        <v>0</v>
      </c>
      <c r="D2283">
        <v>0</v>
      </c>
      <c r="E2283" t="s">
        <v>2265</v>
      </c>
    </row>
    <row r="2284" spans="1:5">
      <c r="A2284">
        <f>HYPERLINK("http://www.twitter.com/nyc311/status/765928312065683456", "765928312065683456")</f>
        <v>0</v>
      </c>
      <c r="B2284" s="2">
        <v>42599.6309490741</v>
      </c>
      <c r="C2284">
        <v>0</v>
      </c>
      <c r="D2284">
        <v>0</v>
      </c>
      <c r="E2284" t="s">
        <v>2266</v>
      </c>
    </row>
    <row r="2285" spans="1:5">
      <c r="A2285">
        <f>HYPERLINK("http://www.twitter.com/nyc311/status/765926904109072384", "765926904109072384")</f>
        <v>0</v>
      </c>
      <c r="B2285" s="2">
        <v>42599.6270601852</v>
      </c>
      <c r="C2285">
        <v>0</v>
      </c>
      <c r="D2285">
        <v>1</v>
      </c>
      <c r="E2285" t="s">
        <v>2267</v>
      </c>
    </row>
    <row r="2286" spans="1:5">
      <c r="A2286">
        <f>HYPERLINK("http://www.twitter.com/nyc311/status/765926475946131456", "765926475946131456")</f>
        <v>0</v>
      </c>
      <c r="B2286" s="2">
        <v>42599.6258796296</v>
      </c>
      <c r="C2286">
        <v>0</v>
      </c>
      <c r="D2286">
        <v>0</v>
      </c>
      <c r="E2286" t="s">
        <v>2268</v>
      </c>
    </row>
    <row r="2287" spans="1:5">
      <c r="A2287">
        <f>HYPERLINK("http://www.twitter.com/nyc311/status/765925372403838976", "765925372403838976")</f>
        <v>0</v>
      </c>
      <c r="B2287" s="2">
        <v>42599.6228356482</v>
      </c>
      <c r="C2287">
        <v>0</v>
      </c>
      <c r="D2287">
        <v>0</v>
      </c>
      <c r="E2287" t="s">
        <v>2269</v>
      </c>
    </row>
    <row r="2288" spans="1:5">
      <c r="A2288">
        <f>HYPERLINK("http://www.twitter.com/nyc311/status/765921316750954496", "765921316750954496")</f>
        <v>0</v>
      </c>
      <c r="B2288" s="2">
        <v>42599.6116435185</v>
      </c>
      <c r="C2288">
        <v>1</v>
      </c>
      <c r="D2288">
        <v>0</v>
      </c>
      <c r="E2288" t="s">
        <v>2270</v>
      </c>
    </row>
    <row r="2289" spans="1:5">
      <c r="A2289">
        <f>HYPERLINK("http://www.twitter.com/nyc311/status/765917744495722496", "765917744495722496")</f>
        <v>0</v>
      </c>
      <c r="B2289" s="2">
        <v>42599.6017939815</v>
      </c>
      <c r="C2289">
        <v>0</v>
      </c>
      <c r="D2289">
        <v>0</v>
      </c>
      <c r="E2289" t="s">
        <v>2271</v>
      </c>
    </row>
    <row r="2290" spans="1:5">
      <c r="A2290">
        <f>HYPERLINK("http://www.twitter.com/nyc311/status/765911757017718784", "765911757017718784")</f>
        <v>0</v>
      </c>
      <c r="B2290" s="2">
        <v>42599.5852662037</v>
      </c>
      <c r="C2290">
        <v>9</v>
      </c>
      <c r="D2290">
        <v>10</v>
      </c>
      <c r="E2290" t="s">
        <v>2272</v>
      </c>
    </row>
    <row r="2291" spans="1:5">
      <c r="A2291">
        <f>HYPERLINK("http://www.twitter.com/nyc311/status/765657371284742144", "765657371284742144")</f>
        <v>0</v>
      </c>
      <c r="B2291" s="2">
        <v>42598.8832986111</v>
      </c>
      <c r="C2291">
        <v>0</v>
      </c>
      <c r="D2291">
        <v>0</v>
      </c>
      <c r="E2291" t="s">
        <v>2273</v>
      </c>
    </row>
    <row r="2292" spans="1:5">
      <c r="A2292">
        <f>HYPERLINK("http://www.twitter.com/nyc311/status/765639783645347840", "765639783645347840")</f>
        <v>0</v>
      </c>
      <c r="B2292" s="2">
        <v>42598.8347569444</v>
      </c>
      <c r="C2292">
        <v>8</v>
      </c>
      <c r="D2292">
        <v>10</v>
      </c>
      <c r="E2292" t="s">
        <v>2274</v>
      </c>
    </row>
    <row r="2293" spans="1:5">
      <c r="A2293">
        <f>HYPERLINK("http://www.twitter.com/nyc311/status/765627932278743040", "765627932278743040")</f>
        <v>0</v>
      </c>
      <c r="B2293" s="2">
        <v>42598.8020601852</v>
      </c>
      <c r="C2293">
        <v>0</v>
      </c>
      <c r="D2293">
        <v>1</v>
      </c>
      <c r="E2293" t="s">
        <v>2275</v>
      </c>
    </row>
    <row r="2294" spans="1:5">
      <c r="A2294">
        <f>HYPERLINK("http://www.twitter.com/nyc311/status/765624410439057408", "765624410439057408")</f>
        <v>0</v>
      </c>
      <c r="B2294" s="2">
        <v>42598.792337963</v>
      </c>
      <c r="C2294">
        <v>0</v>
      </c>
      <c r="D2294">
        <v>0</v>
      </c>
      <c r="E2294" t="s">
        <v>2276</v>
      </c>
    </row>
    <row r="2295" spans="1:5">
      <c r="A2295">
        <f>HYPERLINK("http://www.twitter.com/nyc311/status/765617908928090112", "765617908928090112")</f>
        <v>0</v>
      </c>
      <c r="B2295" s="2">
        <v>42598.7743981481</v>
      </c>
      <c r="C2295">
        <v>0</v>
      </c>
      <c r="D2295">
        <v>0</v>
      </c>
      <c r="E2295" t="s">
        <v>2277</v>
      </c>
    </row>
    <row r="2296" spans="1:5">
      <c r="A2296">
        <f>HYPERLINK("http://www.twitter.com/nyc311/status/765609676360867840", "765609676360867840")</f>
        <v>0</v>
      </c>
      <c r="B2296" s="2">
        <v>42598.7516782407</v>
      </c>
      <c r="C2296">
        <v>1</v>
      </c>
      <c r="D2296">
        <v>3</v>
      </c>
      <c r="E2296" t="s">
        <v>2278</v>
      </c>
    </row>
    <row r="2297" spans="1:5">
      <c r="A2297">
        <f>HYPERLINK("http://www.twitter.com/nyc311/status/765581755168456704", "765581755168456704")</f>
        <v>0</v>
      </c>
      <c r="B2297" s="2">
        <v>42598.6746296296</v>
      </c>
      <c r="C2297">
        <v>0</v>
      </c>
      <c r="D2297">
        <v>0</v>
      </c>
      <c r="E2297" t="s">
        <v>2279</v>
      </c>
    </row>
    <row r="2298" spans="1:5">
      <c r="A2298">
        <f>HYPERLINK("http://www.twitter.com/nyc311/status/765579596456718336", "765579596456718336")</f>
        <v>0</v>
      </c>
      <c r="B2298" s="2">
        <v>42598.6686805556</v>
      </c>
      <c r="C2298">
        <v>2</v>
      </c>
      <c r="D2298">
        <v>3</v>
      </c>
      <c r="E2298" t="s">
        <v>2280</v>
      </c>
    </row>
    <row r="2299" spans="1:5">
      <c r="A2299">
        <f>HYPERLINK("http://www.twitter.com/nyc311/status/765579168767705088", "765579168767705088")</f>
        <v>0</v>
      </c>
      <c r="B2299" s="2">
        <v>42598.6675</v>
      </c>
      <c r="C2299">
        <v>0</v>
      </c>
      <c r="D2299">
        <v>0</v>
      </c>
      <c r="E2299" t="s">
        <v>2281</v>
      </c>
    </row>
    <row r="2300" spans="1:5">
      <c r="A2300">
        <f>HYPERLINK("http://www.twitter.com/nyc311/status/765578724641234945", "765578724641234945")</f>
        <v>0</v>
      </c>
      <c r="B2300" s="2">
        <v>42598.6662731481</v>
      </c>
      <c r="C2300">
        <v>0</v>
      </c>
      <c r="D2300">
        <v>0</v>
      </c>
      <c r="E2300" t="s">
        <v>2282</v>
      </c>
    </row>
    <row r="2301" spans="1:5">
      <c r="A2301">
        <f>HYPERLINK("http://www.twitter.com/nyc311/status/765574007504723971", "765574007504723971")</f>
        <v>0</v>
      </c>
      <c r="B2301" s="2">
        <v>42598.6532523148</v>
      </c>
      <c r="C2301">
        <v>0</v>
      </c>
      <c r="D2301">
        <v>0</v>
      </c>
      <c r="E2301" t="s">
        <v>2283</v>
      </c>
    </row>
    <row r="2302" spans="1:5">
      <c r="A2302">
        <f>HYPERLINK("http://www.twitter.com/nyc311/status/765573233282260996", "765573233282260996")</f>
        <v>0</v>
      </c>
      <c r="B2302" s="2">
        <v>42598.6511226852</v>
      </c>
      <c r="C2302">
        <v>1</v>
      </c>
      <c r="D2302">
        <v>0</v>
      </c>
      <c r="E2302" t="s">
        <v>2284</v>
      </c>
    </row>
    <row r="2303" spans="1:5">
      <c r="A2303">
        <f>HYPERLINK("http://www.twitter.com/nyc311/status/765571987469131778", "765571987469131778")</f>
        <v>0</v>
      </c>
      <c r="B2303" s="2">
        <v>42598.6476851852</v>
      </c>
      <c r="C2303">
        <v>0</v>
      </c>
      <c r="D2303">
        <v>0</v>
      </c>
      <c r="E2303" t="s">
        <v>2285</v>
      </c>
    </row>
    <row r="2304" spans="1:5">
      <c r="A2304">
        <f>HYPERLINK("http://www.twitter.com/nyc311/status/765570962460971008", "765570962460971008")</f>
        <v>0</v>
      </c>
      <c r="B2304" s="2">
        <v>42598.644849537</v>
      </c>
      <c r="C2304">
        <v>0</v>
      </c>
      <c r="D2304">
        <v>0</v>
      </c>
      <c r="E2304" t="s">
        <v>2286</v>
      </c>
    </row>
    <row r="2305" spans="1:5">
      <c r="A2305">
        <f>HYPERLINK("http://www.twitter.com/nyc311/status/765568511020240896", "765568511020240896")</f>
        <v>0</v>
      </c>
      <c r="B2305" s="2">
        <v>42598.6380902778</v>
      </c>
      <c r="C2305">
        <v>0</v>
      </c>
      <c r="D2305">
        <v>0</v>
      </c>
      <c r="E2305" t="s">
        <v>2287</v>
      </c>
    </row>
    <row r="2306" spans="1:5">
      <c r="A2306">
        <f>HYPERLINK("http://www.twitter.com/nyc311/status/765564429576630272", "765564429576630272")</f>
        <v>0</v>
      </c>
      <c r="B2306" s="2">
        <v>42598.6268287037</v>
      </c>
      <c r="C2306">
        <v>2</v>
      </c>
      <c r="D2306">
        <v>4</v>
      </c>
      <c r="E2306" t="s">
        <v>2288</v>
      </c>
    </row>
    <row r="2307" spans="1:5">
      <c r="A2307">
        <f>HYPERLINK("http://www.twitter.com/nyc311/status/765548786848587780", "765548786848587780")</f>
        <v>0</v>
      </c>
      <c r="B2307" s="2">
        <v>42598.5836574074</v>
      </c>
      <c r="C2307">
        <v>1</v>
      </c>
      <c r="D2307">
        <v>3</v>
      </c>
      <c r="E2307" t="s">
        <v>2289</v>
      </c>
    </row>
    <row r="2308" spans="1:5">
      <c r="A2308">
        <f>HYPERLINK("http://www.twitter.com/nyc311/status/765519834218127360", "765519834218127360")</f>
        <v>0</v>
      </c>
      <c r="B2308" s="2">
        <v>42598.5037615741</v>
      </c>
      <c r="C2308">
        <v>1</v>
      </c>
      <c r="D2308">
        <v>1</v>
      </c>
      <c r="E2308" t="s">
        <v>2290</v>
      </c>
    </row>
    <row r="2309" spans="1:5">
      <c r="A2309">
        <f>HYPERLINK("http://www.twitter.com/nyc311/status/765519060109029376", "765519060109029376")</f>
        <v>0</v>
      </c>
      <c r="B2309" s="2">
        <v>42598.5016319444</v>
      </c>
      <c r="C2309">
        <v>1</v>
      </c>
      <c r="D2309">
        <v>3</v>
      </c>
      <c r="E2309" t="s">
        <v>2291</v>
      </c>
    </row>
    <row r="2310" spans="1:5">
      <c r="A2310">
        <f>HYPERLINK("http://www.twitter.com/nyc311/status/765309318212247552", "765309318212247552")</f>
        <v>0</v>
      </c>
      <c r="B2310" s="2">
        <v>42597.9228472222</v>
      </c>
      <c r="C2310">
        <v>0</v>
      </c>
      <c r="D2310">
        <v>0</v>
      </c>
      <c r="E2310" t="s">
        <v>2292</v>
      </c>
    </row>
    <row r="2311" spans="1:5">
      <c r="A2311">
        <f>HYPERLINK("http://www.twitter.com/nyc311/status/765289545541746688", "765289545541746688")</f>
        <v>0</v>
      </c>
      <c r="B2311" s="2">
        <v>42597.868287037</v>
      </c>
      <c r="C2311">
        <v>0</v>
      </c>
      <c r="D2311">
        <v>0</v>
      </c>
      <c r="E2311" t="s">
        <v>2293</v>
      </c>
    </row>
    <row r="2312" spans="1:5">
      <c r="A2312">
        <f>HYPERLINK("http://www.twitter.com/nyc311/status/765281265318817794", "765281265318817794")</f>
        <v>0</v>
      </c>
      <c r="B2312" s="2">
        <v>42597.8454398148</v>
      </c>
      <c r="C2312">
        <v>0</v>
      </c>
      <c r="D2312">
        <v>0</v>
      </c>
      <c r="E2312" t="s">
        <v>2294</v>
      </c>
    </row>
    <row r="2313" spans="1:5">
      <c r="A2313">
        <f>HYPERLINK("http://www.twitter.com/nyc311/status/765277338548441088", "765277338548441088")</f>
        <v>0</v>
      </c>
      <c r="B2313" s="2">
        <v>42597.8346064815</v>
      </c>
      <c r="C2313">
        <v>0</v>
      </c>
      <c r="D2313">
        <v>2</v>
      </c>
      <c r="E2313" t="s">
        <v>2295</v>
      </c>
    </row>
    <row r="2314" spans="1:5">
      <c r="A2314">
        <f>HYPERLINK("http://www.twitter.com/nyc311/status/765269941528489984", "765269941528489984")</f>
        <v>0</v>
      </c>
      <c r="B2314" s="2">
        <v>42597.8141898148</v>
      </c>
      <c r="C2314">
        <v>0</v>
      </c>
      <c r="D2314">
        <v>0</v>
      </c>
      <c r="E2314" t="s">
        <v>2296</v>
      </c>
    </row>
    <row r="2315" spans="1:5">
      <c r="A2315">
        <f>HYPERLINK("http://www.twitter.com/nyc311/status/765266329523875840", "765266329523875840")</f>
        <v>0</v>
      </c>
      <c r="B2315" s="2">
        <v>42597.804224537</v>
      </c>
      <c r="C2315">
        <v>0</v>
      </c>
      <c r="D2315">
        <v>0</v>
      </c>
      <c r="E2315" t="s">
        <v>2297</v>
      </c>
    </row>
    <row r="2316" spans="1:5">
      <c r="A2316">
        <f>HYPERLINK("http://www.twitter.com/nyc311/status/765247249383391232", "765247249383391232")</f>
        <v>0</v>
      </c>
      <c r="B2316" s="2">
        <v>42597.7515740741</v>
      </c>
      <c r="C2316">
        <v>2</v>
      </c>
      <c r="D2316">
        <v>2</v>
      </c>
      <c r="E2316" t="s">
        <v>2298</v>
      </c>
    </row>
    <row r="2317" spans="1:5">
      <c r="A2317">
        <f>HYPERLINK("http://www.twitter.com/nyc311/status/765243127535923201", "765243127535923201")</f>
        <v>0</v>
      </c>
      <c r="B2317" s="2">
        <v>42597.7401967593</v>
      </c>
      <c r="C2317">
        <v>0</v>
      </c>
      <c r="D2317">
        <v>1</v>
      </c>
      <c r="E2317" t="s">
        <v>2299</v>
      </c>
    </row>
    <row r="2318" spans="1:5">
      <c r="A2318">
        <f>HYPERLINK("http://www.twitter.com/nyc311/status/765232111964065792", "765232111964065792")</f>
        <v>0</v>
      </c>
      <c r="B2318" s="2">
        <v>42597.7098032407</v>
      </c>
      <c r="C2318">
        <v>0</v>
      </c>
      <c r="D2318">
        <v>0</v>
      </c>
      <c r="E2318" t="s">
        <v>2300</v>
      </c>
    </row>
    <row r="2319" spans="1:5">
      <c r="A2319">
        <f>HYPERLINK("http://www.twitter.com/nyc311/status/765224233245011968", "765224233245011968")</f>
        <v>0</v>
      </c>
      <c r="B2319" s="2">
        <v>42597.6880671296</v>
      </c>
      <c r="C2319">
        <v>0</v>
      </c>
      <c r="D2319">
        <v>0</v>
      </c>
      <c r="E2319" t="s">
        <v>2301</v>
      </c>
    </row>
    <row r="2320" spans="1:5">
      <c r="A2320">
        <f>HYPERLINK("http://www.twitter.com/nyc311/status/765223896119468032", "765223896119468032")</f>
        <v>0</v>
      </c>
      <c r="B2320" s="2">
        <v>42597.6871296296</v>
      </c>
      <c r="C2320">
        <v>1</v>
      </c>
      <c r="D2320">
        <v>1</v>
      </c>
      <c r="E2320" t="s">
        <v>2302</v>
      </c>
    </row>
    <row r="2321" spans="1:5">
      <c r="A2321">
        <f>HYPERLINK("http://www.twitter.com/nyc311/status/765222393635860480", "765222393635860480")</f>
        <v>0</v>
      </c>
      <c r="B2321" s="2">
        <v>42597.6829861111</v>
      </c>
      <c r="C2321">
        <v>0</v>
      </c>
      <c r="D2321">
        <v>0</v>
      </c>
      <c r="E2321" t="s">
        <v>2303</v>
      </c>
    </row>
    <row r="2322" spans="1:5">
      <c r="A2322">
        <f>HYPERLINK("http://www.twitter.com/nyc311/status/765220642199404544", "765220642199404544")</f>
        <v>0</v>
      </c>
      <c r="B2322" s="2">
        <v>42597.6781481481</v>
      </c>
      <c r="C2322">
        <v>1</v>
      </c>
      <c r="D2322">
        <v>0</v>
      </c>
      <c r="E2322" t="s">
        <v>2304</v>
      </c>
    </row>
    <row r="2323" spans="1:5">
      <c r="A2323">
        <f>HYPERLINK("http://www.twitter.com/nyc311/status/765220345251004417", "765220345251004417")</f>
        <v>0</v>
      </c>
      <c r="B2323" s="2">
        <v>42597.677337963</v>
      </c>
      <c r="C2323">
        <v>1</v>
      </c>
      <c r="D2323">
        <v>0</v>
      </c>
      <c r="E2323" t="s">
        <v>2305</v>
      </c>
    </row>
    <row r="2324" spans="1:5">
      <c r="A2324">
        <f>HYPERLINK("http://www.twitter.com/nyc311/status/765219511406620672", "765219511406620672")</f>
        <v>0</v>
      </c>
      <c r="B2324" s="2">
        <v>42597.6750347222</v>
      </c>
      <c r="C2324">
        <v>0</v>
      </c>
      <c r="D2324">
        <v>0</v>
      </c>
      <c r="E2324" t="s">
        <v>2306</v>
      </c>
    </row>
    <row r="2325" spans="1:5">
      <c r="A2325">
        <f>HYPERLINK("http://www.twitter.com/nyc311/status/765219182258651137", "765219182258651137")</f>
        <v>0</v>
      </c>
      <c r="B2325" s="2">
        <v>42597.6741203704</v>
      </c>
      <c r="C2325">
        <v>0</v>
      </c>
      <c r="D2325">
        <v>0</v>
      </c>
      <c r="E2325" t="s">
        <v>2307</v>
      </c>
    </row>
    <row r="2326" spans="1:5">
      <c r="A2326">
        <f>HYPERLINK("http://www.twitter.com/nyc311/status/765218716724396034", "765218716724396034")</f>
        <v>0</v>
      </c>
      <c r="B2326" s="2">
        <v>42597.6728356481</v>
      </c>
      <c r="C2326">
        <v>0</v>
      </c>
      <c r="D2326">
        <v>0</v>
      </c>
      <c r="E2326" t="s">
        <v>2308</v>
      </c>
    </row>
    <row r="2327" spans="1:5">
      <c r="A2327">
        <f>HYPERLINK("http://www.twitter.com/nyc311/status/765218330672304128", "765218330672304128")</f>
        <v>0</v>
      </c>
      <c r="B2327" s="2">
        <v>42597.6717708333</v>
      </c>
      <c r="C2327">
        <v>0</v>
      </c>
      <c r="D2327">
        <v>0</v>
      </c>
      <c r="E2327" t="s">
        <v>2309</v>
      </c>
    </row>
    <row r="2328" spans="1:5">
      <c r="A2328">
        <f>HYPERLINK("http://www.twitter.com/nyc311/status/765218259796889600", "765218259796889600")</f>
        <v>0</v>
      </c>
      <c r="B2328" s="2">
        <v>42597.6715740741</v>
      </c>
      <c r="C2328">
        <v>0</v>
      </c>
      <c r="D2328">
        <v>0</v>
      </c>
      <c r="E2328" t="s">
        <v>2310</v>
      </c>
    </row>
    <row r="2329" spans="1:5">
      <c r="A2329">
        <f>HYPERLINK("http://www.twitter.com/nyc311/status/765217864588623874", "765217864588623874")</f>
        <v>0</v>
      </c>
      <c r="B2329" s="2">
        <v>42597.6704861111</v>
      </c>
      <c r="C2329">
        <v>0</v>
      </c>
      <c r="D2329">
        <v>0</v>
      </c>
      <c r="E2329" t="s">
        <v>2311</v>
      </c>
    </row>
    <row r="2330" spans="1:5">
      <c r="A2330">
        <f>HYPERLINK("http://www.twitter.com/nyc311/status/765217213334843392", "765217213334843392")</f>
        <v>0</v>
      </c>
      <c r="B2330" s="2">
        <v>42597.6686921296</v>
      </c>
      <c r="C2330">
        <v>0</v>
      </c>
      <c r="D2330">
        <v>3</v>
      </c>
      <c r="E2330" t="s">
        <v>2312</v>
      </c>
    </row>
    <row r="2331" spans="1:5">
      <c r="A2331">
        <f>HYPERLINK("http://www.twitter.com/nyc311/status/765216937748094976", "765216937748094976")</f>
        <v>0</v>
      </c>
      <c r="B2331" s="2">
        <v>42597.6679282407</v>
      </c>
      <c r="C2331">
        <v>0</v>
      </c>
      <c r="D2331">
        <v>0</v>
      </c>
      <c r="E2331" t="s">
        <v>2313</v>
      </c>
    </row>
    <row r="2332" spans="1:5">
      <c r="A2332">
        <f>HYPERLINK("http://www.twitter.com/nyc311/status/765216411258122240", "765216411258122240")</f>
        <v>0</v>
      </c>
      <c r="B2332" s="2">
        <v>42597.6664814815</v>
      </c>
      <c r="C2332">
        <v>0</v>
      </c>
      <c r="D2332">
        <v>0</v>
      </c>
      <c r="E2332" t="s">
        <v>2314</v>
      </c>
    </row>
    <row r="2333" spans="1:5">
      <c r="A2333">
        <f>HYPERLINK("http://www.twitter.com/nyc311/status/765215676290232321", "765215676290232321")</f>
        <v>0</v>
      </c>
      <c r="B2333" s="2">
        <v>42597.6644444444</v>
      </c>
      <c r="C2333">
        <v>0</v>
      </c>
      <c r="D2333">
        <v>0</v>
      </c>
      <c r="E2333" t="s">
        <v>2315</v>
      </c>
    </row>
    <row r="2334" spans="1:5">
      <c r="A2334">
        <f>HYPERLINK("http://www.twitter.com/nyc311/status/765214480200527872", "765214480200527872")</f>
        <v>0</v>
      </c>
      <c r="B2334" s="2">
        <v>42597.6611458333</v>
      </c>
      <c r="C2334">
        <v>0</v>
      </c>
      <c r="D2334">
        <v>0</v>
      </c>
      <c r="E2334" t="s">
        <v>2316</v>
      </c>
    </row>
    <row r="2335" spans="1:5">
      <c r="A2335">
        <f>HYPERLINK("http://www.twitter.com/nyc311/status/765211100413583360", "765211100413583360")</f>
        <v>0</v>
      </c>
      <c r="B2335" s="2">
        <v>42597.6518171296</v>
      </c>
      <c r="C2335">
        <v>1</v>
      </c>
      <c r="D2335">
        <v>0</v>
      </c>
      <c r="E2335" t="s">
        <v>2317</v>
      </c>
    </row>
    <row r="2336" spans="1:5">
      <c r="A2336">
        <f>HYPERLINK("http://www.twitter.com/nyc311/status/765208973104517120", "765208973104517120")</f>
        <v>0</v>
      </c>
      <c r="B2336" s="2">
        <v>42597.6459490741</v>
      </c>
      <c r="C2336">
        <v>1</v>
      </c>
      <c r="D2336">
        <v>0</v>
      </c>
      <c r="E2336" t="s">
        <v>2318</v>
      </c>
    </row>
    <row r="2337" spans="1:5">
      <c r="A2337">
        <f>HYPERLINK("http://www.twitter.com/nyc311/status/765208371674882049", "765208371674882049")</f>
        <v>0</v>
      </c>
      <c r="B2337" s="2">
        <v>42597.6442939815</v>
      </c>
      <c r="C2337">
        <v>0</v>
      </c>
      <c r="D2337">
        <v>0</v>
      </c>
      <c r="E2337" t="s">
        <v>2319</v>
      </c>
    </row>
    <row r="2338" spans="1:5">
      <c r="A2338">
        <f>HYPERLINK("http://www.twitter.com/nyc311/status/765206547429486592", "765206547429486592")</f>
        <v>0</v>
      </c>
      <c r="B2338" s="2">
        <v>42597.6392592593</v>
      </c>
      <c r="C2338">
        <v>0</v>
      </c>
      <c r="D2338">
        <v>0</v>
      </c>
      <c r="E2338" t="s">
        <v>2320</v>
      </c>
    </row>
    <row r="2339" spans="1:5">
      <c r="A2339">
        <f>HYPERLINK("http://www.twitter.com/nyc311/status/765206112035565568", "765206112035565568")</f>
        <v>0</v>
      </c>
      <c r="B2339" s="2">
        <v>42597.6380555556</v>
      </c>
      <c r="C2339">
        <v>0</v>
      </c>
      <c r="D2339">
        <v>0</v>
      </c>
      <c r="E2339" t="s">
        <v>2321</v>
      </c>
    </row>
    <row r="2340" spans="1:5">
      <c r="A2340">
        <f>HYPERLINK("http://www.twitter.com/nyc311/status/765204805178552325", "765204805178552325")</f>
        <v>0</v>
      </c>
      <c r="B2340" s="2">
        <v>42597.6344560185</v>
      </c>
      <c r="C2340">
        <v>0</v>
      </c>
      <c r="D2340">
        <v>0</v>
      </c>
      <c r="E2340" t="s">
        <v>2322</v>
      </c>
    </row>
    <row r="2341" spans="1:5">
      <c r="A2341">
        <f>HYPERLINK("http://www.twitter.com/nyc311/status/765201997050089472", "765201997050089472")</f>
        <v>0</v>
      </c>
      <c r="B2341" s="2">
        <v>42597.6267013889</v>
      </c>
      <c r="C2341">
        <v>2</v>
      </c>
      <c r="D2341">
        <v>3</v>
      </c>
      <c r="E2341" t="s">
        <v>2323</v>
      </c>
    </row>
    <row r="2342" spans="1:5">
      <c r="A2342">
        <f>HYPERLINK("http://www.twitter.com/nyc311/status/765190528401047552", "765190528401047552")</f>
        <v>0</v>
      </c>
      <c r="B2342" s="2">
        <v>42597.5950578704</v>
      </c>
      <c r="C2342">
        <v>0</v>
      </c>
      <c r="D2342">
        <v>0</v>
      </c>
      <c r="E2342" t="s">
        <v>2324</v>
      </c>
    </row>
    <row r="2343" spans="1:5">
      <c r="A2343">
        <f>HYPERLINK("http://www.twitter.com/nyc311/status/765190131938721793", "765190131938721793")</f>
        <v>0</v>
      </c>
      <c r="B2343" s="2">
        <v>42597.5939583333</v>
      </c>
      <c r="C2343">
        <v>0</v>
      </c>
      <c r="D2343">
        <v>0</v>
      </c>
      <c r="E2343" t="s">
        <v>2325</v>
      </c>
    </row>
    <row r="2344" spans="1:5">
      <c r="A2344">
        <f>HYPERLINK("http://www.twitter.com/nyc311/status/765189020309684224", "765189020309684224")</f>
        <v>0</v>
      </c>
      <c r="B2344" s="2">
        <v>42597.5908912037</v>
      </c>
      <c r="C2344">
        <v>0</v>
      </c>
      <c r="D2344">
        <v>0</v>
      </c>
      <c r="E2344" t="s">
        <v>2326</v>
      </c>
    </row>
    <row r="2345" spans="1:5">
      <c r="A2345">
        <f>HYPERLINK("http://www.twitter.com/nyc311/status/765186404053811201", "765186404053811201")</f>
        <v>0</v>
      </c>
      <c r="B2345" s="2">
        <v>42597.5836689815</v>
      </c>
      <c r="C2345">
        <v>3</v>
      </c>
      <c r="D2345">
        <v>10</v>
      </c>
      <c r="E2345" t="s">
        <v>2327</v>
      </c>
    </row>
    <row r="2346" spans="1:5">
      <c r="A2346">
        <f>HYPERLINK("http://www.twitter.com/nyc311/status/765149874543362048", "765149874543362048")</f>
        <v>0</v>
      </c>
      <c r="B2346" s="2">
        <v>42597.4828703704</v>
      </c>
      <c r="C2346">
        <v>2</v>
      </c>
      <c r="D2346">
        <v>1</v>
      </c>
      <c r="E2346" t="s">
        <v>2328</v>
      </c>
    </row>
    <row r="2347" spans="1:5">
      <c r="A2347">
        <f>HYPERLINK("http://www.twitter.com/nyc311/status/765148867805454336", "765148867805454336")</f>
        <v>0</v>
      </c>
      <c r="B2347" s="2">
        <v>42597.4800925926</v>
      </c>
      <c r="C2347">
        <v>2</v>
      </c>
      <c r="D2347">
        <v>3</v>
      </c>
      <c r="E2347" t="s">
        <v>2329</v>
      </c>
    </row>
    <row r="2348" spans="1:5">
      <c r="A2348">
        <f>HYPERLINK("http://www.twitter.com/nyc311/status/764914948258562048", "764914948258562048")</f>
        <v>0</v>
      </c>
      <c r="B2348" s="2">
        <v>42596.8345949074</v>
      </c>
      <c r="C2348">
        <v>1</v>
      </c>
      <c r="D2348">
        <v>0</v>
      </c>
      <c r="E2348" t="s">
        <v>2330</v>
      </c>
    </row>
    <row r="2349" spans="1:5">
      <c r="A2349">
        <f>HYPERLINK("http://www.twitter.com/nyc311/status/764899813985058816", "764899813985058816")</f>
        <v>0</v>
      </c>
      <c r="B2349" s="2">
        <v>42596.7928356481</v>
      </c>
      <c r="C2349">
        <v>2</v>
      </c>
      <c r="D2349">
        <v>4</v>
      </c>
      <c r="E2349" t="s">
        <v>2331</v>
      </c>
    </row>
    <row r="2350" spans="1:5">
      <c r="A2350">
        <f>HYPERLINK("http://www.twitter.com/nyc311/status/764884909823520768", "764884909823520768")</f>
        <v>0</v>
      </c>
      <c r="B2350" s="2">
        <v>42596.751712963</v>
      </c>
      <c r="C2350">
        <v>7</v>
      </c>
      <c r="D2350">
        <v>4</v>
      </c>
      <c r="E2350" t="s">
        <v>2332</v>
      </c>
    </row>
    <row r="2351" spans="1:5">
      <c r="A2351">
        <f>HYPERLINK("http://www.twitter.com/nyc311/status/764854560158605312", "764854560158605312")</f>
        <v>0</v>
      </c>
      <c r="B2351" s="2">
        <v>42596.667962963</v>
      </c>
      <c r="C2351">
        <v>4</v>
      </c>
      <c r="D2351">
        <v>3</v>
      </c>
      <c r="E2351" t="s">
        <v>2333</v>
      </c>
    </row>
    <row r="2352" spans="1:5">
      <c r="A2352">
        <f>HYPERLINK("http://www.twitter.com/nyc311/status/764824178243559426", "764824178243559426")</f>
        <v>0</v>
      </c>
      <c r="B2352" s="2">
        <v>42596.5841203704</v>
      </c>
      <c r="C2352">
        <v>13</v>
      </c>
      <c r="D2352">
        <v>34</v>
      </c>
      <c r="E2352" t="s">
        <v>2334</v>
      </c>
    </row>
    <row r="2353" spans="1:5">
      <c r="A2353">
        <f>HYPERLINK("http://www.twitter.com/nyc311/status/764552460929228800", "764552460929228800")</f>
        <v>0</v>
      </c>
      <c r="B2353" s="2">
        <v>42595.8343287037</v>
      </c>
      <c r="C2353">
        <v>2</v>
      </c>
      <c r="D2353">
        <v>2</v>
      </c>
      <c r="E2353" t="s">
        <v>2335</v>
      </c>
    </row>
    <row r="2354" spans="1:5">
      <c r="A2354">
        <f>HYPERLINK("http://www.twitter.com/nyc311/status/764522344228458496", "764522344228458496")</f>
        <v>0</v>
      </c>
      <c r="B2354" s="2">
        <v>42595.7512152778</v>
      </c>
      <c r="C2354">
        <v>5</v>
      </c>
      <c r="D2354">
        <v>2</v>
      </c>
      <c r="E2354" t="s">
        <v>2336</v>
      </c>
    </row>
    <row r="2355" spans="1:5">
      <c r="A2355">
        <f>HYPERLINK("http://www.twitter.com/nyc311/status/764507360555573248", "764507360555573248")</f>
        <v>0</v>
      </c>
      <c r="B2355" s="2">
        <v>42595.7098726852</v>
      </c>
      <c r="C2355">
        <v>3</v>
      </c>
      <c r="D2355">
        <v>7</v>
      </c>
      <c r="E2355" t="s">
        <v>2337</v>
      </c>
    </row>
    <row r="2356" spans="1:5">
      <c r="A2356">
        <f>HYPERLINK("http://www.twitter.com/nyc311/status/764492350001405956", "764492350001405956")</f>
        <v>0</v>
      </c>
      <c r="B2356" s="2">
        <v>42595.6684490741</v>
      </c>
      <c r="C2356">
        <v>4</v>
      </c>
      <c r="D2356">
        <v>6</v>
      </c>
      <c r="E2356" t="s">
        <v>2338</v>
      </c>
    </row>
    <row r="2357" spans="1:5">
      <c r="A2357">
        <f>HYPERLINK("http://www.twitter.com/nyc311/status/764476829981900800", "764476829981900800")</f>
        <v>0</v>
      </c>
      <c r="B2357" s="2">
        <v>42595.625625</v>
      </c>
      <c r="C2357">
        <v>3</v>
      </c>
      <c r="D2357">
        <v>5</v>
      </c>
      <c r="E2357" t="s">
        <v>2339</v>
      </c>
    </row>
    <row r="2358" spans="1:5">
      <c r="A2358">
        <f>HYPERLINK("http://www.twitter.com/nyc311/status/764461891343282176", "764461891343282176")</f>
        <v>0</v>
      </c>
      <c r="B2358" s="2">
        <v>42595.5843981481</v>
      </c>
      <c r="C2358">
        <v>2</v>
      </c>
      <c r="D2358">
        <v>10</v>
      </c>
      <c r="E2358" t="s">
        <v>2340</v>
      </c>
    </row>
    <row r="2359" spans="1:5">
      <c r="A2359">
        <f>HYPERLINK("http://www.twitter.com/nyc311/status/764219999196213248", "764219999196213248")</f>
        <v>0</v>
      </c>
      <c r="B2359" s="2">
        <v>42594.9168981481</v>
      </c>
      <c r="C2359">
        <v>6</v>
      </c>
      <c r="D2359">
        <v>5</v>
      </c>
      <c r="E2359" t="s">
        <v>2341</v>
      </c>
    </row>
    <row r="2360" spans="1:5">
      <c r="A2360">
        <f>HYPERLINK("http://www.twitter.com/nyc311/status/764194239655936005", "764194239655936005")</f>
        <v>0</v>
      </c>
      <c r="B2360" s="2">
        <v>42594.8458217593</v>
      </c>
      <c r="C2360">
        <v>0</v>
      </c>
      <c r="D2360">
        <v>29</v>
      </c>
      <c r="E2360" t="s">
        <v>2342</v>
      </c>
    </row>
    <row r="2361" spans="1:5">
      <c r="A2361">
        <f>HYPERLINK("http://www.twitter.com/nyc311/status/764192815240863745", "764192815240863745")</f>
        <v>0</v>
      </c>
      <c r="B2361" s="2">
        <v>42594.8418865741</v>
      </c>
      <c r="C2361">
        <v>0</v>
      </c>
      <c r="D2361">
        <v>0</v>
      </c>
      <c r="E2361" t="s">
        <v>2343</v>
      </c>
    </row>
    <row r="2362" spans="1:5">
      <c r="A2362">
        <f>HYPERLINK("http://www.twitter.com/nyc311/status/764190247865450496", "764190247865450496")</f>
        <v>0</v>
      </c>
      <c r="B2362" s="2">
        <v>42594.8348032407</v>
      </c>
      <c r="C2362">
        <v>2</v>
      </c>
      <c r="D2362">
        <v>0</v>
      </c>
      <c r="E2362" t="s">
        <v>2344</v>
      </c>
    </row>
    <row r="2363" spans="1:5">
      <c r="A2363">
        <f>HYPERLINK("http://www.twitter.com/nyc311/status/764186198902468608", "764186198902468608")</f>
        <v>0</v>
      </c>
      <c r="B2363" s="2">
        <v>42594.8236342593</v>
      </c>
      <c r="C2363">
        <v>6</v>
      </c>
      <c r="D2363">
        <v>1</v>
      </c>
      <c r="E2363" t="s">
        <v>2345</v>
      </c>
    </row>
    <row r="2364" spans="1:5">
      <c r="A2364">
        <f>HYPERLINK("http://www.twitter.com/nyc311/status/764179212270010369", "764179212270010369")</f>
        <v>0</v>
      </c>
      <c r="B2364" s="2">
        <v>42594.8043518519</v>
      </c>
      <c r="C2364">
        <v>0</v>
      </c>
      <c r="D2364">
        <v>0</v>
      </c>
      <c r="E2364" t="s">
        <v>2346</v>
      </c>
    </row>
    <row r="2365" spans="1:5">
      <c r="A2365">
        <f>HYPERLINK("http://www.twitter.com/nyc311/status/764169127384772609", "764169127384772609")</f>
        <v>0</v>
      </c>
      <c r="B2365" s="2">
        <v>42594.7765277778</v>
      </c>
      <c r="C2365">
        <v>0</v>
      </c>
      <c r="D2365">
        <v>0</v>
      </c>
      <c r="E2365" t="s">
        <v>2347</v>
      </c>
    </row>
    <row r="2366" spans="1:5">
      <c r="A2366">
        <f>HYPERLINK("http://www.twitter.com/nyc311/status/764160226853580801", "764160226853580801")</f>
        <v>0</v>
      </c>
      <c r="B2366" s="2">
        <v>42594.7519675926</v>
      </c>
      <c r="C2366">
        <v>2</v>
      </c>
      <c r="D2366">
        <v>8</v>
      </c>
      <c r="E2366" t="s">
        <v>2348</v>
      </c>
    </row>
    <row r="2367" spans="1:5">
      <c r="A2367">
        <f>HYPERLINK("http://www.twitter.com/nyc311/status/764146861049573376", "764146861049573376")</f>
        <v>0</v>
      </c>
      <c r="B2367" s="2">
        <v>42594.7150810185</v>
      </c>
      <c r="C2367">
        <v>0</v>
      </c>
      <c r="D2367">
        <v>0</v>
      </c>
      <c r="E2367" t="s">
        <v>2349</v>
      </c>
    </row>
    <row r="2368" spans="1:5">
      <c r="A2368">
        <f>HYPERLINK("http://www.twitter.com/nyc311/status/764146358169309184", "764146358169309184")</f>
        <v>0</v>
      </c>
      <c r="B2368" s="2">
        <v>42594.7136921296</v>
      </c>
      <c r="C2368">
        <v>0</v>
      </c>
      <c r="D2368">
        <v>0</v>
      </c>
      <c r="E2368" t="s">
        <v>2350</v>
      </c>
    </row>
    <row r="2369" spans="1:5">
      <c r="A2369">
        <f>HYPERLINK("http://www.twitter.com/nyc311/status/764142222363230210", "764142222363230210")</f>
        <v>0</v>
      </c>
      <c r="B2369" s="2">
        <v>42594.7022800926</v>
      </c>
      <c r="C2369">
        <v>1</v>
      </c>
      <c r="D2369">
        <v>0</v>
      </c>
      <c r="E2369" t="s">
        <v>2351</v>
      </c>
    </row>
    <row r="2370" spans="1:5">
      <c r="A2370">
        <f>HYPERLINK("http://www.twitter.com/nyc311/status/764130146458763264", "764130146458763264")</f>
        <v>0</v>
      </c>
      <c r="B2370" s="2">
        <v>42594.6689583333</v>
      </c>
      <c r="C2370">
        <v>4</v>
      </c>
      <c r="D2370">
        <v>3</v>
      </c>
      <c r="E2370" t="s">
        <v>2352</v>
      </c>
    </row>
    <row r="2371" spans="1:5">
      <c r="A2371">
        <f>HYPERLINK("http://www.twitter.com/nyc311/status/764127366742499328", "764127366742499328")</f>
        <v>0</v>
      </c>
      <c r="B2371" s="2">
        <v>42594.6612847222</v>
      </c>
      <c r="C2371">
        <v>1</v>
      </c>
      <c r="D2371">
        <v>0</v>
      </c>
      <c r="E2371" t="s">
        <v>2353</v>
      </c>
    </row>
    <row r="2372" spans="1:5">
      <c r="A2372">
        <f>HYPERLINK("http://www.twitter.com/nyc311/status/764126527617396737", "764126527617396737")</f>
        <v>0</v>
      </c>
      <c r="B2372" s="2">
        <v>42594.6589699074</v>
      </c>
      <c r="C2372">
        <v>0</v>
      </c>
      <c r="D2372">
        <v>0</v>
      </c>
      <c r="E2372" t="s">
        <v>2354</v>
      </c>
    </row>
    <row r="2373" spans="1:5">
      <c r="A2373">
        <f>HYPERLINK("http://www.twitter.com/nyc311/status/764122184147173376", "764122184147173376")</f>
        <v>0</v>
      </c>
      <c r="B2373" s="2">
        <v>42594.6469907407</v>
      </c>
      <c r="C2373">
        <v>1</v>
      </c>
      <c r="D2373">
        <v>0</v>
      </c>
      <c r="E2373" t="s">
        <v>2355</v>
      </c>
    </row>
    <row r="2374" spans="1:5">
      <c r="A2374">
        <f>HYPERLINK("http://www.twitter.com/nyc311/status/764114901031870464", "764114901031870464")</f>
        <v>0</v>
      </c>
      <c r="B2374" s="2">
        <v>42594.6268865741</v>
      </c>
      <c r="C2374">
        <v>3</v>
      </c>
      <c r="D2374">
        <v>6</v>
      </c>
      <c r="E2374" t="s">
        <v>2356</v>
      </c>
    </row>
    <row r="2375" spans="1:5">
      <c r="A2375">
        <f>HYPERLINK("http://www.twitter.com/nyc311/status/764104575863427073", "764104575863427073")</f>
        <v>0</v>
      </c>
      <c r="B2375" s="2">
        <v>42594.5983912037</v>
      </c>
      <c r="C2375">
        <v>0</v>
      </c>
      <c r="D2375">
        <v>0</v>
      </c>
      <c r="E2375" t="s">
        <v>2357</v>
      </c>
    </row>
    <row r="2376" spans="1:5">
      <c r="A2376">
        <f>HYPERLINK("http://www.twitter.com/nyc311/status/764104445277896704", "764104445277896704")</f>
        <v>0</v>
      </c>
      <c r="B2376" s="2">
        <v>42594.5980324074</v>
      </c>
      <c r="C2376">
        <v>0</v>
      </c>
      <c r="D2376">
        <v>0</v>
      </c>
      <c r="E2376" t="s">
        <v>2358</v>
      </c>
    </row>
    <row r="2377" spans="1:5">
      <c r="A2377">
        <f>HYPERLINK("http://www.twitter.com/nyc311/status/764102522550251521", "764102522550251521")</f>
        <v>0</v>
      </c>
      <c r="B2377" s="2">
        <v>42594.5927314815</v>
      </c>
      <c r="C2377">
        <v>0</v>
      </c>
      <c r="D2377">
        <v>0</v>
      </c>
      <c r="E2377" t="s">
        <v>2359</v>
      </c>
    </row>
    <row r="2378" spans="1:5">
      <c r="A2378">
        <f>HYPERLINK("http://www.twitter.com/nyc311/status/764101721559801856", "764101721559801856")</f>
        <v>0</v>
      </c>
      <c r="B2378" s="2">
        <v>42594.5905208333</v>
      </c>
      <c r="C2378">
        <v>0</v>
      </c>
      <c r="D2378">
        <v>0</v>
      </c>
      <c r="E2378" t="s">
        <v>2360</v>
      </c>
    </row>
    <row r="2379" spans="1:5">
      <c r="A2379">
        <f>HYPERLINK("http://www.twitter.com/nyc311/status/764100263225548800", "764100263225548800")</f>
        <v>0</v>
      </c>
      <c r="B2379" s="2">
        <v>42594.5864930556</v>
      </c>
      <c r="C2379">
        <v>0</v>
      </c>
      <c r="D2379">
        <v>0</v>
      </c>
      <c r="E2379" t="s">
        <v>2361</v>
      </c>
    </row>
    <row r="2380" spans="1:5">
      <c r="A2380">
        <f>HYPERLINK("http://www.twitter.com/nyc311/status/764099624374243328", "764099624374243328")</f>
        <v>0</v>
      </c>
      <c r="B2380" s="2">
        <v>42594.5847337963</v>
      </c>
      <c r="C2380">
        <v>4</v>
      </c>
      <c r="D2380">
        <v>3</v>
      </c>
      <c r="E2380" t="s">
        <v>2362</v>
      </c>
    </row>
    <row r="2381" spans="1:5">
      <c r="A2381">
        <f>HYPERLINK("http://www.twitter.com/nyc311/status/764098861761572865", "764098861761572865")</f>
        <v>0</v>
      </c>
      <c r="B2381" s="2">
        <v>42594.5826273148</v>
      </c>
      <c r="C2381">
        <v>0</v>
      </c>
      <c r="D2381">
        <v>0</v>
      </c>
      <c r="E2381" t="s">
        <v>2363</v>
      </c>
    </row>
    <row r="2382" spans="1:5">
      <c r="A2382">
        <f>HYPERLINK("http://www.twitter.com/nyc311/status/764098673496068097", "764098673496068097")</f>
        <v>0</v>
      </c>
      <c r="B2382" s="2">
        <v>42594.5821064815</v>
      </c>
      <c r="C2382">
        <v>1</v>
      </c>
      <c r="D2382">
        <v>0</v>
      </c>
      <c r="E2382" t="s">
        <v>2364</v>
      </c>
    </row>
    <row r="2383" spans="1:5">
      <c r="A2383">
        <f>HYPERLINK("http://www.twitter.com/nyc311/status/764098281903230978", "764098281903230978")</f>
        <v>0</v>
      </c>
      <c r="B2383" s="2">
        <v>42594.5810300926</v>
      </c>
      <c r="C2383">
        <v>0</v>
      </c>
      <c r="D2383">
        <v>0</v>
      </c>
      <c r="E2383" t="s">
        <v>2365</v>
      </c>
    </row>
    <row r="2384" spans="1:5">
      <c r="A2384">
        <f>HYPERLINK("http://www.twitter.com/nyc311/status/764094044947439616", "764094044947439616")</f>
        <v>0</v>
      </c>
      <c r="B2384" s="2">
        <v>42594.5693402778</v>
      </c>
      <c r="C2384">
        <v>0</v>
      </c>
      <c r="D2384">
        <v>34</v>
      </c>
      <c r="E2384" t="s">
        <v>2366</v>
      </c>
    </row>
    <row r="2385" spans="1:5">
      <c r="A2385">
        <f>HYPERLINK("http://www.twitter.com/nyc311/status/764093503273996289", "764093503273996289")</f>
        <v>0</v>
      </c>
      <c r="B2385" s="2">
        <v>42594.5678472222</v>
      </c>
      <c r="C2385">
        <v>0</v>
      </c>
      <c r="D2385">
        <v>35</v>
      </c>
      <c r="E2385" t="s">
        <v>2367</v>
      </c>
    </row>
    <row r="2386" spans="1:5">
      <c r="A2386">
        <f>HYPERLINK("http://www.twitter.com/nyc311/status/763850831967969280", "763850831967969280")</f>
        <v>0</v>
      </c>
      <c r="B2386" s="2">
        <v>42593.8981944444</v>
      </c>
      <c r="C2386">
        <v>0</v>
      </c>
      <c r="D2386">
        <v>0</v>
      </c>
      <c r="E2386" t="s">
        <v>2368</v>
      </c>
    </row>
    <row r="2387" spans="1:5">
      <c r="A2387">
        <f>HYPERLINK("http://www.twitter.com/nyc311/status/763850734475542528", "763850734475542528")</f>
        <v>0</v>
      </c>
      <c r="B2387" s="2">
        <v>42593.8979282407</v>
      </c>
      <c r="C2387">
        <v>0</v>
      </c>
      <c r="D2387">
        <v>0</v>
      </c>
      <c r="E2387" t="s">
        <v>2369</v>
      </c>
    </row>
    <row r="2388" spans="1:5">
      <c r="A2388">
        <f>HYPERLINK("http://www.twitter.com/nyc311/status/763849990691315712", "763849990691315712")</f>
        <v>0</v>
      </c>
      <c r="B2388" s="2">
        <v>42593.8958796296</v>
      </c>
      <c r="C2388">
        <v>0</v>
      </c>
      <c r="D2388">
        <v>0</v>
      </c>
      <c r="E2388" t="s">
        <v>2370</v>
      </c>
    </row>
    <row r="2389" spans="1:5">
      <c r="A2389">
        <f>HYPERLINK("http://www.twitter.com/nyc311/status/763845575854985216", "763845575854985216")</f>
        <v>0</v>
      </c>
      <c r="B2389" s="2">
        <v>42593.8836921296</v>
      </c>
      <c r="C2389">
        <v>0</v>
      </c>
      <c r="D2389">
        <v>0</v>
      </c>
      <c r="E2389" t="s">
        <v>2371</v>
      </c>
    </row>
    <row r="2390" spans="1:5">
      <c r="A2390">
        <f>HYPERLINK("http://www.twitter.com/nyc311/status/763842717738790913", "763842717738790913")</f>
        <v>0</v>
      </c>
      <c r="B2390" s="2">
        <v>42593.8758101852</v>
      </c>
      <c r="C2390">
        <v>5</v>
      </c>
      <c r="D2390">
        <v>10</v>
      </c>
      <c r="E2390" t="s">
        <v>2372</v>
      </c>
    </row>
    <row r="2391" spans="1:5">
      <c r="A2391">
        <f>HYPERLINK("http://www.twitter.com/nyc311/status/763842637778550790", "763842637778550790")</f>
        <v>0</v>
      </c>
      <c r="B2391" s="2">
        <v>42593.8755902778</v>
      </c>
      <c r="C2391">
        <v>1</v>
      </c>
      <c r="D2391">
        <v>0</v>
      </c>
      <c r="E2391" t="s">
        <v>2373</v>
      </c>
    </row>
    <row r="2392" spans="1:5">
      <c r="A2392">
        <f>HYPERLINK("http://www.twitter.com/nyc311/status/763842306638249990", "763842306638249990")</f>
        <v>0</v>
      </c>
      <c r="B2392" s="2">
        <v>42593.8746759259</v>
      </c>
      <c r="C2392">
        <v>0</v>
      </c>
      <c r="D2392">
        <v>1</v>
      </c>
      <c r="E2392" t="s">
        <v>2374</v>
      </c>
    </row>
    <row r="2393" spans="1:5">
      <c r="A2393">
        <f>HYPERLINK("http://www.twitter.com/nyc311/status/763840968680439808", "763840968680439808")</f>
        <v>0</v>
      </c>
      <c r="B2393" s="2">
        <v>42593.8709837963</v>
      </c>
      <c r="C2393">
        <v>0</v>
      </c>
      <c r="D2393">
        <v>0</v>
      </c>
      <c r="E2393" t="s">
        <v>2375</v>
      </c>
    </row>
    <row r="2394" spans="1:5">
      <c r="A2394">
        <f>HYPERLINK("http://www.twitter.com/nyc311/status/763827965067141120", "763827965067141120")</f>
        <v>0</v>
      </c>
      <c r="B2394" s="2">
        <v>42593.8350925926</v>
      </c>
      <c r="C2394">
        <v>0</v>
      </c>
      <c r="D2394">
        <v>0</v>
      </c>
      <c r="E2394" t="s">
        <v>2376</v>
      </c>
    </row>
    <row r="2395" spans="1:5">
      <c r="A2395">
        <f>HYPERLINK("http://www.twitter.com/nyc311/status/763827882405859329", "763827882405859329")</f>
        <v>0</v>
      </c>
      <c r="B2395" s="2">
        <v>42593.8348726852</v>
      </c>
      <c r="C2395">
        <v>18</v>
      </c>
      <c r="D2395">
        <v>11</v>
      </c>
      <c r="E2395" t="s">
        <v>2377</v>
      </c>
    </row>
    <row r="2396" spans="1:5">
      <c r="A2396">
        <f>HYPERLINK("http://www.twitter.com/nyc311/status/763819847671287808", "763819847671287808")</f>
        <v>0</v>
      </c>
      <c r="B2396" s="2">
        <v>42593.8126967593</v>
      </c>
      <c r="C2396">
        <v>10</v>
      </c>
      <c r="D2396">
        <v>14</v>
      </c>
      <c r="E2396" t="s">
        <v>2378</v>
      </c>
    </row>
    <row r="2397" spans="1:5">
      <c r="A2397">
        <f>HYPERLINK("http://www.twitter.com/nyc311/status/763812916483219456", "763812916483219456")</f>
        <v>0</v>
      </c>
      <c r="B2397" s="2">
        <v>42593.7935648148</v>
      </c>
      <c r="C2397">
        <v>7</v>
      </c>
      <c r="D2397">
        <v>5</v>
      </c>
      <c r="E2397" t="s">
        <v>2379</v>
      </c>
    </row>
    <row r="2398" spans="1:5">
      <c r="A2398">
        <f>HYPERLINK("http://www.twitter.com/nyc311/status/763799870989795333", "763799870989795333")</f>
        <v>0</v>
      </c>
      <c r="B2398" s="2">
        <v>42593.7575694444</v>
      </c>
      <c r="C2398">
        <v>0</v>
      </c>
      <c r="D2398">
        <v>0</v>
      </c>
      <c r="E2398" t="s">
        <v>2380</v>
      </c>
    </row>
    <row r="2399" spans="1:5">
      <c r="A2399">
        <f>HYPERLINK("http://www.twitter.com/nyc311/status/763797776471908352", "763797776471908352")</f>
        <v>0</v>
      </c>
      <c r="B2399" s="2">
        <v>42593.7517939815</v>
      </c>
      <c r="C2399">
        <v>9</v>
      </c>
      <c r="D2399">
        <v>2</v>
      </c>
      <c r="E2399" t="s">
        <v>2381</v>
      </c>
    </row>
    <row r="2400" spans="1:5">
      <c r="A2400">
        <f>HYPERLINK("http://www.twitter.com/nyc311/status/763767812804472833", "763767812804472833")</f>
        <v>0</v>
      </c>
      <c r="B2400" s="2">
        <v>42593.6691087963</v>
      </c>
      <c r="C2400">
        <v>2</v>
      </c>
      <c r="D2400">
        <v>3</v>
      </c>
      <c r="E2400" t="s">
        <v>2382</v>
      </c>
    </row>
    <row r="2401" spans="1:5">
      <c r="A2401">
        <f>HYPERLINK("http://www.twitter.com/nyc311/status/763761046838513668", "763761046838513668")</f>
        <v>0</v>
      </c>
      <c r="B2401" s="2">
        <v>42593.6504398148</v>
      </c>
      <c r="C2401">
        <v>0</v>
      </c>
      <c r="D2401">
        <v>0</v>
      </c>
      <c r="E2401" t="s">
        <v>2383</v>
      </c>
    </row>
    <row r="2402" spans="1:5">
      <c r="A2402">
        <f>HYPERLINK("http://www.twitter.com/nyc311/status/763758471372214275", "763758471372214275")</f>
        <v>0</v>
      </c>
      <c r="B2402" s="2">
        <v>42593.6433333333</v>
      </c>
      <c r="C2402">
        <v>0</v>
      </c>
      <c r="D2402">
        <v>0</v>
      </c>
      <c r="E2402" t="s">
        <v>2384</v>
      </c>
    </row>
    <row r="2403" spans="1:5">
      <c r="A2403">
        <f>HYPERLINK("http://www.twitter.com/nyc311/status/763758394624839680", "763758394624839680")</f>
        <v>0</v>
      </c>
      <c r="B2403" s="2">
        <v>42593.6431134259</v>
      </c>
      <c r="C2403">
        <v>0</v>
      </c>
      <c r="D2403">
        <v>0</v>
      </c>
      <c r="E2403" t="s">
        <v>2385</v>
      </c>
    </row>
    <row r="2404" spans="1:5">
      <c r="A2404">
        <f>HYPERLINK("http://www.twitter.com/nyc311/status/763757381809569793", "763757381809569793")</f>
        <v>0</v>
      </c>
      <c r="B2404" s="2">
        <v>42593.6403240741</v>
      </c>
      <c r="C2404">
        <v>0</v>
      </c>
      <c r="D2404">
        <v>0</v>
      </c>
      <c r="E2404" t="s">
        <v>2386</v>
      </c>
    </row>
    <row r="2405" spans="1:5">
      <c r="A2405">
        <f>HYPERLINK("http://www.twitter.com/nyc311/status/763752914926104576", "763752914926104576")</f>
        <v>0</v>
      </c>
      <c r="B2405" s="2">
        <v>42593.6279976852</v>
      </c>
      <c r="C2405">
        <v>0</v>
      </c>
      <c r="D2405">
        <v>0</v>
      </c>
      <c r="E2405" t="s">
        <v>2387</v>
      </c>
    </row>
    <row r="2406" spans="1:5">
      <c r="A2406">
        <f>HYPERLINK("http://www.twitter.com/nyc311/status/763749449755656192", "763749449755656192")</f>
        <v>0</v>
      </c>
      <c r="B2406" s="2">
        <v>42593.6184375</v>
      </c>
      <c r="C2406">
        <v>0</v>
      </c>
      <c r="D2406">
        <v>0</v>
      </c>
      <c r="E2406" t="s">
        <v>2388</v>
      </c>
    </row>
    <row r="2407" spans="1:5">
      <c r="A2407">
        <f>HYPERLINK("http://www.twitter.com/nyc311/status/763749117524840448", "763749117524840448")</f>
        <v>0</v>
      </c>
      <c r="B2407" s="2">
        <v>42593.6175231481</v>
      </c>
      <c r="C2407">
        <v>0</v>
      </c>
      <c r="D2407">
        <v>0</v>
      </c>
      <c r="E2407" t="s">
        <v>2389</v>
      </c>
    </row>
    <row r="2408" spans="1:5">
      <c r="A2408">
        <f>HYPERLINK("http://www.twitter.com/nyc311/status/763738445999116289", "763738445999116289")</f>
        <v>0</v>
      </c>
      <c r="B2408" s="2">
        <v>42593.5880671296</v>
      </c>
      <c r="C2408">
        <v>1</v>
      </c>
      <c r="D2408">
        <v>2</v>
      </c>
      <c r="E2408" t="s">
        <v>2390</v>
      </c>
    </row>
    <row r="2409" spans="1:5">
      <c r="A2409">
        <f>HYPERLINK("http://www.twitter.com/nyc311/status/763738207175467008", "763738207175467008")</f>
        <v>0</v>
      </c>
      <c r="B2409" s="2">
        <v>42593.5874074074</v>
      </c>
      <c r="C2409">
        <v>0</v>
      </c>
      <c r="D2409">
        <v>0</v>
      </c>
      <c r="E2409" t="s">
        <v>2391</v>
      </c>
    </row>
    <row r="2410" spans="1:5">
      <c r="A2410">
        <f>HYPERLINK("http://www.twitter.com/nyc311/status/763731083133390849", "763731083133390849")</f>
        <v>0</v>
      </c>
      <c r="B2410" s="2">
        <v>42593.5677546296</v>
      </c>
      <c r="C2410">
        <v>5</v>
      </c>
      <c r="D2410">
        <v>6</v>
      </c>
      <c r="E2410" t="s">
        <v>2392</v>
      </c>
    </row>
    <row r="2411" spans="1:5">
      <c r="A2411">
        <f>HYPERLINK("http://www.twitter.com/nyc311/status/763707970484051968", "763707970484051968")</f>
        <v>0</v>
      </c>
      <c r="B2411" s="2">
        <v>42593.5039699074</v>
      </c>
      <c r="C2411">
        <v>1</v>
      </c>
      <c r="D2411">
        <v>1</v>
      </c>
      <c r="E2411" t="s">
        <v>2393</v>
      </c>
    </row>
    <row r="2412" spans="1:5">
      <c r="A2412">
        <f>HYPERLINK("http://www.twitter.com/nyc311/status/763707221289103360", "763707221289103360")</f>
        <v>0</v>
      </c>
      <c r="B2412" s="2">
        <v>42593.5019097222</v>
      </c>
      <c r="C2412">
        <v>2</v>
      </c>
      <c r="D2412">
        <v>3</v>
      </c>
      <c r="E2412" t="s">
        <v>2394</v>
      </c>
    </row>
    <row r="2413" spans="1:5">
      <c r="A2413">
        <f>HYPERLINK("http://www.twitter.com/nyc311/status/763465565348438016", "763465565348438016")</f>
        <v>0</v>
      </c>
      <c r="B2413" s="2">
        <v>42592.8350578704</v>
      </c>
      <c r="C2413">
        <v>1</v>
      </c>
      <c r="D2413">
        <v>1</v>
      </c>
      <c r="E2413" t="s">
        <v>2395</v>
      </c>
    </row>
    <row r="2414" spans="1:5">
      <c r="A2414">
        <f>HYPERLINK("http://www.twitter.com/nyc311/status/763464708246671360", "763464708246671360")</f>
        <v>0</v>
      </c>
      <c r="B2414" s="2">
        <v>42592.8326967593</v>
      </c>
      <c r="C2414">
        <v>0</v>
      </c>
      <c r="D2414">
        <v>0</v>
      </c>
      <c r="E2414" t="s">
        <v>2396</v>
      </c>
    </row>
    <row r="2415" spans="1:5">
      <c r="A2415">
        <f>HYPERLINK("http://www.twitter.com/nyc311/status/763462154083246081", "763462154083246081")</f>
        <v>0</v>
      </c>
      <c r="B2415" s="2">
        <v>42592.8256481482</v>
      </c>
      <c r="C2415">
        <v>0</v>
      </c>
      <c r="D2415">
        <v>0</v>
      </c>
      <c r="E2415" t="s">
        <v>2397</v>
      </c>
    </row>
    <row r="2416" spans="1:5">
      <c r="A2416">
        <f>HYPERLINK("http://www.twitter.com/nyc311/status/763434969586864128", "763434969586864128")</f>
        <v>0</v>
      </c>
      <c r="B2416" s="2">
        <v>42592.7506365741</v>
      </c>
      <c r="C2416">
        <v>3</v>
      </c>
      <c r="D2416">
        <v>4</v>
      </c>
      <c r="E2416" t="s">
        <v>2398</v>
      </c>
    </row>
    <row r="2417" spans="1:5">
      <c r="A2417">
        <f>HYPERLINK("http://www.twitter.com/nyc311/status/763420360352079872", "763420360352079872")</f>
        <v>0</v>
      </c>
      <c r="B2417" s="2">
        <v>42592.7103240741</v>
      </c>
      <c r="C2417">
        <v>2</v>
      </c>
      <c r="D2417">
        <v>2</v>
      </c>
      <c r="E2417" t="s">
        <v>2399</v>
      </c>
    </row>
    <row r="2418" spans="1:5">
      <c r="A2418">
        <f>HYPERLINK("http://www.twitter.com/nyc311/status/763417339002023937", "763417339002023937")</f>
        <v>0</v>
      </c>
      <c r="B2418" s="2">
        <v>42592.7019791667</v>
      </c>
      <c r="C2418">
        <v>2</v>
      </c>
      <c r="D2418">
        <v>0</v>
      </c>
      <c r="E2418" t="s">
        <v>2400</v>
      </c>
    </row>
    <row r="2419" spans="1:5">
      <c r="A2419">
        <f>HYPERLINK("http://www.twitter.com/nyc311/status/763411286306787329", "763411286306787329")</f>
        <v>0</v>
      </c>
      <c r="B2419" s="2">
        <v>42592.6852777778</v>
      </c>
      <c r="C2419">
        <v>1</v>
      </c>
      <c r="D2419">
        <v>0</v>
      </c>
      <c r="E2419" t="s">
        <v>2401</v>
      </c>
    </row>
    <row r="2420" spans="1:5">
      <c r="A2420">
        <f>HYPERLINK("http://www.twitter.com/nyc311/status/763405419368841216", "763405419368841216")</f>
        <v>0</v>
      </c>
      <c r="B2420" s="2">
        <v>42592.6690972222</v>
      </c>
      <c r="C2420">
        <v>2</v>
      </c>
      <c r="D2420">
        <v>1</v>
      </c>
      <c r="E2420" t="s">
        <v>2402</v>
      </c>
    </row>
    <row r="2421" spans="1:5">
      <c r="A2421">
        <f>HYPERLINK("http://www.twitter.com/nyc311/status/763380838235041793", "763380838235041793")</f>
        <v>0</v>
      </c>
      <c r="B2421" s="2">
        <v>42592.6012615741</v>
      </c>
      <c r="C2421">
        <v>0</v>
      </c>
      <c r="D2421">
        <v>0</v>
      </c>
      <c r="E2421" t="s">
        <v>2403</v>
      </c>
    </row>
    <row r="2422" spans="1:5">
      <c r="A2422">
        <f>HYPERLINK("http://www.twitter.com/nyc311/status/763379712777449472", "763379712777449472")</f>
        <v>0</v>
      </c>
      <c r="B2422" s="2">
        <v>42592.5981597222</v>
      </c>
      <c r="C2422">
        <v>0</v>
      </c>
      <c r="D2422">
        <v>0</v>
      </c>
      <c r="E2422" t="s">
        <v>2404</v>
      </c>
    </row>
    <row r="2423" spans="1:5">
      <c r="A2423">
        <f>HYPERLINK("http://www.twitter.com/nyc311/status/763379063063011328", "763379063063011328")</f>
        <v>0</v>
      </c>
      <c r="B2423" s="2">
        <v>42592.5963657407</v>
      </c>
      <c r="C2423">
        <v>0</v>
      </c>
      <c r="D2423">
        <v>0</v>
      </c>
      <c r="E2423" t="s">
        <v>2405</v>
      </c>
    </row>
    <row r="2424" spans="1:5">
      <c r="A2424">
        <f>HYPERLINK("http://www.twitter.com/nyc311/status/763377906651455488", "763377906651455488")</f>
        <v>0</v>
      </c>
      <c r="B2424" s="2">
        <v>42592.5931712963</v>
      </c>
      <c r="C2424">
        <v>0</v>
      </c>
      <c r="D2424">
        <v>0</v>
      </c>
      <c r="E2424" t="s">
        <v>2406</v>
      </c>
    </row>
    <row r="2425" spans="1:5">
      <c r="A2425">
        <f>HYPERLINK("http://www.twitter.com/nyc311/status/763375109419786241", "763375109419786241")</f>
        <v>0</v>
      </c>
      <c r="B2425" s="2">
        <v>42592.5854513889</v>
      </c>
      <c r="C2425">
        <v>4</v>
      </c>
      <c r="D2425">
        <v>4</v>
      </c>
      <c r="E2425" t="s">
        <v>2041</v>
      </c>
    </row>
    <row r="2426" spans="1:5">
      <c r="A2426">
        <f>HYPERLINK("http://www.twitter.com/nyc311/status/763373213267193856", "763373213267193856")</f>
        <v>0</v>
      </c>
      <c r="B2426" s="2">
        <v>42592.5802199074</v>
      </c>
      <c r="C2426">
        <v>0</v>
      </c>
      <c r="D2426">
        <v>0</v>
      </c>
      <c r="E2426" t="s">
        <v>2407</v>
      </c>
    </row>
    <row r="2427" spans="1:5">
      <c r="A2427">
        <f>HYPERLINK("http://www.twitter.com/nyc311/status/763370806650998784", "763370806650998784")</f>
        <v>0</v>
      </c>
      <c r="B2427" s="2">
        <v>42592.5735763889</v>
      </c>
      <c r="C2427">
        <v>0</v>
      </c>
      <c r="D2427">
        <v>0</v>
      </c>
      <c r="E2427" t="s">
        <v>2408</v>
      </c>
    </row>
    <row r="2428" spans="1:5">
      <c r="A2428">
        <f>HYPERLINK("http://www.twitter.com/nyc311/status/763367112396181504", "763367112396181504")</f>
        <v>0</v>
      </c>
      <c r="B2428" s="2">
        <v>42592.5633796296</v>
      </c>
      <c r="C2428">
        <v>0</v>
      </c>
      <c r="D2428">
        <v>34</v>
      </c>
      <c r="E2428" t="s">
        <v>2409</v>
      </c>
    </row>
    <row r="2429" spans="1:5">
      <c r="A2429">
        <f>HYPERLINK("http://www.twitter.com/nyc311/status/763362857136320512", "763362857136320512")</f>
        <v>0</v>
      </c>
      <c r="B2429" s="2">
        <v>42592.5516435185</v>
      </c>
      <c r="C2429">
        <v>0</v>
      </c>
      <c r="D2429">
        <v>0</v>
      </c>
      <c r="E2429" t="s">
        <v>2410</v>
      </c>
    </row>
    <row r="2430" spans="1:5">
      <c r="A2430">
        <f>HYPERLINK("http://www.twitter.com/nyc311/status/763107542553751553", "763107542553751553")</f>
        <v>0</v>
      </c>
      <c r="B2430" s="2">
        <v>42591.8471064815</v>
      </c>
      <c r="C2430">
        <v>0</v>
      </c>
      <c r="D2430">
        <v>0</v>
      </c>
      <c r="E2430" t="s">
        <v>2411</v>
      </c>
    </row>
    <row r="2431" spans="1:5">
      <c r="A2431">
        <f>HYPERLINK("http://www.twitter.com/nyc311/status/763103088005771265", "763103088005771265")</f>
        <v>0</v>
      </c>
      <c r="B2431" s="2">
        <v>42591.8348148148</v>
      </c>
      <c r="C2431">
        <v>1</v>
      </c>
      <c r="D2431">
        <v>0</v>
      </c>
      <c r="E2431" t="s">
        <v>2412</v>
      </c>
    </row>
    <row r="2432" spans="1:5">
      <c r="A2432">
        <f>HYPERLINK("http://www.twitter.com/nyc311/status/763097514073550853", "763097514073550853")</f>
        <v>0</v>
      </c>
      <c r="B2432" s="2">
        <v>42591.8194328704</v>
      </c>
      <c r="C2432">
        <v>0</v>
      </c>
      <c r="D2432">
        <v>0</v>
      </c>
      <c r="E2432" t="s">
        <v>2413</v>
      </c>
    </row>
    <row r="2433" spans="1:5">
      <c r="A2433">
        <f>HYPERLINK("http://www.twitter.com/nyc311/status/763084243916455940", "763084243916455940")</f>
        <v>0</v>
      </c>
      <c r="B2433" s="2">
        <v>42591.7828125</v>
      </c>
      <c r="C2433">
        <v>1</v>
      </c>
      <c r="D2433">
        <v>0</v>
      </c>
      <c r="E2433" t="s">
        <v>2414</v>
      </c>
    </row>
    <row r="2434" spans="1:5">
      <c r="A2434">
        <f>HYPERLINK("http://www.twitter.com/nyc311/status/763072932973318144", "763072932973318144")</f>
        <v>0</v>
      </c>
      <c r="B2434" s="2">
        <v>42591.7516087963</v>
      </c>
      <c r="C2434">
        <v>3</v>
      </c>
      <c r="D2434">
        <v>7</v>
      </c>
      <c r="E2434" t="s">
        <v>2415</v>
      </c>
    </row>
    <row r="2435" spans="1:5">
      <c r="A2435">
        <f>HYPERLINK("http://www.twitter.com/nyc311/status/763071981000556545", "763071981000556545")</f>
        <v>0</v>
      </c>
      <c r="B2435" s="2">
        <v>42591.7489814815</v>
      </c>
      <c r="C2435">
        <v>1</v>
      </c>
      <c r="D2435">
        <v>0</v>
      </c>
      <c r="E2435" t="s">
        <v>2416</v>
      </c>
    </row>
    <row r="2436" spans="1:5">
      <c r="A2436">
        <f>HYPERLINK("http://www.twitter.com/nyc311/status/763071688120688644", "763071688120688644")</f>
        <v>0</v>
      </c>
      <c r="B2436" s="2">
        <v>42591.7481712963</v>
      </c>
      <c r="C2436">
        <v>0</v>
      </c>
      <c r="D2436">
        <v>0</v>
      </c>
      <c r="E2436" t="s">
        <v>2417</v>
      </c>
    </row>
    <row r="2437" spans="1:5">
      <c r="A2437">
        <f>HYPERLINK("http://www.twitter.com/nyc311/status/763056176862994432", "763056176862994432")</f>
        <v>0</v>
      </c>
      <c r="B2437" s="2">
        <v>42591.7053703704</v>
      </c>
      <c r="C2437">
        <v>1</v>
      </c>
      <c r="D2437">
        <v>0</v>
      </c>
      <c r="E2437" t="s">
        <v>2418</v>
      </c>
    </row>
    <row r="2438" spans="1:5">
      <c r="A2438">
        <f>HYPERLINK("http://www.twitter.com/nyc311/status/763042849956978688", "763042849956978688")</f>
        <v>0</v>
      </c>
      <c r="B2438" s="2">
        <v>42591.668587963</v>
      </c>
      <c r="C2438">
        <v>8</v>
      </c>
      <c r="D2438">
        <v>6</v>
      </c>
      <c r="E2438" t="s">
        <v>2419</v>
      </c>
    </row>
    <row r="2439" spans="1:5">
      <c r="A2439">
        <f>HYPERLINK("http://www.twitter.com/nyc311/status/763042059527782400", "763042059527782400")</f>
        <v>0</v>
      </c>
      <c r="B2439" s="2">
        <v>42591.666412037</v>
      </c>
      <c r="C2439">
        <v>1</v>
      </c>
      <c r="D2439">
        <v>0</v>
      </c>
      <c r="E2439" t="s">
        <v>2420</v>
      </c>
    </row>
    <row r="2440" spans="1:5">
      <c r="A2440">
        <f>HYPERLINK("http://www.twitter.com/nyc311/status/763032043001409536", "763032043001409536")</f>
        <v>0</v>
      </c>
      <c r="B2440" s="2">
        <v>42591.6387731481</v>
      </c>
      <c r="C2440">
        <v>0</v>
      </c>
      <c r="D2440">
        <v>0</v>
      </c>
      <c r="E2440" t="s">
        <v>2421</v>
      </c>
    </row>
    <row r="2441" spans="1:5">
      <c r="A2441">
        <f>HYPERLINK("http://www.twitter.com/nyc311/status/763014267574640640", "763014267574640640")</f>
        <v>0</v>
      </c>
      <c r="B2441" s="2">
        <v>42591.5897222222</v>
      </c>
      <c r="C2441">
        <v>0</v>
      </c>
      <c r="D2441">
        <v>0</v>
      </c>
      <c r="E2441" t="s">
        <v>2422</v>
      </c>
    </row>
    <row r="2442" spans="1:5">
      <c r="A2442">
        <f>HYPERLINK("http://www.twitter.com/nyc311/status/763013320672673793", "763013320672673793")</f>
        <v>0</v>
      </c>
      <c r="B2442" s="2">
        <v>42591.5871064815</v>
      </c>
      <c r="C2442">
        <v>0</v>
      </c>
      <c r="D2442">
        <v>0</v>
      </c>
      <c r="E2442" t="s">
        <v>2423</v>
      </c>
    </row>
    <row r="2443" spans="1:5">
      <c r="A2443">
        <f>HYPERLINK("http://www.twitter.com/nyc311/status/763012623315116032", "763012623315116032")</f>
        <v>0</v>
      </c>
      <c r="B2443" s="2">
        <v>42591.5851851852</v>
      </c>
      <c r="C2443">
        <v>3</v>
      </c>
      <c r="D2443">
        <v>5</v>
      </c>
      <c r="E2443" t="s">
        <v>2424</v>
      </c>
    </row>
    <row r="2444" spans="1:5">
      <c r="A2444">
        <f>HYPERLINK("http://www.twitter.com/nyc311/status/763011776824930304", "763011776824930304")</f>
        <v>0</v>
      </c>
      <c r="B2444" s="2">
        <v>42591.5828472222</v>
      </c>
      <c r="C2444">
        <v>0</v>
      </c>
      <c r="D2444">
        <v>0</v>
      </c>
      <c r="E2444" t="s">
        <v>2425</v>
      </c>
    </row>
    <row r="2445" spans="1:5">
      <c r="A2445">
        <f>HYPERLINK("http://www.twitter.com/nyc311/status/762740628484722688", "762740628484722688")</f>
        <v>0</v>
      </c>
      <c r="B2445" s="2">
        <v>42590.8346180556</v>
      </c>
      <c r="C2445">
        <v>0</v>
      </c>
      <c r="D2445">
        <v>0</v>
      </c>
      <c r="E2445" t="s">
        <v>2426</v>
      </c>
    </row>
    <row r="2446" spans="1:5">
      <c r="A2446">
        <f>HYPERLINK("http://www.twitter.com/nyc311/status/762730427857641472", "762730427857641472")</f>
        <v>0</v>
      </c>
      <c r="B2446" s="2">
        <v>42590.8064699074</v>
      </c>
      <c r="C2446">
        <v>0</v>
      </c>
      <c r="D2446">
        <v>0</v>
      </c>
      <c r="E2446" t="s">
        <v>2427</v>
      </c>
    </row>
    <row r="2447" spans="1:5">
      <c r="A2447">
        <f>HYPERLINK("http://www.twitter.com/nyc311/status/762710507182755841", "762710507182755841")</f>
        <v>0</v>
      </c>
      <c r="B2447" s="2">
        <v>42590.7515046296</v>
      </c>
      <c r="C2447">
        <v>6</v>
      </c>
      <c r="D2447">
        <v>5</v>
      </c>
      <c r="E2447" t="s">
        <v>2428</v>
      </c>
    </row>
    <row r="2448" spans="1:5">
      <c r="A2448">
        <f>HYPERLINK("http://www.twitter.com/nyc311/status/762702402030039040", "762702402030039040")</f>
        <v>0</v>
      </c>
      <c r="B2448" s="2">
        <v>42590.7291319444</v>
      </c>
      <c r="C2448">
        <v>1</v>
      </c>
      <c r="D2448">
        <v>0</v>
      </c>
      <c r="E2448" t="s">
        <v>2429</v>
      </c>
    </row>
    <row r="2449" spans="1:5">
      <c r="A2449">
        <f>HYPERLINK("http://www.twitter.com/nyc311/status/762687151343562752", "762687151343562752")</f>
        <v>0</v>
      </c>
      <c r="B2449" s="2">
        <v>42590.6870486111</v>
      </c>
      <c r="C2449">
        <v>1</v>
      </c>
      <c r="D2449">
        <v>0</v>
      </c>
      <c r="E2449" t="s">
        <v>2430</v>
      </c>
    </row>
    <row r="2450" spans="1:5">
      <c r="A2450">
        <f>HYPERLINK("http://www.twitter.com/nyc311/status/762686964374052865", "762686964374052865")</f>
        <v>0</v>
      </c>
      <c r="B2450" s="2">
        <v>42590.6865393519</v>
      </c>
      <c r="C2450">
        <v>0</v>
      </c>
      <c r="D2450">
        <v>0</v>
      </c>
      <c r="E2450" t="s">
        <v>2431</v>
      </c>
    </row>
    <row r="2451" spans="1:5">
      <c r="A2451">
        <f>HYPERLINK("http://www.twitter.com/nyc311/status/762685074567553025", "762685074567553025")</f>
        <v>0</v>
      </c>
      <c r="B2451" s="2">
        <v>42590.6813194444</v>
      </c>
      <c r="C2451">
        <v>0</v>
      </c>
      <c r="D2451">
        <v>0</v>
      </c>
      <c r="E2451" t="s">
        <v>2432</v>
      </c>
    </row>
    <row r="2452" spans="1:5">
      <c r="A2452">
        <f>HYPERLINK("http://www.twitter.com/nyc311/status/762684306011586560", "762684306011586560")</f>
        <v>0</v>
      </c>
      <c r="B2452" s="2">
        <v>42590.6792013889</v>
      </c>
      <c r="C2452">
        <v>1</v>
      </c>
      <c r="D2452">
        <v>0</v>
      </c>
      <c r="E2452" t="s">
        <v>2433</v>
      </c>
    </row>
    <row r="2453" spans="1:5">
      <c r="A2453">
        <f>HYPERLINK("http://www.twitter.com/nyc311/status/762680546061418496", "762680546061418496")</f>
        <v>0</v>
      </c>
      <c r="B2453" s="2">
        <v>42590.6688194444</v>
      </c>
      <c r="C2453">
        <v>5</v>
      </c>
      <c r="D2453">
        <v>3</v>
      </c>
      <c r="E2453" t="s">
        <v>2434</v>
      </c>
    </row>
    <row r="2454" spans="1:5">
      <c r="A2454">
        <f>HYPERLINK("http://www.twitter.com/nyc311/status/762679405906976768", "762679405906976768")</f>
        <v>0</v>
      </c>
      <c r="B2454" s="2">
        <v>42590.6656712963</v>
      </c>
      <c r="C2454">
        <v>1</v>
      </c>
      <c r="D2454">
        <v>0</v>
      </c>
      <c r="E2454" t="s">
        <v>2435</v>
      </c>
    </row>
    <row r="2455" spans="1:5">
      <c r="A2455">
        <f>HYPERLINK("http://www.twitter.com/nyc311/status/762679343499927554", "762679343499927554")</f>
        <v>0</v>
      </c>
      <c r="B2455" s="2">
        <v>42590.6655092593</v>
      </c>
      <c r="C2455">
        <v>0</v>
      </c>
      <c r="D2455">
        <v>0</v>
      </c>
      <c r="E2455" t="s">
        <v>2436</v>
      </c>
    </row>
    <row r="2456" spans="1:5">
      <c r="A2456">
        <f>HYPERLINK("http://www.twitter.com/nyc311/status/762678078778839040", "762678078778839040")</f>
        <v>0</v>
      </c>
      <c r="B2456" s="2">
        <v>42590.6620138889</v>
      </c>
      <c r="C2456">
        <v>0</v>
      </c>
      <c r="D2456">
        <v>0</v>
      </c>
      <c r="E2456" t="s">
        <v>2437</v>
      </c>
    </row>
    <row r="2457" spans="1:5">
      <c r="A2457">
        <f>HYPERLINK("http://www.twitter.com/nyc311/status/762677042223706112", "762677042223706112")</f>
        <v>0</v>
      </c>
      <c r="B2457" s="2">
        <v>42590.6591550926</v>
      </c>
      <c r="C2457">
        <v>0</v>
      </c>
      <c r="D2457">
        <v>0</v>
      </c>
      <c r="E2457" t="s">
        <v>2438</v>
      </c>
    </row>
    <row r="2458" spans="1:5">
      <c r="A2458">
        <f>HYPERLINK("http://www.twitter.com/nyc311/status/762675172813971457", "762675172813971457")</f>
        <v>0</v>
      </c>
      <c r="B2458" s="2">
        <v>42590.6539930556</v>
      </c>
      <c r="C2458">
        <v>0</v>
      </c>
      <c r="D2458">
        <v>0</v>
      </c>
      <c r="E2458" t="s">
        <v>2439</v>
      </c>
    </row>
    <row r="2459" spans="1:5">
      <c r="A2459">
        <f>HYPERLINK("http://www.twitter.com/nyc311/status/762673780191748097", "762673780191748097")</f>
        <v>0</v>
      </c>
      <c r="B2459" s="2">
        <v>42590.650150463</v>
      </c>
      <c r="C2459">
        <v>0</v>
      </c>
      <c r="D2459">
        <v>0</v>
      </c>
      <c r="E2459" t="s">
        <v>2440</v>
      </c>
    </row>
    <row r="2460" spans="1:5">
      <c r="A2460">
        <f>HYPERLINK("http://www.twitter.com/nyc311/status/762673381967880192", "762673381967880192")</f>
        <v>0</v>
      </c>
      <c r="B2460" s="2">
        <v>42590.6490509259</v>
      </c>
      <c r="C2460">
        <v>0</v>
      </c>
      <c r="D2460">
        <v>0</v>
      </c>
      <c r="E2460" t="s">
        <v>2441</v>
      </c>
    </row>
    <row r="2461" spans="1:5">
      <c r="A2461">
        <f>HYPERLINK("http://www.twitter.com/nyc311/status/762672599360999424", "762672599360999424")</f>
        <v>0</v>
      </c>
      <c r="B2461" s="2">
        <v>42590.6468981481</v>
      </c>
      <c r="C2461">
        <v>0</v>
      </c>
      <c r="D2461">
        <v>0</v>
      </c>
      <c r="E2461" t="s">
        <v>2442</v>
      </c>
    </row>
    <row r="2462" spans="1:5">
      <c r="A2462">
        <f>HYPERLINK("http://www.twitter.com/nyc311/status/762670559582941185", "762670559582941185")</f>
        <v>0</v>
      </c>
      <c r="B2462" s="2">
        <v>42590.6412615741</v>
      </c>
      <c r="C2462">
        <v>1</v>
      </c>
      <c r="D2462">
        <v>0</v>
      </c>
      <c r="E2462" t="s">
        <v>2443</v>
      </c>
    </row>
    <row r="2463" spans="1:5">
      <c r="A2463">
        <f>HYPERLINK("http://www.twitter.com/nyc311/status/762669889144389632", "762669889144389632")</f>
        <v>0</v>
      </c>
      <c r="B2463" s="2">
        <v>42590.6394097222</v>
      </c>
      <c r="C2463">
        <v>0</v>
      </c>
      <c r="D2463">
        <v>0</v>
      </c>
      <c r="E2463" t="s">
        <v>2444</v>
      </c>
    </row>
    <row r="2464" spans="1:5">
      <c r="A2464">
        <f>HYPERLINK("http://www.twitter.com/nyc311/status/762668539497119745", "762668539497119745")</f>
        <v>0</v>
      </c>
      <c r="B2464" s="2">
        <v>42590.6356944444</v>
      </c>
      <c r="C2464">
        <v>0</v>
      </c>
      <c r="D2464">
        <v>0</v>
      </c>
      <c r="E2464" t="s">
        <v>2445</v>
      </c>
    </row>
    <row r="2465" spans="1:5">
      <c r="A2465">
        <f>HYPERLINK("http://www.twitter.com/nyc311/status/762667944480505857", "762667944480505857")</f>
        <v>0</v>
      </c>
      <c r="B2465" s="2">
        <v>42590.6340509259</v>
      </c>
      <c r="C2465">
        <v>0</v>
      </c>
      <c r="D2465">
        <v>0</v>
      </c>
      <c r="E2465" t="s">
        <v>2446</v>
      </c>
    </row>
    <row r="2466" spans="1:5">
      <c r="A2466">
        <f>HYPERLINK("http://www.twitter.com/nyc311/status/762667634089402368", "762667634089402368")</f>
        <v>0</v>
      </c>
      <c r="B2466" s="2">
        <v>42590.6331944444</v>
      </c>
      <c r="C2466">
        <v>0</v>
      </c>
      <c r="D2466">
        <v>0</v>
      </c>
      <c r="E2466" t="s">
        <v>2447</v>
      </c>
    </row>
    <row r="2467" spans="1:5">
      <c r="A2467">
        <f>HYPERLINK("http://www.twitter.com/nyc311/status/762666985519972352", "762666985519972352")</f>
        <v>0</v>
      </c>
      <c r="B2467" s="2">
        <v>42590.631400463</v>
      </c>
      <c r="C2467">
        <v>0</v>
      </c>
      <c r="D2467">
        <v>0</v>
      </c>
      <c r="E2467" t="s">
        <v>2448</v>
      </c>
    </row>
    <row r="2468" spans="1:5">
      <c r="A2468">
        <f>HYPERLINK("http://www.twitter.com/nyc311/status/762665263905013760", "762665263905013760")</f>
        <v>0</v>
      </c>
      <c r="B2468" s="2">
        <v>42590.6266550926</v>
      </c>
      <c r="C2468">
        <v>5</v>
      </c>
      <c r="D2468">
        <v>12</v>
      </c>
      <c r="E2468" t="s">
        <v>2449</v>
      </c>
    </row>
    <row r="2469" spans="1:5">
      <c r="A2469">
        <f>HYPERLINK("http://www.twitter.com/nyc311/status/762663470114439168", "762663470114439168")</f>
        <v>0</v>
      </c>
      <c r="B2469" s="2">
        <v>42590.6217013889</v>
      </c>
      <c r="C2469">
        <v>0</v>
      </c>
      <c r="D2469">
        <v>0</v>
      </c>
      <c r="E2469" t="s">
        <v>2450</v>
      </c>
    </row>
    <row r="2470" spans="1:5">
      <c r="A2470">
        <f>HYPERLINK("http://www.twitter.com/nyc311/status/762662630507118592", "762662630507118592")</f>
        <v>0</v>
      </c>
      <c r="B2470" s="2">
        <v>42590.6193865741</v>
      </c>
      <c r="C2470">
        <v>1</v>
      </c>
      <c r="D2470">
        <v>0</v>
      </c>
      <c r="E2470" t="s">
        <v>2451</v>
      </c>
    </row>
    <row r="2471" spans="1:5">
      <c r="A2471">
        <f>HYPERLINK("http://www.twitter.com/nyc311/status/762659443335110656", "762659443335110656")</f>
        <v>0</v>
      </c>
      <c r="B2471" s="2">
        <v>42590.6105902778</v>
      </c>
      <c r="C2471">
        <v>0</v>
      </c>
      <c r="D2471">
        <v>0</v>
      </c>
      <c r="E2471" t="s">
        <v>2452</v>
      </c>
    </row>
    <row r="2472" spans="1:5">
      <c r="A2472">
        <f>HYPERLINK("http://www.twitter.com/nyc311/status/762655231138205696", "762655231138205696")</f>
        <v>0</v>
      </c>
      <c r="B2472" s="2">
        <v>42590.5989699074</v>
      </c>
      <c r="C2472">
        <v>0</v>
      </c>
      <c r="D2472">
        <v>0</v>
      </c>
      <c r="E2472" t="s">
        <v>2453</v>
      </c>
    </row>
    <row r="2473" spans="1:5">
      <c r="A2473">
        <f>HYPERLINK("http://www.twitter.com/nyc311/status/762651308251897856", "762651308251897856")</f>
        <v>0</v>
      </c>
      <c r="B2473" s="2">
        <v>42590.5881365741</v>
      </c>
      <c r="C2473">
        <v>3</v>
      </c>
      <c r="D2473">
        <v>0</v>
      </c>
      <c r="E2473" t="s">
        <v>2454</v>
      </c>
    </row>
    <row r="2474" spans="1:5">
      <c r="A2474">
        <f>HYPERLINK("http://www.twitter.com/nyc311/status/762650246291853312", "762650246291853312")</f>
        <v>0</v>
      </c>
      <c r="B2474" s="2">
        <v>42590.5852083333</v>
      </c>
      <c r="C2474">
        <v>1</v>
      </c>
      <c r="D2474">
        <v>4</v>
      </c>
      <c r="E2474" t="s">
        <v>294</v>
      </c>
    </row>
    <row r="2475" spans="1:5">
      <c r="A2475">
        <f>HYPERLINK("http://www.twitter.com/nyc311/status/762649181454557184", "762649181454557184")</f>
        <v>0</v>
      </c>
      <c r="B2475" s="2">
        <v>42590.5822685185</v>
      </c>
      <c r="C2475">
        <v>0</v>
      </c>
      <c r="D2475">
        <v>0</v>
      </c>
      <c r="E2475" t="s">
        <v>2455</v>
      </c>
    </row>
    <row r="2476" spans="1:5">
      <c r="A2476">
        <f>HYPERLINK("http://www.twitter.com/nyc311/status/762647497655418880", "762647497655418880")</f>
        <v>0</v>
      </c>
      <c r="B2476" s="2">
        <v>42590.5776273148</v>
      </c>
      <c r="C2476">
        <v>0</v>
      </c>
      <c r="D2476">
        <v>0</v>
      </c>
      <c r="E2476" t="s">
        <v>2456</v>
      </c>
    </row>
    <row r="2477" spans="1:5">
      <c r="A2477">
        <f>HYPERLINK("http://www.twitter.com/nyc311/status/762645416219475968", "762645416219475968")</f>
        <v>0</v>
      </c>
      <c r="B2477" s="2">
        <v>42590.5718865741</v>
      </c>
      <c r="C2477">
        <v>0</v>
      </c>
      <c r="D2477">
        <v>0</v>
      </c>
      <c r="E2477" t="s">
        <v>2457</v>
      </c>
    </row>
    <row r="2478" spans="1:5">
      <c r="A2478">
        <f>HYPERLINK("http://www.twitter.com/nyc311/status/762378161359314944", "762378161359314944")</f>
        <v>0</v>
      </c>
      <c r="B2478" s="2">
        <v>42589.8343981481</v>
      </c>
      <c r="C2478">
        <v>5</v>
      </c>
      <c r="D2478">
        <v>5</v>
      </c>
      <c r="E2478" t="s">
        <v>2458</v>
      </c>
    </row>
    <row r="2479" spans="1:5">
      <c r="A2479">
        <f>HYPERLINK("http://www.twitter.com/nyc311/status/762347963150659584", "762347963150659584")</f>
        <v>0</v>
      </c>
      <c r="B2479" s="2">
        <v>42589.7510648148</v>
      </c>
      <c r="C2479">
        <v>2</v>
      </c>
      <c r="D2479">
        <v>2</v>
      </c>
      <c r="E2479" t="s">
        <v>2459</v>
      </c>
    </row>
    <row r="2480" spans="1:5">
      <c r="A2480">
        <f>HYPERLINK("http://www.twitter.com/nyc311/status/762317864820940800", "762317864820940800")</f>
        <v>0</v>
      </c>
      <c r="B2480" s="2">
        <v>42589.6680092593</v>
      </c>
      <c r="C2480">
        <v>9</v>
      </c>
      <c r="D2480">
        <v>9</v>
      </c>
      <c r="E2480" t="s">
        <v>2460</v>
      </c>
    </row>
    <row r="2481" spans="1:5">
      <c r="A2481">
        <f>HYPERLINK("http://www.twitter.com/nyc311/status/762287606843502592", "762287606843502592")</f>
        <v>0</v>
      </c>
      <c r="B2481" s="2">
        <v>42589.5845138889</v>
      </c>
      <c r="C2481">
        <v>6</v>
      </c>
      <c r="D2481">
        <v>12</v>
      </c>
      <c r="E2481" t="s">
        <v>2461</v>
      </c>
    </row>
    <row r="2482" spans="1:5">
      <c r="A2482">
        <f>HYPERLINK("http://www.twitter.com/nyc311/status/762015783727792128", "762015783727792128")</f>
        <v>0</v>
      </c>
      <c r="B2482" s="2">
        <v>42588.8344328704</v>
      </c>
      <c r="C2482">
        <v>2</v>
      </c>
      <c r="D2482">
        <v>1</v>
      </c>
      <c r="E2482" t="s">
        <v>2462</v>
      </c>
    </row>
    <row r="2483" spans="1:5">
      <c r="A2483">
        <f>HYPERLINK("http://www.twitter.com/nyc311/status/761985661134143488", "761985661134143488")</f>
        <v>0</v>
      </c>
      <c r="B2483" s="2">
        <v>42588.7513078704</v>
      </c>
      <c r="C2483">
        <v>1</v>
      </c>
      <c r="D2483">
        <v>1</v>
      </c>
      <c r="E2483" t="s">
        <v>2463</v>
      </c>
    </row>
    <row r="2484" spans="1:5">
      <c r="A2484">
        <f>HYPERLINK("http://www.twitter.com/nyc311/status/761955576330977280", "761955576330977280")</f>
        <v>0</v>
      </c>
      <c r="B2484" s="2">
        <v>42588.668287037</v>
      </c>
      <c r="C2484">
        <v>2</v>
      </c>
      <c r="D2484">
        <v>5</v>
      </c>
      <c r="E2484" t="s">
        <v>2464</v>
      </c>
    </row>
    <row r="2485" spans="1:5">
      <c r="A2485">
        <f>HYPERLINK("http://www.twitter.com/nyc311/status/761925354885881856", "761925354885881856")</f>
        <v>0</v>
      </c>
      <c r="B2485" s="2">
        <v>42588.5848958333</v>
      </c>
      <c r="C2485">
        <v>8</v>
      </c>
      <c r="D2485">
        <v>9</v>
      </c>
      <c r="E2485" t="s">
        <v>2465</v>
      </c>
    </row>
    <row r="2486" spans="1:5">
      <c r="A2486">
        <f>HYPERLINK("http://www.twitter.com/nyc311/status/761661547194310656", "761661547194310656")</f>
        <v>0</v>
      </c>
      <c r="B2486" s="2">
        <v>42587.8569212963</v>
      </c>
      <c r="C2486">
        <v>0</v>
      </c>
      <c r="D2486">
        <v>0</v>
      </c>
      <c r="E2486" t="s">
        <v>2466</v>
      </c>
    </row>
    <row r="2487" spans="1:5">
      <c r="A2487">
        <f>HYPERLINK("http://www.twitter.com/nyc311/status/761653518780465154", "761653518780465154")</f>
        <v>0</v>
      </c>
      <c r="B2487" s="2">
        <v>42587.8347685185</v>
      </c>
      <c r="C2487">
        <v>4</v>
      </c>
      <c r="D2487">
        <v>0</v>
      </c>
      <c r="E2487" t="s">
        <v>2467</v>
      </c>
    </row>
    <row r="2488" spans="1:5">
      <c r="A2488">
        <f>HYPERLINK("http://www.twitter.com/nyc311/status/761643300851965952", "761643300851965952")</f>
        <v>0</v>
      </c>
      <c r="B2488" s="2">
        <v>42587.8065740741</v>
      </c>
      <c r="C2488">
        <v>0</v>
      </c>
      <c r="D2488">
        <v>0</v>
      </c>
      <c r="E2488" t="s">
        <v>2468</v>
      </c>
    </row>
    <row r="2489" spans="1:5">
      <c r="A2489">
        <f>HYPERLINK("http://www.twitter.com/nyc311/status/761634810657902593", "761634810657902593")</f>
        <v>0</v>
      </c>
      <c r="B2489" s="2">
        <v>42587.7831481481</v>
      </c>
      <c r="C2489">
        <v>0</v>
      </c>
      <c r="D2489">
        <v>0</v>
      </c>
      <c r="E2489" t="s">
        <v>2469</v>
      </c>
    </row>
    <row r="2490" spans="1:5">
      <c r="A2490">
        <f>HYPERLINK("http://www.twitter.com/nyc311/status/761634426111586304", "761634426111586304")</f>
        <v>0</v>
      </c>
      <c r="B2490" s="2">
        <v>42587.7820833333</v>
      </c>
      <c r="C2490">
        <v>0</v>
      </c>
      <c r="D2490">
        <v>0</v>
      </c>
      <c r="E2490" t="s">
        <v>2470</v>
      </c>
    </row>
    <row r="2491" spans="1:5">
      <c r="A2491">
        <f>HYPERLINK("http://www.twitter.com/nyc311/status/761623518551412736", "761623518551412736")</f>
        <v>0</v>
      </c>
      <c r="B2491" s="2">
        <v>42587.7519791667</v>
      </c>
      <c r="C2491">
        <v>8</v>
      </c>
      <c r="D2491">
        <v>4</v>
      </c>
      <c r="E2491" t="s">
        <v>2471</v>
      </c>
    </row>
    <row r="2492" spans="1:5">
      <c r="A2492">
        <f>HYPERLINK("http://www.twitter.com/nyc311/status/761605619262586880", "761605619262586880")</f>
        <v>0</v>
      </c>
      <c r="B2492" s="2">
        <v>42587.7025925926</v>
      </c>
      <c r="C2492">
        <v>0</v>
      </c>
      <c r="D2492">
        <v>0</v>
      </c>
      <c r="E2492" t="s">
        <v>2472</v>
      </c>
    </row>
    <row r="2493" spans="1:5">
      <c r="A2493">
        <f>HYPERLINK("http://www.twitter.com/nyc311/status/761605538333556736", "761605538333556736")</f>
        <v>0</v>
      </c>
      <c r="B2493" s="2">
        <v>42587.7023611111</v>
      </c>
      <c r="C2493">
        <v>0</v>
      </c>
      <c r="D2493">
        <v>0</v>
      </c>
      <c r="E2493" t="s">
        <v>2473</v>
      </c>
    </row>
    <row r="2494" spans="1:5">
      <c r="A2494">
        <f>HYPERLINK("http://www.twitter.com/nyc311/status/761600386331541504", "761600386331541504")</f>
        <v>0</v>
      </c>
      <c r="B2494" s="2">
        <v>42587.6881481481</v>
      </c>
      <c r="C2494">
        <v>0</v>
      </c>
      <c r="D2494">
        <v>0</v>
      </c>
      <c r="E2494" t="s">
        <v>2474</v>
      </c>
    </row>
    <row r="2495" spans="1:5">
      <c r="A2495">
        <f>HYPERLINK("http://www.twitter.com/nyc311/status/761593393612980224", "761593393612980224")</f>
        <v>0</v>
      </c>
      <c r="B2495" s="2">
        <v>42587.6688541667</v>
      </c>
      <c r="C2495">
        <v>2</v>
      </c>
      <c r="D2495">
        <v>3</v>
      </c>
      <c r="E2495" t="s">
        <v>2475</v>
      </c>
    </row>
    <row r="2496" spans="1:5">
      <c r="A2496">
        <f>HYPERLINK("http://www.twitter.com/nyc311/status/761583018511302656", "761583018511302656")</f>
        <v>0</v>
      </c>
      <c r="B2496" s="2">
        <v>42587.6402199074</v>
      </c>
      <c r="C2496">
        <v>0</v>
      </c>
      <c r="D2496">
        <v>0</v>
      </c>
      <c r="E2496" t="s">
        <v>2476</v>
      </c>
    </row>
    <row r="2497" spans="1:5">
      <c r="A2497">
        <f>HYPERLINK("http://www.twitter.com/nyc311/status/761581406631915522", "761581406631915522")</f>
        <v>0</v>
      </c>
      <c r="B2497" s="2">
        <v>42587.635775463</v>
      </c>
      <c r="C2497">
        <v>0</v>
      </c>
      <c r="D2497">
        <v>0</v>
      </c>
      <c r="E2497" t="s">
        <v>2477</v>
      </c>
    </row>
    <row r="2498" spans="1:5">
      <c r="A2498">
        <f>HYPERLINK("http://www.twitter.com/nyc311/status/761578959251341312", "761578959251341312")</f>
        <v>0</v>
      </c>
      <c r="B2498" s="2">
        <v>42587.6290162037</v>
      </c>
      <c r="C2498">
        <v>0</v>
      </c>
      <c r="D2498">
        <v>0</v>
      </c>
      <c r="E2498" t="s">
        <v>2478</v>
      </c>
    </row>
    <row r="2499" spans="1:5">
      <c r="A2499">
        <f>HYPERLINK("http://www.twitter.com/nyc311/status/761578744893083648", "761578744893083648")</f>
        <v>0</v>
      </c>
      <c r="B2499" s="2">
        <v>42587.6284259259</v>
      </c>
      <c r="C2499">
        <v>0</v>
      </c>
      <c r="D2499">
        <v>0</v>
      </c>
      <c r="E2499" t="s">
        <v>2479</v>
      </c>
    </row>
    <row r="2500" spans="1:5">
      <c r="A2500">
        <f>HYPERLINK("http://www.twitter.com/nyc311/status/761577901384949760", "761577901384949760")</f>
        <v>0</v>
      </c>
      <c r="B2500" s="2">
        <v>42587.626099537</v>
      </c>
      <c r="C2500">
        <v>0</v>
      </c>
      <c r="D2500">
        <v>0</v>
      </c>
      <c r="E2500" t="s">
        <v>2480</v>
      </c>
    </row>
    <row r="2501" spans="1:5">
      <c r="A2501">
        <f>HYPERLINK("http://www.twitter.com/nyc311/status/761577346734362624", "761577346734362624")</f>
        <v>0</v>
      </c>
      <c r="B2501" s="2">
        <v>42587.6245717593</v>
      </c>
      <c r="C2501">
        <v>0</v>
      </c>
      <c r="D2501">
        <v>0</v>
      </c>
      <c r="E2501" t="s">
        <v>2481</v>
      </c>
    </row>
    <row r="2502" spans="1:5">
      <c r="A2502">
        <f>HYPERLINK("http://www.twitter.com/nyc311/status/761577223656710144", "761577223656710144")</f>
        <v>0</v>
      </c>
      <c r="B2502" s="2">
        <v>42587.6242361111</v>
      </c>
      <c r="C2502">
        <v>0</v>
      </c>
      <c r="D2502">
        <v>0</v>
      </c>
      <c r="E2502" t="s">
        <v>2482</v>
      </c>
    </row>
    <row r="2503" spans="1:5">
      <c r="A2503">
        <f>HYPERLINK("http://www.twitter.com/nyc311/status/761574211076915200", "761574211076915200")</f>
        <v>0</v>
      </c>
      <c r="B2503" s="2">
        <v>42587.6159143519</v>
      </c>
      <c r="C2503">
        <v>0</v>
      </c>
      <c r="D2503">
        <v>0</v>
      </c>
      <c r="E2503" t="s">
        <v>2483</v>
      </c>
    </row>
    <row r="2504" spans="1:5">
      <c r="A2504">
        <f>HYPERLINK("http://www.twitter.com/nyc311/status/761568528390553600", "761568528390553600")</f>
        <v>0</v>
      </c>
      <c r="B2504" s="2">
        <v>42587.6002430556</v>
      </c>
      <c r="C2504">
        <v>0</v>
      </c>
      <c r="D2504">
        <v>1</v>
      </c>
      <c r="E2504" t="s">
        <v>2484</v>
      </c>
    </row>
    <row r="2505" spans="1:5">
      <c r="A2505">
        <f>HYPERLINK("http://www.twitter.com/nyc311/status/761567843494264832", "761567843494264832")</f>
        <v>0</v>
      </c>
      <c r="B2505" s="2">
        <v>42587.5983449074</v>
      </c>
      <c r="C2505">
        <v>0</v>
      </c>
      <c r="D2505">
        <v>0</v>
      </c>
      <c r="E2505" t="s">
        <v>2485</v>
      </c>
    </row>
    <row r="2506" spans="1:5">
      <c r="A2506">
        <f>HYPERLINK("http://www.twitter.com/nyc311/status/761567523649232896", "761567523649232896")</f>
        <v>0</v>
      </c>
      <c r="B2506" s="2">
        <v>42587.5974652778</v>
      </c>
      <c r="C2506">
        <v>0</v>
      </c>
      <c r="D2506">
        <v>0</v>
      </c>
      <c r="E2506" t="s">
        <v>2486</v>
      </c>
    </row>
    <row r="2507" spans="1:5">
      <c r="A2507">
        <f>HYPERLINK("http://www.twitter.com/nyc311/status/761566373244002304", "761566373244002304")</f>
        <v>0</v>
      </c>
      <c r="B2507" s="2">
        <v>42587.5942939815</v>
      </c>
      <c r="C2507">
        <v>3</v>
      </c>
      <c r="D2507">
        <v>0</v>
      </c>
      <c r="E2507" t="s">
        <v>2487</v>
      </c>
    </row>
    <row r="2508" spans="1:5">
      <c r="A2508">
        <f>HYPERLINK("http://www.twitter.com/nyc311/status/761565256053325825", "761565256053325825")</f>
        <v>0</v>
      </c>
      <c r="B2508" s="2">
        <v>42587.5912037037</v>
      </c>
      <c r="C2508">
        <v>0</v>
      </c>
      <c r="D2508">
        <v>0</v>
      </c>
      <c r="E2508" t="s">
        <v>2488</v>
      </c>
    </row>
    <row r="2509" spans="1:5">
      <c r="A2509">
        <f>HYPERLINK("http://www.twitter.com/nyc311/status/761563092035760128", "761563092035760128")</f>
        <v>0</v>
      </c>
      <c r="B2509" s="2">
        <v>42587.5852314815</v>
      </c>
      <c r="C2509">
        <v>5</v>
      </c>
      <c r="D2509">
        <v>4</v>
      </c>
      <c r="E2509" t="s">
        <v>2489</v>
      </c>
    </row>
    <row r="2510" spans="1:5">
      <c r="A2510">
        <f>HYPERLINK("http://www.twitter.com/nyc311/status/761556528742723588", "761556528742723588")</f>
        <v>0</v>
      </c>
      <c r="B2510" s="2">
        <v>42587.5671296296</v>
      </c>
      <c r="C2510">
        <v>0</v>
      </c>
      <c r="D2510">
        <v>0</v>
      </c>
      <c r="E2510" t="s">
        <v>2490</v>
      </c>
    </row>
    <row r="2511" spans="1:5">
      <c r="A2511">
        <f>HYPERLINK("http://www.twitter.com/nyc311/status/761302940946751488", "761302940946751488")</f>
        <v>0</v>
      </c>
      <c r="B2511" s="2">
        <v>42586.8673611111</v>
      </c>
      <c r="C2511">
        <v>0</v>
      </c>
      <c r="D2511">
        <v>0</v>
      </c>
      <c r="E2511" t="s">
        <v>2491</v>
      </c>
    </row>
    <row r="2512" spans="1:5">
      <c r="A2512">
        <f>HYPERLINK("http://www.twitter.com/nyc311/status/761291172555943936", "761291172555943936")</f>
        <v>0</v>
      </c>
      <c r="B2512" s="2">
        <v>42586.8348842593</v>
      </c>
      <c r="C2512">
        <v>3</v>
      </c>
      <c r="D2512">
        <v>0</v>
      </c>
      <c r="E2512" t="s">
        <v>2492</v>
      </c>
    </row>
    <row r="2513" spans="1:5">
      <c r="A2513">
        <f>HYPERLINK("http://www.twitter.com/nyc311/status/761279215509594112", "761279215509594112")</f>
        <v>0</v>
      </c>
      <c r="B2513" s="2">
        <v>42586.8018865741</v>
      </c>
      <c r="C2513">
        <v>1</v>
      </c>
      <c r="D2513">
        <v>0</v>
      </c>
      <c r="E2513" t="s">
        <v>2493</v>
      </c>
    </row>
    <row r="2514" spans="1:5">
      <c r="A2514">
        <f>HYPERLINK("http://www.twitter.com/nyc311/status/761276326426898433", "761276326426898433")</f>
        <v>0</v>
      </c>
      <c r="B2514" s="2">
        <v>42586.793912037</v>
      </c>
      <c r="C2514">
        <v>2</v>
      </c>
      <c r="D2514">
        <v>4</v>
      </c>
      <c r="E2514" t="s">
        <v>2494</v>
      </c>
    </row>
    <row r="2515" spans="1:5">
      <c r="A2515">
        <f>HYPERLINK("http://www.twitter.com/nyc311/status/761270037130936320", "761270037130936320")</f>
        <v>0</v>
      </c>
      <c r="B2515" s="2">
        <v>42586.7765625</v>
      </c>
      <c r="C2515">
        <v>0</v>
      </c>
      <c r="D2515">
        <v>0</v>
      </c>
      <c r="E2515" t="s">
        <v>2495</v>
      </c>
    </row>
    <row r="2516" spans="1:5">
      <c r="A2516">
        <f>HYPERLINK("http://www.twitter.com/nyc311/status/761266172931244032", "761266172931244032")</f>
        <v>0</v>
      </c>
      <c r="B2516" s="2">
        <v>42586.7658912037</v>
      </c>
      <c r="C2516">
        <v>0</v>
      </c>
      <c r="D2516">
        <v>0</v>
      </c>
      <c r="E2516" t="s">
        <v>2496</v>
      </c>
    </row>
    <row r="2517" spans="1:5">
      <c r="A2517">
        <f>HYPERLINK("http://www.twitter.com/nyc311/status/761261007050252288", "761261007050252288")</f>
        <v>0</v>
      </c>
      <c r="B2517" s="2">
        <v>42586.7516435185</v>
      </c>
      <c r="C2517">
        <v>6</v>
      </c>
      <c r="D2517">
        <v>5</v>
      </c>
      <c r="E2517" t="s">
        <v>2497</v>
      </c>
    </row>
    <row r="2518" spans="1:5">
      <c r="A2518">
        <f>HYPERLINK("http://www.twitter.com/nyc311/status/761258692172013568", "761258692172013568")</f>
        <v>0</v>
      </c>
      <c r="B2518" s="2">
        <v>42586.7452546296</v>
      </c>
      <c r="C2518">
        <v>0</v>
      </c>
      <c r="D2518">
        <v>0</v>
      </c>
      <c r="E2518" t="s">
        <v>2498</v>
      </c>
    </row>
    <row r="2519" spans="1:5">
      <c r="A2519">
        <f>HYPERLINK("http://www.twitter.com/nyc311/status/761245940346920960", "761245940346920960")</f>
        <v>0</v>
      </c>
      <c r="B2519" s="2">
        <v>42586.7100694444</v>
      </c>
      <c r="C2519">
        <v>4</v>
      </c>
      <c r="D2519">
        <v>10</v>
      </c>
      <c r="E2519" t="s">
        <v>2499</v>
      </c>
    </row>
    <row r="2520" spans="1:5">
      <c r="A2520">
        <f>HYPERLINK("http://www.twitter.com/nyc311/status/761230430397927424", "761230430397927424")</f>
        <v>0</v>
      </c>
      <c r="B2520" s="2">
        <v>42586.6672685185</v>
      </c>
      <c r="C2520">
        <v>9</v>
      </c>
      <c r="D2520">
        <v>12</v>
      </c>
      <c r="E2520" t="s">
        <v>2500</v>
      </c>
    </row>
    <row r="2521" spans="1:5">
      <c r="A2521">
        <f>HYPERLINK("http://www.twitter.com/nyc311/status/761218806748442624", "761218806748442624")</f>
        <v>0</v>
      </c>
      <c r="B2521" s="2">
        <v>42586.6351851852</v>
      </c>
      <c r="C2521">
        <v>1</v>
      </c>
      <c r="D2521">
        <v>0</v>
      </c>
      <c r="E2521" t="s">
        <v>2501</v>
      </c>
    </row>
    <row r="2522" spans="1:5">
      <c r="A2522">
        <f>HYPERLINK("http://www.twitter.com/nyc311/status/761218425880453120", "761218425880453120")</f>
        <v>0</v>
      </c>
      <c r="B2522" s="2">
        <v>42586.6341435185</v>
      </c>
      <c r="C2522">
        <v>0</v>
      </c>
      <c r="D2522">
        <v>0</v>
      </c>
      <c r="E2522" t="s">
        <v>2502</v>
      </c>
    </row>
    <row r="2523" spans="1:5">
      <c r="A2523">
        <f>HYPERLINK("http://www.twitter.com/nyc311/status/761217899864391680", "761217899864391680")</f>
        <v>0</v>
      </c>
      <c r="B2523" s="2">
        <v>42586.6326851852</v>
      </c>
      <c r="C2523">
        <v>0</v>
      </c>
      <c r="D2523">
        <v>0</v>
      </c>
      <c r="E2523" t="s">
        <v>2503</v>
      </c>
    </row>
    <row r="2524" spans="1:5">
      <c r="A2524">
        <f>HYPERLINK("http://www.twitter.com/nyc311/status/761216323359764481", "761216323359764481")</f>
        <v>0</v>
      </c>
      <c r="B2524" s="2">
        <v>42586.6283333333</v>
      </c>
      <c r="C2524">
        <v>0</v>
      </c>
      <c r="D2524">
        <v>0</v>
      </c>
      <c r="E2524" t="s">
        <v>2504</v>
      </c>
    </row>
    <row r="2525" spans="1:5">
      <c r="A2525">
        <f>HYPERLINK("http://www.twitter.com/nyc311/status/761201850318192641", "761201850318192641")</f>
        <v>0</v>
      </c>
      <c r="B2525" s="2">
        <v>42586.5884027778</v>
      </c>
      <c r="C2525">
        <v>0</v>
      </c>
      <c r="D2525">
        <v>0</v>
      </c>
      <c r="E2525" t="s">
        <v>2505</v>
      </c>
    </row>
    <row r="2526" spans="1:5">
      <c r="A2526">
        <f>HYPERLINK("http://www.twitter.com/nyc311/status/761200716887261184", "761200716887261184")</f>
        <v>0</v>
      </c>
      <c r="B2526" s="2">
        <v>42586.5852662037</v>
      </c>
      <c r="C2526">
        <v>6</v>
      </c>
      <c r="D2526">
        <v>2</v>
      </c>
      <c r="E2526" t="s">
        <v>2506</v>
      </c>
    </row>
    <row r="2527" spans="1:5">
      <c r="A2527">
        <f>HYPERLINK("http://www.twitter.com/nyc311/status/760941389358174208", "760941389358174208")</f>
        <v>0</v>
      </c>
      <c r="B2527" s="2">
        <v>42585.8696643518</v>
      </c>
      <c r="C2527">
        <v>0</v>
      </c>
      <c r="D2527">
        <v>0</v>
      </c>
      <c r="E2527" t="s">
        <v>2507</v>
      </c>
    </row>
    <row r="2528" spans="1:5">
      <c r="A2528">
        <f>HYPERLINK("http://www.twitter.com/nyc311/status/760940350076747776", "760940350076747776")</f>
        <v>0</v>
      </c>
      <c r="B2528" s="2">
        <v>42585.8667939815</v>
      </c>
      <c r="C2528">
        <v>1</v>
      </c>
      <c r="D2528">
        <v>0</v>
      </c>
      <c r="E2528" t="s">
        <v>2508</v>
      </c>
    </row>
    <row r="2529" spans="1:5">
      <c r="A2529">
        <f>HYPERLINK("http://www.twitter.com/nyc311/status/760940296154804225", "760940296154804225")</f>
        <v>0</v>
      </c>
      <c r="B2529" s="2">
        <v>42585.8666435185</v>
      </c>
      <c r="C2529">
        <v>0</v>
      </c>
      <c r="D2529">
        <v>3</v>
      </c>
      <c r="E2529" t="s">
        <v>2509</v>
      </c>
    </row>
    <row r="2530" spans="1:5">
      <c r="A2530">
        <f>HYPERLINK("http://www.twitter.com/nyc311/status/760928798879707136", "760928798879707136")</f>
        <v>0</v>
      </c>
      <c r="B2530" s="2">
        <v>42585.8349189815</v>
      </c>
      <c r="C2530">
        <v>1</v>
      </c>
      <c r="D2530">
        <v>1</v>
      </c>
      <c r="E2530" t="s">
        <v>2510</v>
      </c>
    </row>
    <row r="2531" spans="1:5">
      <c r="A2531">
        <f>HYPERLINK("http://www.twitter.com/nyc311/status/760899403750182914", "760899403750182914")</f>
        <v>0</v>
      </c>
      <c r="B2531" s="2">
        <v>42585.7538078704</v>
      </c>
      <c r="C2531">
        <v>2</v>
      </c>
      <c r="D2531">
        <v>2</v>
      </c>
      <c r="E2531" t="s">
        <v>2511</v>
      </c>
    </row>
    <row r="2532" spans="1:5">
      <c r="A2532">
        <f>HYPERLINK("http://www.twitter.com/nyc311/status/760889501271126017", "760889501271126017")</f>
        <v>0</v>
      </c>
      <c r="B2532" s="2">
        <v>42585.7264814815</v>
      </c>
      <c r="C2532">
        <v>1</v>
      </c>
      <c r="D2532">
        <v>0</v>
      </c>
      <c r="E2532" t="s">
        <v>2512</v>
      </c>
    </row>
    <row r="2533" spans="1:5">
      <c r="A2533">
        <f>HYPERLINK("http://www.twitter.com/nyc311/status/760877645177454594", "760877645177454594")</f>
        <v>0</v>
      </c>
      <c r="B2533" s="2">
        <v>42585.6937615741</v>
      </c>
      <c r="C2533">
        <v>0</v>
      </c>
      <c r="D2533">
        <v>0</v>
      </c>
      <c r="E2533" t="s">
        <v>2513</v>
      </c>
    </row>
    <row r="2534" spans="1:5">
      <c r="A2534">
        <f>HYPERLINK("http://www.twitter.com/nyc311/status/760875848069099520", "760875848069099520")</f>
        <v>0</v>
      </c>
      <c r="B2534" s="2">
        <v>42585.6888078704</v>
      </c>
      <c r="C2534">
        <v>0</v>
      </c>
      <c r="D2534">
        <v>0</v>
      </c>
      <c r="E2534" t="s">
        <v>2514</v>
      </c>
    </row>
    <row r="2535" spans="1:5">
      <c r="A2535">
        <f>HYPERLINK("http://www.twitter.com/nyc311/status/760868592632131584", "760868592632131584")</f>
        <v>0</v>
      </c>
      <c r="B2535" s="2">
        <v>42585.6687847222</v>
      </c>
      <c r="C2535">
        <v>2</v>
      </c>
      <c r="D2535">
        <v>1</v>
      </c>
      <c r="E2535" t="s">
        <v>2515</v>
      </c>
    </row>
    <row r="2536" spans="1:5">
      <c r="A2536">
        <f>HYPERLINK("http://www.twitter.com/nyc311/status/760866972905201664", "760866972905201664")</f>
        <v>0</v>
      </c>
      <c r="B2536" s="2">
        <v>42585.6643171296</v>
      </c>
      <c r="C2536">
        <v>0</v>
      </c>
      <c r="D2536">
        <v>0</v>
      </c>
      <c r="E2536" t="s">
        <v>2516</v>
      </c>
    </row>
    <row r="2537" spans="1:5">
      <c r="A2537">
        <f>HYPERLINK("http://www.twitter.com/nyc311/status/760854373325008896", "760854373325008896")</f>
        <v>0</v>
      </c>
      <c r="B2537" s="2">
        <v>42585.6295486111</v>
      </c>
      <c r="C2537">
        <v>0</v>
      </c>
      <c r="D2537">
        <v>0</v>
      </c>
      <c r="E2537" t="s">
        <v>2517</v>
      </c>
    </row>
    <row r="2538" spans="1:5">
      <c r="A2538">
        <f>HYPERLINK("http://www.twitter.com/nyc311/status/760853084373409792", "760853084373409792")</f>
        <v>0</v>
      </c>
      <c r="B2538" s="2">
        <v>42585.6259837963</v>
      </c>
      <c r="C2538">
        <v>0</v>
      </c>
      <c r="D2538">
        <v>0</v>
      </c>
      <c r="E2538" t="s">
        <v>2518</v>
      </c>
    </row>
    <row r="2539" spans="1:5">
      <c r="A2539">
        <f>HYPERLINK("http://www.twitter.com/nyc311/status/760842119720435712", "760842119720435712")</f>
        <v>0</v>
      </c>
      <c r="B2539" s="2">
        <v>42585.5957291667</v>
      </c>
      <c r="C2539">
        <v>0</v>
      </c>
      <c r="D2539">
        <v>0</v>
      </c>
      <c r="E2539" t="s">
        <v>2519</v>
      </c>
    </row>
    <row r="2540" spans="1:5">
      <c r="A2540">
        <f>HYPERLINK("http://www.twitter.com/nyc311/status/760838698590146560", "760838698590146560")</f>
        <v>0</v>
      </c>
      <c r="B2540" s="2">
        <v>42585.5862962963</v>
      </c>
      <c r="C2540">
        <v>3</v>
      </c>
      <c r="D2540">
        <v>2</v>
      </c>
      <c r="E2540" t="s">
        <v>2520</v>
      </c>
    </row>
    <row r="2541" spans="1:5">
      <c r="A2541">
        <f>HYPERLINK("http://www.twitter.com/nyc311/status/760581120996077570", "760581120996077570")</f>
        <v>0</v>
      </c>
      <c r="B2541" s="2">
        <v>42584.8755092593</v>
      </c>
      <c r="C2541">
        <v>0</v>
      </c>
      <c r="D2541">
        <v>0</v>
      </c>
      <c r="E2541" t="s">
        <v>2521</v>
      </c>
    </row>
    <row r="2542" spans="1:5">
      <c r="A2542">
        <f>HYPERLINK("http://www.twitter.com/nyc311/status/760566365950443521", "760566365950443521")</f>
        <v>0</v>
      </c>
      <c r="B2542" s="2">
        <v>42584.8347916667</v>
      </c>
      <c r="C2542">
        <v>0</v>
      </c>
      <c r="D2542">
        <v>0</v>
      </c>
      <c r="E2542" t="s">
        <v>295</v>
      </c>
    </row>
    <row r="2543" spans="1:5">
      <c r="A2543">
        <f>HYPERLINK("http://www.twitter.com/nyc311/status/760543456171266048", "760543456171266048")</f>
        <v>0</v>
      </c>
      <c r="B2543" s="2">
        <v>42584.7715740741</v>
      </c>
      <c r="C2543">
        <v>0</v>
      </c>
      <c r="D2543">
        <v>0</v>
      </c>
      <c r="E2543" t="s">
        <v>2522</v>
      </c>
    </row>
    <row r="2544" spans="1:5">
      <c r="A2544">
        <f>HYPERLINK("http://www.twitter.com/nyc311/status/760536139900063748", "760536139900063748")</f>
        <v>0</v>
      </c>
      <c r="B2544" s="2">
        <v>42584.7513888889</v>
      </c>
      <c r="C2544">
        <v>2</v>
      </c>
      <c r="D2544">
        <v>4</v>
      </c>
      <c r="E2544" t="s">
        <v>2523</v>
      </c>
    </row>
    <row r="2545" spans="1:5">
      <c r="A2545">
        <f>HYPERLINK("http://www.twitter.com/nyc311/status/760516947910004737", "760516947910004737")</f>
        <v>0</v>
      </c>
      <c r="B2545" s="2">
        <v>42584.6984259259</v>
      </c>
      <c r="C2545">
        <v>0</v>
      </c>
      <c r="D2545">
        <v>0</v>
      </c>
      <c r="E2545" t="s">
        <v>2524</v>
      </c>
    </row>
    <row r="2546" spans="1:5">
      <c r="A2546">
        <f>HYPERLINK("http://www.twitter.com/nyc311/status/760516758277070848", "760516758277070848")</f>
        <v>0</v>
      </c>
      <c r="B2546" s="2">
        <v>42584.6979050926</v>
      </c>
      <c r="C2546">
        <v>0</v>
      </c>
      <c r="D2546">
        <v>0</v>
      </c>
      <c r="E2546" t="s">
        <v>2525</v>
      </c>
    </row>
    <row r="2547" spans="1:5">
      <c r="A2547">
        <f>HYPERLINK("http://www.twitter.com/nyc311/status/760506172210290689", "760506172210290689")</f>
        <v>0</v>
      </c>
      <c r="B2547" s="2">
        <v>42584.6686921296</v>
      </c>
      <c r="C2547">
        <v>6</v>
      </c>
      <c r="D2547">
        <v>8</v>
      </c>
      <c r="E2547" t="s">
        <v>2102</v>
      </c>
    </row>
    <row r="2548" spans="1:5">
      <c r="A2548">
        <f>HYPERLINK("http://www.twitter.com/nyc311/status/760505864071634948", "760505864071634948")</f>
        <v>0</v>
      </c>
      <c r="B2548" s="2">
        <v>42584.6678472222</v>
      </c>
      <c r="C2548">
        <v>0</v>
      </c>
      <c r="D2548">
        <v>0</v>
      </c>
      <c r="E2548" t="s">
        <v>2526</v>
      </c>
    </row>
    <row r="2549" spans="1:5">
      <c r="A2549">
        <f>HYPERLINK("http://www.twitter.com/nyc311/status/760504026874118145", "760504026874118145")</f>
        <v>0</v>
      </c>
      <c r="B2549" s="2">
        <v>42584.6627777778</v>
      </c>
      <c r="C2549">
        <v>1</v>
      </c>
      <c r="D2549">
        <v>0</v>
      </c>
      <c r="E2549" t="s">
        <v>2527</v>
      </c>
    </row>
    <row r="2550" spans="1:5">
      <c r="A2550">
        <f>HYPERLINK("http://www.twitter.com/nyc311/status/760497941777944580", "760497941777944580")</f>
        <v>0</v>
      </c>
      <c r="B2550" s="2">
        <v>42584.6459837963</v>
      </c>
      <c r="C2550">
        <v>0</v>
      </c>
      <c r="D2550">
        <v>0</v>
      </c>
      <c r="E2550" t="s">
        <v>2528</v>
      </c>
    </row>
    <row r="2551" spans="1:5">
      <c r="A2551">
        <f>HYPERLINK("http://www.twitter.com/nyc311/status/760480304243023873", "760480304243023873")</f>
        <v>0</v>
      </c>
      <c r="B2551" s="2">
        <v>42584.5973148148</v>
      </c>
      <c r="C2551">
        <v>0</v>
      </c>
      <c r="D2551">
        <v>0</v>
      </c>
      <c r="E2551" t="s">
        <v>2529</v>
      </c>
    </row>
    <row r="2552" spans="1:5">
      <c r="A2552">
        <f>HYPERLINK("http://www.twitter.com/nyc311/status/760478422451818496", "760478422451818496")</f>
        <v>0</v>
      </c>
      <c r="B2552" s="2">
        <v>42584.5921180556</v>
      </c>
      <c r="C2552">
        <v>0</v>
      </c>
      <c r="D2552">
        <v>0</v>
      </c>
      <c r="E2552" t="s">
        <v>2530</v>
      </c>
    </row>
    <row r="2553" spans="1:5">
      <c r="A2553">
        <f>HYPERLINK("http://www.twitter.com/nyc311/status/760476779194843136", "760476779194843136")</f>
        <v>0</v>
      </c>
      <c r="B2553" s="2">
        <v>42584.5875810185</v>
      </c>
      <c r="C2553">
        <v>0</v>
      </c>
      <c r="D2553">
        <v>0</v>
      </c>
      <c r="E2553" t="s">
        <v>2531</v>
      </c>
    </row>
    <row r="2554" spans="1:5">
      <c r="A2554">
        <f>HYPERLINK("http://www.twitter.com/nyc311/status/760476611661664256", "760476611661664256")</f>
        <v>0</v>
      </c>
      <c r="B2554" s="2">
        <v>42584.5871180556</v>
      </c>
      <c r="C2554">
        <v>0</v>
      </c>
      <c r="D2554">
        <v>0</v>
      </c>
      <c r="E2554" t="s">
        <v>2532</v>
      </c>
    </row>
    <row r="2555" spans="1:5">
      <c r="A2555">
        <f>HYPERLINK("http://www.twitter.com/nyc311/status/760475807793999872", "760475807793999872")</f>
        <v>0</v>
      </c>
      <c r="B2555" s="2">
        <v>42584.5849074074</v>
      </c>
      <c r="C2555">
        <v>19</v>
      </c>
      <c r="D2555">
        <v>18</v>
      </c>
      <c r="E2555" t="s">
        <v>2533</v>
      </c>
    </row>
    <row r="2556" spans="1:5">
      <c r="A2556">
        <f>HYPERLINK("http://www.twitter.com/nyc311/status/760218935887273984", "760218935887273984")</f>
        <v>0</v>
      </c>
      <c r="B2556" s="2">
        <v>42583.8760763889</v>
      </c>
      <c r="C2556">
        <v>1</v>
      </c>
      <c r="D2556">
        <v>1</v>
      </c>
      <c r="E2556" t="s">
        <v>2534</v>
      </c>
    </row>
    <row r="2557" spans="1:5">
      <c r="A2557">
        <f>HYPERLINK("http://www.twitter.com/nyc311/status/760203972229599232", "760203972229599232")</f>
        <v>0</v>
      </c>
      <c r="B2557" s="2">
        <v>42583.8347800926</v>
      </c>
      <c r="C2557">
        <v>4</v>
      </c>
      <c r="D2557">
        <v>3</v>
      </c>
      <c r="E2557" t="s">
        <v>2535</v>
      </c>
    </row>
    <row r="2558" spans="1:5">
      <c r="A2558">
        <f>HYPERLINK("http://www.twitter.com/nyc311/status/760196642293383168", "760196642293383168")</f>
        <v>0</v>
      </c>
      <c r="B2558" s="2">
        <v>42583.8145486111</v>
      </c>
      <c r="C2558">
        <v>0</v>
      </c>
      <c r="D2558">
        <v>0</v>
      </c>
      <c r="E2558" t="s">
        <v>2536</v>
      </c>
    </row>
    <row r="2559" spans="1:5">
      <c r="A2559">
        <f>HYPERLINK("http://www.twitter.com/nyc311/status/760173830161784832", "760173830161784832")</f>
        <v>0</v>
      </c>
      <c r="B2559" s="2">
        <v>42583.7516087963</v>
      </c>
      <c r="C2559">
        <v>5</v>
      </c>
      <c r="D2559">
        <v>2</v>
      </c>
      <c r="E2559" t="s">
        <v>2537</v>
      </c>
    </row>
    <row r="2560" spans="1:5">
      <c r="A2560">
        <f>HYPERLINK("http://www.twitter.com/nyc311/status/760158363095302144", "760158363095302144")</f>
        <v>0</v>
      </c>
      <c r="B2560" s="2">
        <v>42583.7089236111</v>
      </c>
      <c r="C2560">
        <v>5</v>
      </c>
      <c r="D2560">
        <v>7</v>
      </c>
      <c r="E2560" t="s">
        <v>2538</v>
      </c>
    </row>
    <row r="2561" spans="1:5">
      <c r="A2561">
        <f>HYPERLINK("http://www.twitter.com/nyc311/status/760143792506859521", "760143792506859521")</f>
        <v>0</v>
      </c>
      <c r="B2561" s="2">
        <v>42583.6687152778</v>
      </c>
      <c r="C2561">
        <v>4</v>
      </c>
      <c r="D2561">
        <v>1</v>
      </c>
      <c r="E2561" t="s">
        <v>2539</v>
      </c>
    </row>
    <row r="2562" spans="1:5">
      <c r="A2562">
        <f>HYPERLINK("http://www.twitter.com/nyc311/status/760133412556505088", "760133412556505088")</f>
        <v>0</v>
      </c>
      <c r="B2562" s="2">
        <v>42583.6400694444</v>
      </c>
      <c r="C2562">
        <v>0</v>
      </c>
      <c r="D2562">
        <v>0</v>
      </c>
      <c r="E2562" t="s">
        <v>2540</v>
      </c>
    </row>
    <row r="2563" spans="1:5">
      <c r="A2563">
        <f>HYPERLINK("http://www.twitter.com/nyc311/status/760131244340502528", "760131244340502528")</f>
        <v>0</v>
      </c>
      <c r="B2563" s="2">
        <v>42583.6340856481</v>
      </c>
      <c r="C2563">
        <v>0</v>
      </c>
      <c r="D2563">
        <v>0</v>
      </c>
      <c r="E2563" t="s">
        <v>2541</v>
      </c>
    </row>
    <row r="2564" spans="1:5">
      <c r="A2564">
        <f>HYPERLINK("http://www.twitter.com/nyc311/status/760130983945437185", "760130983945437185")</f>
        <v>0</v>
      </c>
      <c r="B2564" s="2">
        <v>42583.6333680556</v>
      </c>
      <c r="C2564">
        <v>0</v>
      </c>
      <c r="D2564">
        <v>0</v>
      </c>
      <c r="E2564" t="s">
        <v>2542</v>
      </c>
    </row>
    <row r="2565" spans="1:5">
      <c r="A2565">
        <f>HYPERLINK("http://www.twitter.com/nyc311/status/760129173302173697", "760129173302173697")</f>
        <v>0</v>
      </c>
      <c r="B2565" s="2">
        <v>42583.6283796296</v>
      </c>
      <c r="C2565">
        <v>0</v>
      </c>
      <c r="D2565">
        <v>0</v>
      </c>
      <c r="E2565" t="s">
        <v>2543</v>
      </c>
    </row>
    <row r="2566" spans="1:5">
      <c r="A2566">
        <f>HYPERLINK("http://www.twitter.com/nyc311/status/760128849862680576", "760128849862680576")</f>
        <v>0</v>
      </c>
      <c r="B2566" s="2">
        <v>42583.6274768518</v>
      </c>
      <c r="C2566">
        <v>0</v>
      </c>
      <c r="D2566">
        <v>0</v>
      </c>
      <c r="E2566" t="s">
        <v>2544</v>
      </c>
    </row>
    <row r="2567" spans="1:5">
      <c r="A2567">
        <f>HYPERLINK("http://www.twitter.com/nyc311/status/760128277436571648", "760128277436571648")</f>
        <v>0</v>
      </c>
      <c r="B2567" s="2">
        <v>42583.6259027778</v>
      </c>
      <c r="C2567">
        <v>0</v>
      </c>
      <c r="D2567">
        <v>0</v>
      </c>
      <c r="E2567" t="s">
        <v>2545</v>
      </c>
    </row>
    <row r="2568" spans="1:5">
      <c r="A2568">
        <f>HYPERLINK("http://www.twitter.com/nyc311/status/760124652224122880", "760124652224122880")</f>
        <v>0</v>
      </c>
      <c r="B2568" s="2">
        <v>42583.6159027778</v>
      </c>
      <c r="C2568">
        <v>0</v>
      </c>
      <c r="D2568">
        <v>0</v>
      </c>
      <c r="E2568" t="s">
        <v>2546</v>
      </c>
    </row>
    <row r="2569" spans="1:5">
      <c r="A2569">
        <f>HYPERLINK("http://www.twitter.com/nyc311/status/760124411022311424", "760124411022311424")</f>
        <v>0</v>
      </c>
      <c r="B2569" s="2">
        <v>42583.6152314815</v>
      </c>
      <c r="C2569">
        <v>0</v>
      </c>
      <c r="D2569">
        <v>0</v>
      </c>
      <c r="E2569" t="s">
        <v>2547</v>
      </c>
    </row>
    <row r="2570" spans="1:5">
      <c r="A2570">
        <f>HYPERLINK("http://www.twitter.com/nyc311/status/760123691120328704", "760123691120328704")</f>
        <v>0</v>
      </c>
      <c r="B2570" s="2">
        <v>42583.6132523148</v>
      </c>
      <c r="C2570">
        <v>0</v>
      </c>
      <c r="D2570">
        <v>0</v>
      </c>
      <c r="E2570" t="s">
        <v>2548</v>
      </c>
    </row>
    <row r="2571" spans="1:5">
      <c r="A2571">
        <f>HYPERLINK("http://www.twitter.com/nyc311/status/760123414979964929", "760123414979964929")</f>
        <v>0</v>
      </c>
      <c r="B2571" s="2">
        <v>42583.6124884259</v>
      </c>
      <c r="C2571">
        <v>1</v>
      </c>
      <c r="D2571">
        <v>0</v>
      </c>
      <c r="E2571" t="s">
        <v>2549</v>
      </c>
    </row>
    <row r="2572" spans="1:5">
      <c r="A2572">
        <f>HYPERLINK("http://www.twitter.com/nyc311/status/760123106329526272", "760123106329526272")</f>
        <v>0</v>
      </c>
      <c r="B2572" s="2">
        <v>42583.6116319444</v>
      </c>
      <c r="C2572">
        <v>0</v>
      </c>
      <c r="D2572">
        <v>0</v>
      </c>
      <c r="E2572" t="s">
        <v>2550</v>
      </c>
    </row>
    <row r="2573" spans="1:5">
      <c r="A2573">
        <f>HYPERLINK("http://www.twitter.com/nyc311/status/760122602547507200", "760122602547507200")</f>
        <v>0</v>
      </c>
      <c r="B2573" s="2">
        <v>42583.6102430556</v>
      </c>
      <c r="C2573">
        <v>0</v>
      </c>
      <c r="D2573">
        <v>0</v>
      </c>
      <c r="E2573" t="s">
        <v>2551</v>
      </c>
    </row>
    <row r="2574" spans="1:5">
      <c r="A2574">
        <f>HYPERLINK("http://www.twitter.com/nyc311/status/760122484926586880", "760122484926586880")</f>
        <v>0</v>
      </c>
      <c r="B2574" s="2">
        <v>42583.6099189815</v>
      </c>
      <c r="C2574">
        <v>0</v>
      </c>
      <c r="D2574">
        <v>0</v>
      </c>
      <c r="E2574" t="s">
        <v>2552</v>
      </c>
    </row>
    <row r="2575" spans="1:5">
      <c r="A2575">
        <f>HYPERLINK("http://www.twitter.com/nyc311/status/760122174724333569", "760122174724333569")</f>
        <v>0</v>
      </c>
      <c r="B2575" s="2">
        <v>42583.6090625</v>
      </c>
      <c r="C2575">
        <v>1</v>
      </c>
      <c r="D2575">
        <v>0</v>
      </c>
      <c r="E2575" t="s">
        <v>2553</v>
      </c>
    </row>
    <row r="2576" spans="1:5">
      <c r="A2576">
        <f>HYPERLINK("http://www.twitter.com/nyc311/status/760120583585660928", "760120583585660928")</f>
        <v>0</v>
      </c>
      <c r="B2576" s="2">
        <v>42583.6046759259</v>
      </c>
      <c r="C2576">
        <v>0</v>
      </c>
      <c r="D2576">
        <v>0</v>
      </c>
      <c r="E2576" t="s">
        <v>2554</v>
      </c>
    </row>
    <row r="2577" spans="1:5">
      <c r="A2577">
        <f>HYPERLINK("http://www.twitter.com/nyc311/status/760120017874804736", "760120017874804736")</f>
        <v>0</v>
      </c>
      <c r="B2577" s="2">
        <v>42583.6031134259</v>
      </c>
      <c r="C2577">
        <v>0</v>
      </c>
      <c r="D2577">
        <v>0</v>
      </c>
      <c r="E2577" t="s">
        <v>2555</v>
      </c>
    </row>
    <row r="2578" spans="1:5">
      <c r="A2578">
        <f>HYPERLINK("http://www.twitter.com/nyc311/status/760119243144851456", "760119243144851456")</f>
        <v>0</v>
      </c>
      <c r="B2578" s="2">
        <v>42583.6009722222</v>
      </c>
      <c r="C2578">
        <v>0</v>
      </c>
      <c r="D2578">
        <v>0</v>
      </c>
      <c r="E2578" t="s">
        <v>2556</v>
      </c>
    </row>
    <row r="2579" spans="1:5">
      <c r="A2579">
        <f>HYPERLINK("http://www.twitter.com/nyc311/status/760115069820739584", "760115069820739584")</f>
        <v>0</v>
      </c>
      <c r="B2579" s="2">
        <v>42583.5894560185</v>
      </c>
      <c r="C2579">
        <v>0</v>
      </c>
      <c r="D2579">
        <v>0</v>
      </c>
      <c r="E2579" t="s">
        <v>2557</v>
      </c>
    </row>
    <row r="2580" spans="1:5">
      <c r="A2580">
        <f>HYPERLINK("http://www.twitter.com/nyc311/status/760113560936669184", "760113560936669184")</f>
        <v>0</v>
      </c>
      <c r="B2580" s="2">
        <v>42583.5852893519</v>
      </c>
      <c r="C2580">
        <v>5</v>
      </c>
      <c r="D2580">
        <v>9</v>
      </c>
      <c r="E2580" t="s">
        <v>2558</v>
      </c>
    </row>
    <row r="2581" spans="1:5">
      <c r="A2581">
        <f>HYPERLINK("http://www.twitter.com/nyc311/status/760111646438285312", "760111646438285312")</f>
        <v>0</v>
      </c>
      <c r="B2581" s="2">
        <v>42583.5800115741</v>
      </c>
      <c r="C2581">
        <v>1</v>
      </c>
      <c r="D2581">
        <v>0</v>
      </c>
      <c r="E2581" t="s">
        <v>2559</v>
      </c>
    </row>
    <row r="2582" spans="1:5">
      <c r="A2582">
        <f>HYPERLINK("http://www.twitter.com/nyc311/status/760110766058049536", "760110766058049536")</f>
        <v>0</v>
      </c>
      <c r="B2582" s="2">
        <v>42583.5775810185</v>
      </c>
      <c r="C2582">
        <v>0</v>
      </c>
      <c r="D2582">
        <v>0</v>
      </c>
      <c r="E2582" t="s">
        <v>2560</v>
      </c>
    </row>
    <row r="2583" spans="1:5">
      <c r="A2583">
        <f>HYPERLINK("http://www.twitter.com/nyc311/status/760103017865699328", "760103017865699328")</f>
        <v>0</v>
      </c>
      <c r="B2583" s="2">
        <v>42583.5562037037</v>
      </c>
      <c r="C2583">
        <v>2</v>
      </c>
      <c r="D2583">
        <v>4</v>
      </c>
      <c r="E2583" t="s">
        <v>2561</v>
      </c>
    </row>
    <row r="2584" spans="1:5">
      <c r="A2584">
        <f>HYPERLINK("http://www.twitter.com/nyc311/status/759841411785195520", "759841411785195520")</f>
        <v>0</v>
      </c>
      <c r="B2584" s="2">
        <v>42582.8343055556</v>
      </c>
      <c r="C2584">
        <v>2</v>
      </c>
      <c r="D2584">
        <v>2</v>
      </c>
      <c r="E2584" t="s">
        <v>415</v>
      </c>
    </row>
    <row r="2585" spans="1:5">
      <c r="A2585">
        <f>HYPERLINK("http://www.twitter.com/nyc311/status/759811349841084416", "759811349841084416")</f>
        <v>0</v>
      </c>
      <c r="B2585" s="2">
        <v>42582.7513541667</v>
      </c>
      <c r="C2585">
        <v>3</v>
      </c>
      <c r="D2585">
        <v>3</v>
      </c>
      <c r="E2585" t="s">
        <v>2562</v>
      </c>
    </row>
    <row r="2586" spans="1:5">
      <c r="A2586">
        <f>HYPERLINK("http://www.twitter.com/nyc311/status/759781133089402884", "759781133089402884")</f>
        <v>0</v>
      </c>
      <c r="B2586" s="2">
        <v>42582.667962963</v>
      </c>
      <c r="C2586">
        <v>5</v>
      </c>
      <c r="D2586">
        <v>2</v>
      </c>
      <c r="E2586" t="s">
        <v>2563</v>
      </c>
    </row>
    <row r="2587" spans="1:5">
      <c r="A2587">
        <f>HYPERLINK("http://www.twitter.com/nyc311/status/759750894779006976", "759750894779006976")</f>
        <v>0</v>
      </c>
      <c r="B2587" s="2">
        <v>42582.584525463</v>
      </c>
      <c r="C2587">
        <v>2</v>
      </c>
      <c r="D2587">
        <v>4</v>
      </c>
      <c r="E2587" t="s">
        <v>2564</v>
      </c>
    </row>
    <row r="2588" spans="1:5">
      <c r="A2588">
        <f>HYPERLINK("http://www.twitter.com/nyc311/status/759479013811290112", "759479013811290112")</f>
        <v>0</v>
      </c>
      <c r="B2588" s="2">
        <v>42581.8342708333</v>
      </c>
      <c r="C2588">
        <v>2</v>
      </c>
      <c r="D2588">
        <v>1</v>
      </c>
      <c r="E2588" t="s">
        <v>2565</v>
      </c>
    </row>
    <row r="2589" spans="1:5">
      <c r="A2589">
        <f>HYPERLINK("http://www.twitter.com/nyc311/status/759463896071757824", "759463896071757824")</f>
        <v>0</v>
      </c>
      <c r="B2589" s="2">
        <v>42581.7925578704</v>
      </c>
      <c r="C2589">
        <v>3</v>
      </c>
      <c r="D2589">
        <v>7</v>
      </c>
      <c r="E2589" t="s">
        <v>2566</v>
      </c>
    </row>
    <row r="2590" spans="1:5">
      <c r="A2590">
        <f>HYPERLINK("http://www.twitter.com/nyc311/status/759448896519143424", "759448896519143424")</f>
        <v>0</v>
      </c>
      <c r="B2590" s="2">
        <v>42581.7511689815</v>
      </c>
      <c r="C2590">
        <v>8</v>
      </c>
      <c r="D2590">
        <v>6</v>
      </c>
      <c r="E2590" t="s">
        <v>2567</v>
      </c>
    </row>
    <row r="2591" spans="1:5">
      <c r="A2591">
        <f>HYPERLINK("http://www.twitter.com/nyc311/status/759418811674140676", "759418811674140676")</f>
        <v>0</v>
      </c>
      <c r="B2591" s="2">
        <v>42581.6681481482</v>
      </c>
      <c r="C2591">
        <v>2</v>
      </c>
      <c r="D2591">
        <v>5</v>
      </c>
      <c r="E2591" t="s">
        <v>2568</v>
      </c>
    </row>
    <row r="2592" spans="1:5">
      <c r="A2592">
        <f>HYPERLINK("http://www.twitter.com/nyc311/status/759403661978112000", "759403661978112000")</f>
        <v>0</v>
      </c>
      <c r="B2592" s="2">
        <v>42581.6263425926</v>
      </c>
      <c r="C2592">
        <v>1</v>
      </c>
      <c r="D2592">
        <v>1</v>
      </c>
      <c r="E2592" t="s">
        <v>2569</v>
      </c>
    </row>
    <row r="2593" spans="1:5">
      <c r="A2593">
        <f>HYPERLINK("http://www.twitter.com/nyc311/status/759388629001273345", "759388629001273345")</f>
        <v>0</v>
      </c>
      <c r="B2593" s="2">
        <v>42581.5848611111</v>
      </c>
      <c r="C2593">
        <v>7</v>
      </c>
      <c r="D2593">
        <v>6</v>
      </c>
      <c r="E2593" t="s">
        <v>2570</v>
      </c>
    </row>
    <row r="2594" spans="1:5">
      <c r="A2594">
        <f>HYPERLINK("http://www.twitter.com/nyc311/status/759133659756630016", "759133659756630016")</f>
        <v>0</v>
      </c>
      <c r="B2594" s="2">
        <v>42580.8812847222</v>
      </c>
      <c r="C2594">
        <v>0</v>
      </c>
      <c r="D2594">
        <v>0</v>
      </c>
      <c r="E2594" t="s">
        <v>2571</v>
      </c>
    </row>
    <row r="2595" spans="1:5">
      <c r="A2595">
        <f>HYPERLINK("http://www.twitter.com/nyc311/status/759132959488274432", "759132959488274432")</f>
        <v>0</v>
      </c>
      <c r="B2595" s="2">
        <v>42580.8793518519</v>
      </c>
      <c r="C2595">
        <v>0</v>
      </c>
      <c r="D2595">
        <v>0</v>
      </c>
      <c r="E2595" t="s">
        <v>2572</v>
      </c>
    </row>
    <row r="2596" spans="1:5">
      <c r="A2596">
        <f>HYPERLINK("http://www.twitter.com/nyc311/status/759116790937034752", "759116790937034752")</f>
        <v>0</v>
      </c>
      <c r="B2596" s="2">
        <v>42580.8347337963</v>
      </c>
      <c r="C2596">
        <v>3</v>
      </c>
      <c r="D2596">
        <v>2</v>
      </c>
      <c r="E2596" t="s">
        <v>2412</v>
      </c>
    </row>
    <row r="2597" spans="1:5">
      <c r="A2597">
        <f>HYPERLINK("http://www.twitter.com/nyc311/status/759101367076155392", "759101367076155392")</f>
        <v>0</v>
      </c>
      <c r="B2597" s="2">
        <v>42580.7921643518</v>
      </c>
      <c r="C2597">
        <v>4</v>
      </c>
      <c r="D2597">
        <v>1</v>
      </c>
      <c r="E2597" t="s">
        <v>2573</v>
      </c>
    </row>
    <row r="2598" spans="1:5">
      <c r="A2598">
        <f>HYPERLINK("http://www.twitter.com/nyc311/status/759086666384547840", "759086666384547840")</f>
        <v>0</v>
      </c>
      <c r="B2598" s="2">
        <v>42580.7516087963</v>
      </c>
      <c r="C2598">
        <v>5</v>
      </c>
      <c r="D2598">
        <v>5</v>
      </c>
      <c r="E2598" t="s">
        <v>2205</v>
      </c>
    </row>
    <row r="2599" spans="1:5">
      <c r="A2599">
        <f>HYPERLINK("http://www.twitter.com/nyc311/status/759086439711801344", "759086439711801344")</f>
        <v>0</v>
      </c>
      <c r="B2599" s="2">
        <v>42580.7509837963</v>
      </c>
      <c r="C2599">
        <v>0</v>
      </c>
      <c r="D2599">
        <v>0</v>
      </c>
      <c r="E2599" t="s">
        <v>2574</v>
      </c>
    </row>
    <row r="2600" spans="1:5">
      <c r="A2600">
        <f>HYPERLINK("http://www.twitter.com/nyc311/status/759071194280845313", "759071194280845313")</f>
        <v>0</v>
      </c>
      <c r="B2600" s="2">
        <v>42580.708912037</v>
      </c>
      <c r="C2600">
        <v>9</v>
      </c>
      <c r="D2600">
        <v>5</v>
      </c>
      <c r="E2600" t="s">
        <v>2575</v>
      </c>
    </row>
    <row r="2601" spans="1:5">
      <c r="A2601">
        <f>HYPERLINK("http://www.twitter.com/nyc311/status/759061932217434112", "759061932217434112")</f>
        <v>0</v>
      </c>
      <c r="B2601" s="2">
        <v>42580.6833449074</v>
      </c>
      <c r="C2601">
        <v>0</v>
      </c>
      <c r="D2601">
        <v>0</v>
      </c>
      <c r="E2601" t="s">
        <v>2576</v>
      </c>
    </row>
    <row r="2602" spans="1:5">
      <c r="A2602">
        <f>HYPERLINK("http://www.twitter.com/nyc311/status/759056699449683968", "759056699449683968")</f>
        <v>0</v>
      </c>
      <c r="B2602" s="2">
        <v>42580.668912037</v>
      </c>
      <c r="C2602">
        <v>1</v>
      </c>
      <c r="D2602">
        <v>5</v>
      </c>
      <c r="E2602" t="s">
        <v>2577</v>
      </c>
    </row>
    <row r="2603" spans="1:5">
      <c r="A2603">
        <f>HYPERLINK("http://www.twitter.com/nyc311/status/759053075109773312", "759053075109773312")</f>
        <v>0</v>
      </c>
      <c r="B2603" s="2">
        <v>42580.658912037</v>
      </c>
      <c r="C2603">
        <v>0</v>
      </c>
      <c r="D2603">
        <v>0</v>
      </c>
      <c r="E2603" t="s">
        <v>2578</v>
      </c>
    </row>
    <row r="2604" spans="1:5">
      <c r="A2604">
        <f>HYPERLINK("http://www.twitter.com/nyc311/status/759041184304013313", "759041184304013313")</f>
        <v>0</v>
      </c>
      <c r="B2604" s="2">
        <v>42580.626099537</v>
      </c>
      <c r="C2604">
        <v>3</v>
      </c>
      <c r="D2604">
        <v>2</v>
      </c>
      <c r="E2604" t="s">
        <v>2579</v>
      </c>
    </row>
    <row r="2605" spans="1:5">
      <c r="A2605">
        <f>HYPERLINK("http://www.twitter.com/nyc311/status/759028864911892480", "759028864911892480")</f>
        <v>0</v>
      </c>
      <c r="B2605" s="2">
        <v>42580.5921064815</v>
      </c>
      <c r="C2605">
        <v>0</v>
      </c>
      <c r="D2605">
        <v>1</v>
      </c>
      <c r="E2605" t="s">
        <v>2580</v>
      </c>
    </row>
    <row r="2606" spans="1:5">
      <c r="A2606">
        <f>HYPERLINK("http://www.twitter.com/nyc311/status/759027899437580288", "759027899437580288")</f>
        <v>0</v>
      </c>
      <c r="B2606" s="2">
        <v>42580.5894328704</v>
      </c>
      <c r="C2606">
        <v>2</v>
      </c>
      <c r="D2606">
        <v>0</v>
      </c>
      <c r="E2606" t="s">
        <v>2581</v>
      </c>
    </row>
    <row r="2607" spans="1:5">
      <c r="A2607">
        <f>HYPERLINK("http://www.twitter.com/nyc311/status/759027200544956421", "759027200544956421")</f>
        <v>0</v>
      </c>
      <c r="B2607" s="2">
        <v>42580.5875115741</v>
      </c>
      <c r="C2607">
        <v>0</v>
      </c>
      <c r="D2607">
        <v>0</v>
      </c>
      <c r="E2607" t="s">
        <v>2582</v>
      </c>
    </row>
    <row r="2608" spans="1:5">
      <c r="A2608">
        <f>HYPERLINK("http://www.twitter.com/nyc311/status/759026506765041664", "759026506765041664")</f>
        <v>0</v>
      </c>
      <c r="B2608" s="2">
        <v>42580.5855902778</v>
      </c>
      <c r="C2608">
        <v>8</v>
      </c>
      <c r="D2608">
        <v>10</v>
      </c>
      <c r="E2608" t="s">
        <v>2583</v>
      </c>
    </row>
    <row r="2609" spans="1:5">
      <c r="A2609">
        <f>HYPERLINK("http://www.twitter.com/nyc311/status/759025991096344577", "759025991096344577")</f>
        <v>0</v>
      </c>
      <c r="B2609" s="2">
        <v>42580.5841666667</v>
      </c>
      <c r="C2609">
        <v>0</v>
      </c>
      <c r="D2609">
        <v>0</v>
      </c>
      <c r="E2609" t="s">
        <v>2584</v>
      </c>
    </row>
    <row r="2610" spans="1:5">
      <c r="A2610">
        <f>HYPERLINK("http://www.twitter.com/nyc311/status/759021185547931649", "759021185547931649")</f>
        <v>0</v>
      </c>
      <c r="B2610" s="2">
        <v>42580.5709143519</v>
      </c>
      <c r="C2610">
        <v>0</v>
      </c>
      <c r="D2610">
        <v>0</v>
      </c>
      <c r="E2610" t="s">
        <v>2585</v>
      </c>
    </row>
    <row r="2611" spans="1:5">
      <c r="A2611">
        <f>HYPERLINK("http://www.twitter.com/nyc311/status/759019773736783872", "759019773736783872")</f>
        <v>0</v>
      </c>
      <c r="B2611" s="2">
        <v>42580.5670138889</v>
      </c>
      <c r="C2611">
        <v>1</v>
      </c>
      <c r="D2611">
        <v>1</v>
      </c>
      <c r="E2611" t="s">
        <v>2586</v>
      </c>
    </row>
    <row r="2612" spans="1:5">
      <c r="A2612">
        <f>HYPERLINK("http://www.twitter.com/nyc311/status/759018752209858561", "759018752209858561")</f>
        <v>0</v>
      </c>
      <c r="B2612" s="2">
        <v>42580.5642013889</v>
      </c>
      <c r="C2612">
        <v>0</v>
      </c>
      <c r="D2612">
        <v>0</v>
      </c>
      <c r="E2612" t="s">
        <v>2587</v>
      </c>
    </row>
    <row r="2613" spans="1:5">
      <c r="A2613">
        <f>HYPERLINK("http://www.twitter.com/nyc311/status/759017999609180161", "759017999609180161")</f>
        <v>0</v>
      </c>
      <c r="B2613" s="2">
        <v>42580.5621180556</v>
      </c>
      <c r="C2613">
        <v>0</v>
      </c>
      <c r="D2613">
        <v>0</v>
      </c>
      <c r="E2613" t="s">
        <v>2588</v>
      </c>
    </row>
    <row r="2614" spans="1:5">
      <c r="A2614">
        <f>HYPERLINK("http://www.twitter.com/nyc311/status/758784278381621249", "758784278381621249")</f>
        <v>0</v>
      </c>
      <c r="B2614" s="2">
        <v>42579.9171759259</v>
      </c>
      <c r="C2614">
        <v>8</v>
      </c>
      <c r="D2614">
        <v>1</v>
      </c>
      <c r="E2614" t="s">
        <v>2589</v>
      </c>
    </row>
    <row r="2615" spans="1:5">
      <c r="A2615">
        <f>HYPERLINK("http://www.twitter.com/nyc311/status/758775598110081024", "758775598110081024")</f>
        <v>0</v>
      </c>
      <c r="B2615" s="2">
        <v>42579.8932175926</v>
      </c>
      <c r="C2615">
        <v>1</v>
      </c>
      <c r="D2615">
        <v>0</v>
      </c>
      <c r="E2615" t="s">
        <v>2590</v>
      </c>
    </row>
    <row r="2616" spans="1:5">
      <c r="A2616">
        <f>HYPERLINK("http://www.twitter.com/nyc311/status/758774244671184896", "758774244671184896")</f>
        <v>0</v>
      </c>
      <c r="B2616" s="2">
        <v>42579.8894791667</v>
      </c>
      <c r="C2616">
        <v>0</v>
      </c>
      <c r="D2616">
        <v>0</v>
      </c>
      <c r="E2616" t="s">
        <v>2591</v>
      </c>
    </row>
    <row r="2617" spans="1:5">
      <c r="A2617">
        <f>HYPERLINK("http://www.twitter.com/nyc311/status/758773503978008577", "758773503978008577")</f>
        <v>0</v>
      </c>
      <c r="B2617" s="2">
        <v>42579.8874421296</v>
      </c>
      <c r="C2617">
        <v>0</v>
      </c>
      <c r="D2617">
        <v>0</v>
      </c>
      <c r="E2617" t="s">
        <v>2592</v>
      </c>
    </row>
    <row r="2618" spans="1:5">
      <c r="A2618">
        <f>HYPERLINK("http://www.twitter.com/nyc311/status/758769112596287488", "758769112596287488")</f>
        <v>0</v>
      </c>
      <c r="B2618" s="2">
        <v>42579.8753240741</v>
      </c>
      <c r="C2618">
        <v>7</v>
      </c>
      <c r="D2618">
        <v>2</v>
      </c>
      <c r="E2618" t="s">
        <v>2593</v>
      </c>
    </row>
    <row r="2619" spans="1:5">
      <c r="A2619">
        <f>HYPERLINK("http://www.twitter.com/nyc311/status/758758369591169024", "758758369591169024")</f>
        <v>0</v>
      </c>
      <c r="B2619" s="2">
        <v>42579.8456828704</v>
      </c>
      <c r="C2619">
        <v>0</v>
      </c>
      <c r="D2619">
        <v>0</v>
      </c>
      <c r="E2619" t="s">
        <v>2594</v>
      </c>
    </row>
    <row r="2620" spans="1:5">
      <c r="A2620">
        <f>HYPERLINK("http://www.twitter.com/nyc311/status/758758032973127684", "758758032973127684")</f>
        <v>0</v>
      </c>
      <c r="B2620" s="2">
        <v>42579.8447453704</v>
      </c>
      <c r="C2620">
        <v>0</v>
      </c>
      <c r="D2620">
        <v>0</v>
      </c>
      <c r="E2620" t="s">
        <v>2595</v>
      </c>
    </row>
    <row r="2621" spans="1:5">
      <c r="A2621">
        <f>HYPERLINK("http://www.twitter.com/nyc311/status/758756997659582464", "758756997659582464")</f>
        <v>0</v>
      </c>
      <c r="B2621" s="2">
        <v>42579.8418865741</v>
      </c>
      <c r="C2621">
        <v>0</v>
      </c>
      <c r="D2621">
        <v>0</v>
      </c>
      <c r="E2621" t="s">
        <v>2596</v>
      </c>
    </row>
    <row r="2622" spans="1:5">
      <c r="A2622">
        <f>HYPERLINK("http://www.twitter.com/nyc311/status/758754381466656768", "758754381466656768")</f>
        <v>0</v>
      </c>
      <c r="B2622" s="2">
        <v>42579.8346759259</v>
      </c>
      <c r="C2622">
        <v>1</v>
      </c>
      <c r="D2622">
        <v>0</v>
      </c>
      <c r="E2622" t="s">
        <v>2597</v>
      </c>
    </row>
    <row r="2623" spans="1:5">
      <c r="A2623">
        <f>HYPERLINK("http://www.twitter.com/nyc311/status/758725927287283712", "758725927287283712")</f>
        <v>0</v>
      </c>
      <c r="B2623" s="2">
        <v>42579.7561574074</v>
      </c>
      <c r="C2623">
        <v>0</v>
      </c>
      <c r="D2623">
        <v>0</v>
      </c>
      <c r="E2623" t="s">
        <v>2598</v>
      </c>
    </row>
    <row r="2624" spans="1:5">
      <c r="A2624">
        <f>HYPERLINK("http://www.twitter.com/nyc311/status/758724430738710530", "758724430738710530")</f>
        <v>0</v>
      </c>
      <c r="B2624" s="2">
        <v>42579.752025463</v>
      </c>
      <c r="C2624">
        <v>6</v>
      </c>
      <c r="D2624">
        <v>12</v>
      </c>
      <c r="E2624" t="s">
        <v>2599</v>
      </c>
    </row>
    <row r="2625" spans="1:5">
      <c r="A2625">
        <f>HYPERLINK("http://www.twitter.com/nyc311/status/758710832314388480", "758710832314388480")</f>
        <v>0</v>
      </c>
      <c r="B2625" s="2">
        <v>42579.7145023148</v>
      </c>
      <c r="C2625">
        <v>0</v>
      </c>
      <c r="D2625">
        <v>0</v>
      </c>
      <c r="E2625" t="s">
        <v>2600</v>
      </c>
    </row>
    <row r="2626" spans="1:5">
      <c r="A2626">
        <f>HYPERLINK("http://www.twitter.com/nyc311/status/758703969858359297", "758703969858359297")</f>
        <v>0</v>
      </c>
      <c r="B2626" s="2">
        <v>42579.6955671296</v>
      </c>
      <c r="C2626">
        <v>0</v>
      </c>
      <c r="D2626">
        <v>0</v>
      </c>
      <c r="E2626" t="s">
        <v>2601</v>
      </c>
    </row>
    <row r="2627" spans="1:5">
      <c r="A2627">
        <f>HYPERLINK("http://www.twitter.com/nyc311/status/758694799042023425", "758694799042023425")</f>
        <v>0</v>
      </c>
      <c r="B2627" s="2">
        <v>42579.6702546296</v>
      </c>
      <c r="C2627">
        <v>19</v>
      </c>
      <c r="D2627">
        <v>14</v>
      </c>
      <c r="E2627" t="s">
        <v>2602</v>
      </c>
    </row>
    <row r="2628" spans="1:5">
      <c r="A2628">
        <f>HYPERLINK("http://www.twitter.com/nyc311/status/758689132067586048", "758689132067586048")</f>
        <v>0</v>
      </c>
      <c r="B2628" s="2">
        <v>42579.6546180556</v>
      </c>
      <c r="C2628">
        <v>0</v>
      </c>
      <c r="D2628">
        <v>1</v>
      </c>
      <c r="E2628" t="s">
        <v>2603</v>
      </c>
    </row>
    <row r="2629" spans="1:5">
      <c r="A2629">
        <f>HYPERLINK("http://www.twitter.com/nyc311/status/758679152111284224", "758679152111284224")</f>
        <v>0</v>
      </c>
      <c r="B2629" s="2">
        <v>42579.6270833333</v>
      </c>
      <c r="C2629">
        <v>2</v>
      </c>
      <c r="D2629">
        <v>1</v>
      </c>
      <c r="E2629" t="s">
        <v>2604</v>
      </c>
    </row>
    <row r="2630" spans="1:5">
      <c r="A2630">
        <f>HYPERLINK("http://www.twitter.com/nyc311/status/758676030836051968", "758676030836051968")</f>
        <v>0</v>
      </c>
      <c r="B2630" s="2">
        <v>42579.6184606481</v>
      </c>
      <c r="C2630">
        <v>0</v>
      </c>
      <c r="D2630">
        <v>0</v>
      </c>
      <c r="E2630" t="s">
        <v>2605</v>
      </c>
    </row>
    <row r="2631" spans="1:5">
      <c r="A2631">
        <f>HYPERLINK("http://www.twitter.com/nyc311/status/758670930742837248", "758670930742837248")</f>
        <v>0</v>
      </c>
      <c r="B2631" s="2">
        <v>42579.6043865741</v>
      </c>
      <c r="C2631">
        <v>0</v>
      </c>
      <c r="D2631">
        <v>0</v>
      </c>
      <c r="E2631" t="s">
        <v>2606</v>
      </c>
    </row>
    <row r="2632" spans="1:5">
      <c r="A2632">
        <f>HYPERLINK("http://www.twitter.com/nyc311/status/758669756748759041", "758669756748759041")</f>
        <v>0</v>
      </c>
      <c r="B2632" s="2">
        <v>42579.6011574074</v>
      </c>
      <c r="C2632">
        <v>0</v>
      </c>
      <c r="D2632">
        <v>0</v>
      </c>
      <c r="E2632" t="s">
        <v>2607</v>
      </c>
    </row>
    <row r="2633" spans="1:5">
      <c r="A2633">
        <f>HYPERLINK("http://www.twitter.com/nyc311/status/758663563259027456", "758663563259027456")</f>
        <v>0</v>
      </c>
      <c r="B2633" s="2">
        <v>42579.5840625</v>
      </c>
      <c r="C2633">
        <v>6</v>
      </c>
      <c r="D2633">
        <v>15</v>
      </c>
      <c r="E2633" t="s">
        <v>2608</v>
      </c>
    </row>
    <row r="2634" spans="1:5">
      <c r="A2634">
        <f>HYPERLINK("http://www.twitter.com/nyc311/status/758654899404103680", "758654899404103680")</f>
        <v>0</v>
      </c>
      <c r="B2634" s="2">
        <v>42579.560150463</v>
      </c>
      <c r="C2634">
        <v>0</v>
      </c>
      <c r="D2634">
        <v>0</v>
      </c>
      <c r="E2634" t="s">
        <v>2609</v>
      </c>
    </row>
    <row r="2635" spans="1:5">
      <c r="A2635">
        <f>HYPERLINK("http://www.twitter.com/nyc311/status/758654410478288897", "758654410478288897")</f>
        <v>0</v>
      </c>
      <c r="B2635" s="2">
        <v>42579.5588078704</v>
      </c>
      <c r="C2635">
        <v>0</v>
      </c>
      <c r="D2635">
        <v>0</v>
      </c>
      <c r="E2635" t="s">
        <v>2610</v>
      </c>
    </row>
    <row r="2636" spans="1:5">
      <c r="A2636">
        <f>HYPERLINK("http://www.twitter.com/nyc311/status/758654096404541440", "758654096404541440")</f>
        <v>0</v>
      </c>
      <c r="B2636" s="2">
        <v>42579.5579398148</v>
      </c>
      <c r="C2636">
        <v>0</v>
      </c>
      <c r="D2636">
        <v>0</v>
      </c>
      <c r="E2636" t="s">
        <v>2611</v>
      </c>
    </row>
    <row r="2637" spans="1:5">
      <c r="A2637">
        <f>HYPERLINK("http://www.twitter.com/nyc311/status/758653967215779840", "758653967215779840")</f>
        <v>0</v>
      </c>
      <c r="B2637" s="2">
        <v>42579.5575810185</v>
      </c>
      <c r="C2637">
        <v>0</v>
      </c>
      <c r="D2637">
        <v>0</v>
      </c>
      <c r="E2637" t="s">
        <v>2612</v>
      </c>
    </row>
    <row r="2638" spans="1:5">
      <c r="A2638">
        <f>HYPERLINK("http://www.twitter.com/nyc311/status/758652869482602496", "758652869482602496")</f>
        <v>0</v>
      </c>
      <c r="B2638" s="2">
        <v>42579.5545486111</v>
      </c>
      <c r="C2638">
        <v>0</v>
      </c>
      <c r="D2638">
        <v>0</v>
      </c>
      <c r="E2638" t="s">
        <v>2613</v>
      </c>
    </row>
    <row r="2639" spans="1:5">
      <c r="A2639">
        <f>HYPERLINK("http://www.twitter.com/nyc311/status/758652790621208576", "758652790621208576")</f>
        <v>0</v>
      </c>
      <c r="B2639" s="2">
        <v>42579.5543402778</v>
      </c>
      <c r="C2639">
        <v>1</v>
      </c>
      <c r="D2639">
        <v>2</v>
      </c>
      <c r="E2639" t="s">
        <v>2561</v>
      </c>
    </row>
    <row r="2640" spans="1:5">
      <c r="A2640">
        <f>HYPERLINK("http://www.twitter.com/nyc311/status/758652721100627968", "758652721100627968")</f>
        <v>0</v>
      </c>
      <c r="B2640" s="2">
        <v>42579.5541435185</v>
      </c>
      <c r="C2640">
        <v>1</v>
      </c>
      <c r="D2640">
        <v>0</v>
      </c>
      <c r="E2640" t="s">
        <v>2614</v>
      </c>
    </row>
    <row r="2641" spans="1:5">
      <c r="A2641">
        <f>HYPERLINK("http://www.twitter.com/nyc311/status/758652298226757632", "758652298226757632")</f>
        <v>0</v>
      </c>
      <c r="B2641" s="2">
        <v>42579.552974537</v>
      </c>
      <c r="C2641">
        <v>1</v>
      </c>
      <c r="D2641">
        <v>1</v>
      </c>
      <c r="E2641" t="s">
        <v>2615</v>
      </c>
    </row>
    <row r="2642" spans="1:5">
      <c r="A2642">
        <f>HYPERLINK("http://www.twitter.com/nyc311/status/758652213002637312", "758652213002637312")</f>
        <v>0</v>
      </c>
      <c r="B2642" s="2">
        <v>42579.5527430556</v>
      </c>
      <c r="C2642">
        <v>1</v>
      </c>
      <c r="D2642">
        <v>0</v>
      </c>
      <c r="E2642" t="s">
        <v>2616</v>
      </c>
    </row>
    <row r="2643" spans="1:5">
      <c r="A2643">
        <f>HYPERLINK("http://www.twitter.com/nyc311/status/758391947744702464", "758391947744702464")</f>
        <v>0</v>
      </c>
      <c r="B2643" s="2">
        <v>42578.8345486111</v>
      </c>
      <c r="C2643">
        <v>1</v>
      </c>
      <c r="D2643">
        <v>0</v>
      </c>
      <c r="E2643" t="s">
        <v>2164</v>
      </c>
    </row>
    <row r="2644" spans="1:5">
      <c r="A2644">
        <f>HYPERLINK("http://www.twitter.com/nyc311/status/758383817908424704", "758383817908424704")</f>
        <v>0</v>
      </c>
      <c r="B2644" s="2">
        <v>42578.8121064815</v>
      </c>
      <c r="C2644">
        <v>0</v>
      </c>
      <c r="D2644">
        <v>0</v>
      </c>
      <c r="E2644" t="s">
        <v>2617</v>
      </c>
    </row>
    <row r="2645" spans="1:5">
      <c r="A2645">
        <f>HYPERLINK("http://www.twitter.com/nyc311/status/758366631999467520", "758366631999467520")</f>
        <v>0</v>
      </c>
      <c r="B2645" s="2">
        <v>42578.7646875</v>
      </c>
      <c r="C2645">
        <v>0</v>
      </c>
      <c r="D2645">
        <v>0</v>
      </c>
      <c r="E2645" t="s">
        <v>2618</v>
      </c>
    </row>
    <row r="2646" spans="1:5">
      <c r="A2646">
        <f>HYPERLINK("http://www.twitter.com/nyc311/status/758366624143511553", "758366624143511553")</f>
        <v>0</v>
      </c>
      <c r="B2646" s="2">
        <v>42578.7646643519</v>
      </c>
      <c r="C2646">
        <v>0</v>
      </c>
      <c r="D2646">
        <v>1</v>
      </c>
      <c r="E2646" t="s">
        <v>2617</v>
      </c>
    </row>
    <row r="2647" spans="1:5">
      <c r="A2647">
        <f>HYPERLINK("http://www.twitter.com/nyc311/status/758366620687409152", "758366620687409152")</f>
        <v>0</v>
      </c>
      <c r="B2647" s="2">
        <v>42578.7646527778</v>
      </c>
      <c r="C2647">
        <v>0</v>
      </c>
      <c r="D2647">
        <v>0</v>
      </c>
      <c r="E2647" t="s">
        <v>2619</v>
      </c>
    </row>
    <row r="2648" spans="1:5">
      <c r="A2648">
        <f>HYPERLINK("http://www.twitter.com/nyc311/status/758366581755871236", "758366581755871236")</f>
        <v>0</v>
      </c>
      <c r="B2648" s="2">
        <v>42578.7645486111</v>
      </c>
      <c r="C2648">
        <v>1</v>
      </c>
      <c r="D2648">
        <v>1</v>
      </c>
      <c r="E2648" t="s">
        <v>2620</v>
      </c>
    </row>
    <row r="2649" spans="1:5">
      <c r="A2649">
        <f>HYPERLINK("http://www.twitter.com/nyc311/status/758361889806094337", "758361889806094337")</f>
        <v>0</v>
      </c>
      <c r="B2649" s="2">
        <v>42578.7515972222</v>
      </c>
      <c r="C2649">
        <v>3</v>
      </c>
      <c r="D2649">
        <v>2</v>
      </c>
      <c r="E2649" t="s">
        <v>2621</v>
      </c>
    </row>
    <row r="2650" spans="1:5">
      <c r="A2650">
        <f>HYPERLINK("http://www.twitter.com/nyc311/status/758346904975572992", "758346904975572992")</f>
        <v>0</v>
      </c>
      <c r="B2650" s="2">
        <v>42578.7102546296</v>
      </c>
      <c r="C2650">
        <v>3</v>
      </c>
      <c r="D2650">
        <v>6</v>
      </c>
      <c r="E2650" t="s">
        <v>2622</v>
      </c>
    </row>
    <row r="2651" spans="1:5">
      <c r="A2651">
        <f>HYPERLINK("http://www.twitter.com/nyc311/status/758331893465116673", "758331893465116673")</f>
        <v>0</v>
      </c>
      <c r="B2651" s="2">
        <v>42578.6688310185</v>
      </c>
      <c r="C2651">
        <v>2</v>
      </c>
      <c r="D2651">
        <v>2</v>
      </c>
      <c r="E2651" t="s">
        <v>2623</v>
      </c>
    </row>
    <row r="2652" spans="1:5">
      <c r="A2652">
        <f>HYPERLINK("http://www.twitter.com/nyc311/status/758330953815224325", "758330953815224325")</f>
        <v>0</v>
      </c>
      <c r="B2652" s="2">
        <v>42578.6662384259</v>
      </c>
      <c r="C2652">
        <v>0</v>
      </c>
      <c r="D2652">
        <v>0</v>
      </c>
      <c r="E2652" t="s">
        <v>2624</v>
      </c>
    </row>
    <row r="2653" spans="1:5">
      <c r="A2653">
        <f>HYPERLINK("http://www.twitter.com/nyc311/status/758329297832730624", "758329297832730624")</f>
        <v>0</v>
      </c>
      <c r="B2653" s="2">
        <v>42578.6616666667</v>
      </c>
      <c r="C2653">
        <v>0</v>
      </c>
      <c r="D2653">
        <v>1</v>
      </c>
      <c r="E2653" t="s">
        <v>2625</v>
      </c>
    </row>
    <row r="2654" spans="1:5">
      <c r="A2654">
        <f>HYPERLINK("http://www.twitter.com/nyc311/status/758329282368331777", "758329282368331777")</f>
        <v>0</v>
      </c>
      <c r="B2654" s="2">
        <v>42578.6616203704</v>
      </c>
      <c r="C2654">
        <v>1</v>
      </c>
      <c r="D2654">
        <v>0</v>
      </c>
      <c r="E2654" t="s">
        <v>2626</v>
      </c>
    </row>
    <row r="2655" spans="1:5">
      <c r="A2655">
        <f>HYPERLINK("http://www.twitter.com/nyc311/status/758324864218456070", "758324864218456070")</f>
        <v>0</v>
      </c>
      <c r="B2655" s="2">
        <v>42578.6494328704</v>
      </c>
      <c r="C2655">
        <v>1</v>
      </c>
      <c r="D2655">
        <v>0</v>
      </c>
      <c r="E2655" t="s">
        <v>2627</v>
      </c>
    </row>
    <row r="2656" spans="1:5">
      <c r="A2656">
        <f>HYPERLINK("http://www.twitter.com/nyc311/status/758323487924744193", "758323487924744193")</f>
        <v>0</v>
      </c>
      <c r="B2656" s="2">
        <v>42578.6456365741</v>
      </c>
      <c r="C2656">
        <v>0</v>
      </c>
      <c r="D2656">
        <v>0</v>
      </c>
      <c r="E2656" t="s">
        <v>2628</v>
      </c>
    </row>
    <row r="2657" spans="1:5">
      <c r="A2657">
        <f>HYPERLINK("http://www.twitter.com/nyc311/status/758317306007216129", "758317306007216129")</f>
        <v>0</v>
      </c>
      <c r="B2657" s="2">
        <v>42578.6285763889</v>
      </c>
      <c r="C2657">
        <v>1</v>
      </c>
      <c r="D2657">
        <v>1</v>
      </c>
      <c r="E2657" t="s">
        <v>2629</v>
      </c>
    </row>
    <row r="2658" spans="1:5">
      <c r="A2658">
        <f>HYPERLINK("http://www.twitter.com/nyc311/status/758307692662427652", "758307692662427652")</f>
        <v>0</v>
      </c>
      <c r="B2658" s="2">
        <v>42578.6020486111</v>
      </c>
      <c r="C2658">
        <v>0</v>
      </c>
      <c r="D2658">
        <v>0</v>
      </c>
      <c r="E2658" t="s">
        <v>2630</v>
      </c>
    </row>
    <row r="2659" spans="1:5">
      <c r="A2659">
        <f>HYPERLINK("http://www.twitter.com/nyc311/status/758301606861541376", "758301606861541376")</f>
        <v>0</v>
      </c>
      <c r="B2659" s="2">
        <v>42578.5852546296</v>
      </c>
      <c r="C2659">
        <v>5</v>
      </c>
      <c r="D2659">
        <v>7</v>
      </c>
      <c r="E2659" t="s">
        <v>2631</v>
      </c>
    </row>
    <row r="2660" spans="1:5">
      <c r="A2660">
        <f>HYPERLINK("http://www.twitter.com/nyc311/status/758299094049751041", "758299094049751041")</f>
        <v>0</v>
      </c>
      <c r="B2660" s="2">
        <v>42578.5783217593</v>
      </c>
      <c r="C2660">
        <v>0</v>
      </c>
      <c r="D2660">
        <v>0</v>
      </c>
      <c r="E2660" t="s">
        <v>2632</v>
      </c>
    </row>
    <row r="2661" spans="1:5">
      <c r="A2661">
        <f>HYPERLINK("http://www.twitter.com/nyc311/status/758298996540579840", "758298996540579840")</f>
        <v>0</v>
      </c>
      <c r="B2661" s="2">
        <v>42578.5780439815</v>
      </c>
      <c r="C2661">
        <v>0</v>
      </c>
      <c r="D2661">
        <v>0</v>
      </c>
      <c r="E2661" t="s">
        <v>2633</v>
      </c>
    </row>
    <row r="2662" spans="1:5">
      <c r="A2662">
        <f>HYPERLINK("http://www.twitter.com/nyc311/status/758298967977422853", "758298967977422853")</f>
        <v>0</v>
      </c>
      <c r="B2662" s="2">
        <v>42578.577974537</v>
      </c>
      <c r="C2662">
        <v>0</v>
      </c>
      <c r="D2662">
        <v>0</v>
      </c>
      <c r="E2662" t="s">
        <v>2634</v>
      </c>
    </row>
    <row r="2663" spans="1:5">
      <c r="A2663">
        <f>HYPERLINK("http://www.twitter.com/nyc311/status/758298907717799937", "758298907717799937")</f>
        <v>0</v>
      </c>
      <c r="B2663" s="2">
        <v>42578.5778009259</v>
      </c>
      <c r="C2663">
        <v>0</v>
      </c>
      <c r="D2663">
        <v>0</v>
      </c>
      <c r="E2663" t="s">
        <v>2635</v>
      </c>
    </row>
    <row r="2664" spans="1:5">
      <c r="A2664">
        <f>HYPERLINK("http://www.twitter.com/nyc311/status/758298858799628288", "758298858799628288")</f>
        <v>0</v>
      </c>
      <c r="B2664" s="2">
        <v>42578.5776736111</v>
      </c>
      <c r="C2664">
        <v>0</v>
      </c>
      <c r="D2664">
        <v>0</v>
      </c>
      <c r="E2664" t="s">
        <v>2636</v>
      </c>
    </row>
    <row r="2665" spans="1:5">
      <c r="A2665">
        <f>HYPERLINK("http://www.twitter.com/nyc311/status/758298832350445568", "758298832350445568")</f>
        <v>0</v>
      </c>
      <c r="B2665" s="2">
        <v>42578.5775925926</v>
      </c>
      <c r="C2665">
        <v>0</v>
      </c>
      <c r="D2665">
        <v>0</v>
      </c>
      <c r="E2665" t="s">
        <v>2637</v>
      </c>
    </row>
    <row r="2666" spans="1:5">
      <c r="A2666">
        <f>HYPERLINK("http://www.twitter.com/nyc311/status/758298803111858176", "758298803111858176")</f>
        <v>0</v>
      </c>
      <c r="B2666" s="2">
        <v>42578.5775115741</v>
      </c>
      <c r="C2666">
        <v>1</v>
      </c>
      <c r="D2666">
        <v>0</v>
      </c>
      <c r="E2666" t="s">
        <v>2638</v>
      </c>
    </row>
    <row r="2667" spans="1:5">
      <c r="A2667">
        <f>HYPERLINK("http://www.twitter.com/nyc311/status/758298777820291072", "758298777820291072")</f>
        <v>0</v>
      </c>
      <c r="B2667" s="2">
        <v>42578.5774421296</v>
      </c>
      <c r="C2667">
        <v>0</v>
      </c>
      <c r="D2667">
        <v>0</v>
      </c>
      <c r="E2667" t="s">
        <v>2639</v>
      </c>
    </row>
    <row r="2668" spans="1:5">
      <c r="A2668">
        <f>HYPERLINK("http://www.twitter.com/nyc311/status/758298753040277506", "758298753040277506")</f>
        <v>0</v>
      </c>
      <c r="B2668" s="2">
        <v>42578.5773726852</v>
      </c>
      <c r="C2668">
        <v>1</v>
      </c>
      <c r="D2668">
        <v>1</v>
      </c>
      <c r="E2668" t="s">
        <v>2640</v>
      </c>
    </row>
    <row r="2669" spans="1:5">
      <c r="A2669">
        <f>HYPERLINK("http://www.twitter.com/nyc311/status/758298717606780928", "758298717606780928")</f>
        <v>0</v>
      </c>
      <c r="B2669" s="2">
        <v>42578.5772800926</v>
      </c>
      <c r="C2669">
        <v>0</v>
      </c>
      <c r="D2669">
        <v>1</v>
      </c>
      <c r="E2669" t="s">
        <v>2641</v>
      </c>
    </row>
    <row r="2670" spans="1:5">
      <c r="A2670">
        <f>HYPERLINK("http://www.twitter.com/nyc311/status/758298693883879425", "758298693883879425")</f>
        <v>0</v>
      </c>
      <c r="B2670" s="2">
        <v>42578.5772106481</v>
      </c>
      <c r="C2670">
        <v>0</v>
      </c>
      <c r="D2670">
        <v>0</v>
      </c>
      <c r="E2670" t="s">
        <v>2642</v>
      </c>
    </row>
    <row r="2671" spans="1:5">
      <c r="A2671">
        <f>HYPERLINK("http://www.twitter.com/nyc311/status/758298650447585281", "758298650447585281")</f>
        <v>0</v>
      </c>
      <c r="B2671" s="2">
        <v>42578.5770949074</v>
      </c>
      <c r="C2671">
        <v>1</v>
      </c>
      <c r="D2671">
        <v>1</v>
      </c>
      <c r="E2671" t="s">
        <v>2643</v>
      </c>
    </row>
    <row r="2672" spans="1:5">
      <c r="A2672">
        <f>HYPERLINK("http://www.twitter.com/nyc311/status/758298584521539584", "758298584521539584")</f>
        <v>0</v>
      </c>
      <c r="B2672" s="2">
        <v>42578.5769097222</v>
      </c>
      <c r="C2672">
        <v>0</v>
      </c>
      <c r="D2672">
        <v>0</v>
      </c>
      <c r="E2672" t="s">
        <v>2644</v>
      </c>
    </row>
    <row r="2673" spans="1:5">
      <c r="A2673">
        <f>HYPERLINK("http://www.twitter.com/nyc311/status/758298088121503744", "758298088121503744")</f>
        <v>0</v>
      </c>
      <c r="B2673" s="2">
        <v>42578.5755439815</v>
      </c>
      <c r="C2673">
        <v>1</v>
      </c>
      <c r="D2673">
        <v>1</v>
      </c>
      <c r="E2673" t="s">
        <v>2645</v>
      </c>
    </row>
    <row r="2674" spans="1:5">
      <c r="A2674">
        <f>HYPERLINK("http://www.twitter.com/nyc311/status/758298052448911360", "758298052448911360")</f>
        <v>0</v>
      </c>
      <c r="B2674" s="2">
        <v>42578.5754398148</v>
      </c>
      <c r="C2674">
        <v>1</v>
      </c>
      <c r="D2674">
        <v>1</v>
      </c>
      <c r="E2674" t="s">
        <v>2646</v>
      </c>
    </row>
    <row r="2675" spans="1:5">
      <c r="A2675">
        <f>HYPERLINK("http://www.twitter.com/nyc311/status/758298027958370312", "758298027958370312")</f>
        <v>0</v>
      </c>
      <c r="B2675" s="2">
        <v>42578.5753819444</v>
      </c>
      <c r="C2675">
        <v>0</v>
      </c>
      <c r="D2675">
        <v>0</v>
      </c>
      <c r="E2675" t="s">
        <v>2647</v>
      </c>
    </row>
    <row r="2676" spans="1:5">
      <c r="A2676">
        <f>HYPERLINK("http://www.twitter.com/nyc311/status/758297998208167936", "758297998208167936")</f>
        <v>0</v>
      </c>
      <c r="B2676" s="2">
        <v>42578.5752893519</v>
      </c>
      <c r="C2676">
        <v>0</v>
      </c>
      <c r="D2676">
        <v>0</v>
      </c>
      <c r="E2676" t="s">
        <v>2648</v>
      </c>
    </row>
    <row r="2677" spans="1:5">
      <c r="A2677">
        <f>HYPERLINK("http://www.twitter.com/nyc311/status/758297952980992000", "758297952980992000")</f>
        <v>0</v>
      </c>
      <c r="B2677" s="2">
        <v>42578.5751736111</v>
      </c>
      <c r="C2677">
        <v>0</v>
      </c>
      <c r="D2677">
        <v>0</v>
      </c>
      <c r="E2677" t="s">
        <v>2649</v>
      </c>
    </row>
    <row r="2678" spans="1:5">
      <c r="A2678">
        <f>HYPERLINK("http://www.twitter.com/nyc311/status/758297912505954308", "758297912505954308")</f>
        <v>0</v>
      </c>
      <c r="B2678" s="2">
        <v>42578.5750578704</v>
      </c>
      <c r="C2678">
        <v>0</v>
      </c>
      <c r="D2678">
        <v>0</v>
      </c>
      <c r="E2678" t="s">
        <v>2650</v>
      </c>
    </row>
    <row r="2679" spans="1:5">
      <c r="A2679">
        <f>HYPERLINK("http://www.twitter.com/nyc311/status/758297874023194624", "758297874023194624")</f>
        <v>0</v>
      </c>
      <c r="B2679" s="2">
        <v>42578.5749537037</v>
      </c>
      <c r="C2679">
        <v>0</v>
      </c>
      <c r="D2679">
        <v>0</v>
      </c>
      <c r="E2679" t="s">
        <v>2651</v>
      </c>
    </row>
    <row r="2680" spans="1:5">
      <c r="A2680">
        <f>HYPERLINK("http://www.twitter.com/nyc311/status/758297849251631104", "758297849251631104")</f>
        <v>0</v>
      </c>
      <c r="B2680" s="2">
        <v>42578.5748842593</v>
      </c>
      <c r="C2680">
        <v>0</v>
      </c>
      <c r="D2680">
        <v>0</v>
      </c>
      <c r="E2680" t="s">
        <v>2652</v>
      </c>
    </row>
    <row r="2681" spans="1:5">
      <c r="A2681">
        <f>HYPERLINK("http://www.twitter.com/nyc311/status/758297739583221760", "758297739583221760")</f>
        <v>0</v>
      </c>
      <c r="B2681" s="2">
        <v>42578.5745833333</v>
      </c>
      <c r="C2681">
        <v>0</v>
      </c>
      <c r="D2681">
        <v>0</v>
      </c>
      <c r="E2681" t="s">
        <v>2653</v>
      </c>
    </row>
    <row r="2682" spans="1:5">
      <c r="A2682">
        <f>HYPERLINK("http://www.twitter.com/nyc311/status/758297621651984385", "758297621651984385")</f>
        <v>0</v>
      </c>
      <c r="B2682" s="2">
        <v>42578.5742592593</v>
      </c>
      <c r="C2682">
        <v>0</v>
      </c>
      <c r="D2682">
        <v>0</v>
      </c>
      <c r="E2682" t="s">
        <v>2654</v>
      </c>
    </row>
    <row r="2683" spans="1:5">
      <c r="A2683">
        <f>HYPERLINK("http://www.twitter.com/nyc311/status/758297592149241856", "758297592149241856")</f>
        <v>0</v>
      </c>
      <c r="B2683" s="2">
        <v>42578.5741782407</v>
      </c>
      <c r="C2683">
        <v>0</v>
      </c>
      <c r="D2683">
        <v>0</v>
      </c>
      <c r="E2683" t="s">
        <v>2655</v>
      </c>
    </row>
    <row r="2684" spans="1:5">
      <c r="A2684">
        <f>HYPERLINK("http://www.twitter.com/nyc311/status/758297544044740609", "758297544044740609")</f>
        <v>0</v>
      </c>
      <c r="B2684" s="2">
        <v>42578.5740393518</v>
      </c>
      <c r="C2684">
        <v>0</v>
      </c>
      <c r="D2684">
        <v>0</v>
      </c>
      <c r="E2684" t="s">
        <v>2656</v>
      </c>
    </row>
    <row r="2685" spans="1:5">
      <c r="A2685">
        <f>HYPERLINK("http://www.twitter.com/nyc311/status/758296909073227776", "758296909073227776")</f>
        <v>0</v>
      </c>
      <c r="B2685" s="2">
        <v>42578.5722916667</v>
      </c>
      <c r="C2685">
        <v>0</v>
      </c>
      <c r="D2685">
        <v>0</v>
      </c>
      <c r="E2685" t="s">
        <v>2657</v>
      </c>
    </row>
    <row r="2686" spans="1:5">
      <c r="A2686">
        <f>HYPERLINK("http://www.twitter.com/nyc311/status/758286148343128064", "758286148343128064")</f>
        <v>0</v>
      </c>
      <c r="B2686" s="2">
        <v>42578.5425925926</v>
      </c>
      <c r="C2686">
        <v>4</v>
      </c>
      <c r="D2686">
        <v>9</v>
      </c>
      <c r="E2686" t="s">
        <v>2658</v>
      </c>
    </row>
    <row r="2687" spans="1:5">
      <c r="A2687">
        <f>HYPERLINK("http://www.twitter.com/nyc311/status/758048948426858497", "758048948426858497")</f>
        <v>0</v>
      </c>
      <c r="B2687" s="2">
        <v>42577.8880439815</v>
      </c>
      <c r="C2687">
        <v>0</v>
      </c>
      <c r="D2687">
        <v>0</v>
      </c>
      <c r="E2687" t="s">
        <v>2632</v>
      </c>
    </row>
    <row r="2688" spans="1:5">
      <c r="A2688">
        <f>HYPERLINK("http://www.twitter.com/nyc311/status/758048802536300548", "758048802536300548")</f>
        <v>0</v>
      </c>
      <c r="B2688" s="2">
        <v>42577.887650463</v>
      </c>
      <c r="C2688">
        <v>0</v>
      </c>
      <c r="D2688">
        <v>0</v>
      </c>
      <c r="E2688" t="s">
        <v>2637</v>
      </c>
    </row>
    <row r="2689" spans="1:5">
      <c r="A2689">
        <f>HYPERLINK("http://www.twitter.com/nyc311/status/758048782319845376", "758048782319845376")</f>
        <v>0</v>
      </c>
      <c r="B2689" s="2">
        <v>42577.8875925926</v>
      </c>
      <c r="C2689">
        <v>0</v>
      </c>
      <c r="D2689">
        <v>0</v>
      </c>
      <c r="E2689" t="s">
        <v>2659</v>
      </c>
    </row>
    <row r="2690" spans="1:5">
      <c r="A2690">
        <f>HYPERLINK("http://www.twitter.com/nyc311/status/758041153556152320", "758041153556152320")</f>
        <v>0</v>
      </c>
      <c r="B2690" s="2">
        <v>42577.8665393519</v>
      </c>
      <c r="C2690">
        <v>0</v>
      </c>
      <c r="D2690">
        <v>0</v>
      </c>
      <c r="E2690" t="s">
        <v>2660</v>
      </c>
    </row>
    <row r="2691" spans="1:5">
      <c r="A2691">
        <f>HYPERLINK("http://www.twitter.com/nyc311/status/758041139899359232", "758041139899359232")</f>
        <v>0</v>
      </c>
      <c r="B2691" s="2">
        <v>42577.8665046296</v>
      </c>
      <c r="C2691">
        <v>0</v>
      </c>
      <c r="D2691">
        <v>1</v>
      </c>
      <c r="E2691" t="s">
        <v>2661</v>
      </c>
    </row>
    <row r="2692" spans="1:5">
      <c r="A2692">
        <f>HYPERLINK("http://www.twitter.com/nyc311/status/758041104981909504", "758041104981909504")</f>
        <v>0</v>
      </c>
      <c r="B2692" s="2">
        <v>42577.866400463</v>
      </c>
      <c r="C2692">
        <v>0</v>
      </c>
      <c r="D2692">
        <v>0</v>
      </c>
      <c r="E2692" t="s">
        <v>2662</v>
      </c>
    </row>
    <row r="2693" spans="1:5">
      <c r="A2693">
        <f>HYPERLINK("http://www.twitter.com/nyc311/status/758035466537033729", "758035466537033729")</f>
        <v>0</v>
      </c>
      <c r="B2693" s="2">
        <v>42577.8508449074</v>
      </c>
      <c r="C2693">
        <v>0</v>
      </c>
      <c r="D2693">
        <v>0</v>
      </c>
      <c r="E2693" t="s">
        <v>2663</v>
      </c>
    </row>
    <row r="2694" spans="1:5">
      <c r="A2694">
        <f>HYPERLINK("http://www.twitter.com/nyc311/status/758033174052110337", "758033174052110337")</f>
        <v>0</v>
      </c>
      <c r="B2694" s="2">
        <v>42577.8445138889</v>
      </c>
      <c r="C2694">
        <v>1</v>
      </c>
      <c r="D2694">
        <v>1</v>
      </c>
      <c r="E2694" t="s">
        <v>2664</v>
      </c>
    </row>
    <row r="2695" spans="1:5">
      <c r="A2695">
        <f>HYPERLINK("http://www.twitter.com/nyc311/status/758033124941033472", "758033124941033472")</f>
        <v>0</v>
      </c>
      <c r="B2695" s="2">
        <v>42577.8443865741</v>
      </c>
      <c r="C2695">
        <v>2</v>
      </c>
      <c r="D2695">
        <v>2</v>
      </c>
      <c r="E2695" t="s">
        <v>2665</v>
      </c>
    </row>
    <row r="2696" spans="1:5">
      <c r="A2696">
        <f>HYPERLINK("http://www.twitter.com/nyc311/status/758033032330743808", "758033032330743808")</f>
        <v>0</v>
      </c>
      <c r="B2696" s="2">
        <v>42577.8441319444</v>
      </c>
      <c r="C2696">
        <v>1</v>
      </c>
      <c r="D2696">
        <v>1</v>
      </c>
      <c r="E2696" t="s">
        <v>2666</v>
      </c>
    </row>
    <row r="2697" spans="1:5">
      <c r="A2697">
        <f>HYPERLINK("http://www.twitter.com/nyc311/status/758029537435389952", "758029537435389952")</f>
        <v>0</v>
      </c>
      <c r="B2697" s="2">
        <v>42577.8344791667</v>
      </c>
      <c r="C2697">
        <v>2</v>
      </c>
      <c r="D2697">
        <v>1</v>
      </c>
      <c r="E2697" t="s">
        <v>2667</v>
      </c>
    </row>
    <row r="2698" spans="1:5">
      <c r="A2698">
        <f>HYPERLINK("http://www.twitter.com/nyc311/status/758026881958576132", "758026881958576132")</f>
        <v>0</v>
      </c>
      <c r="B2698" s="2">
        <v>42577.8271527778</v>
      </c>
      <c r="C2698">
        <v>1</v>
      </c>
      <c r="D2698">
        <v>1</v>
      </c>
      <c r="E2698" t="s">
        <v>2668</v>
      </c>
    </row>
    <row r="2699" spans="1:5">
      <c r="A2699">
        <f>HYPERLINK("http://www.twitter.com/nyc311/status/758026859410063360", "758026859410063360")</f>
        <v>0</v>
      </c>
      <c r="B2699" s="2">
        <v>42577.8270949074</v>
      </c>
      <c r="C2699">
        <v>0</v>
      </c>
      <c r="D2699">
        <v>2</v>
      </c>
      <c r="E2699" t="s">
        <v>2669</v>
      </c>
    </row>
    <row r="2700" spans="1:5">
      <c r="A2700">
        <f>HYPERLINK("http://www.twitter.com/nyc311/status/758026832180543489", "758026832180543489")</f>
        <v>0</v>
      </c>
      <c r="B2700" s="2">
        <v>42577.8270138889</v>
      </c>
      <c r="C2700">
        <v>0</v>
      </c>
      <c r="D2700">
        <v>1</v>
      </c>
      <c r="E2700" t="s">
        <v>2670</v>
      </c>
    </row>
    <row r="2701" spans="1:5">
      <c r="A2701">
        <f>HYPERLINK("http://www.twitter.com/nyc311/status/758026745480175617", "758026745480175617")</f>
        <v>0</v>
      </c>
      <c r="B2701" s="2">
        <v>42577.8267824074</v>
      </c>
      <c r="C2701">
        <v>2</v>
      </c>
      <c r="D2701">
        <v>2</v>
      </c>
      <c r="E2701" t="s">
        <v>2671</v>
      </c>
    </row>
    <row r="2702" spans="1:5">
      <c r="A2702">
        <f>HYPERLINK("http://www.twitter.com/nyc311/status/758026708482162688", "758026708482162688")</f>
        <v>0</v>
      </c>
      <c r="B2702" s="2">
        <v>42577.8266782407</v>
      </c>
      <c r="C2702">
        <v>0</v>
      </c>
      <c r="D2702">
        <v>0</v>
      </c>
      <c r="E2702" t="s">
        <v>2672</v>
      </c>
    </row>
    <row r="2703" spans="1:5">
      <c r="A2703">
        <f>HYPERLINK("http://www.twitter.com/nyc311/status/758026667814187008", "758026667814187008")</f>
        <v>0</v>
      </c>
      <c r="B2703" s="2">
        <v>42577.8265625</v>
      </c>
      <c r="C2703">
        <v>0</v>
      </c>
      <c r="D2703">
        <v>0</v>
      </c>
      <c r="E2703" t="s">
        <v>2673</v>
      </c>
    </row>
    <row r="2704" spans="1:5">
      <c r="A2704">
        <f>HYPERLINK("http://www.twitter.com/nyc311/status/758026623857852416", "758026623857852416")</f>
        <v>0</v>
      </c>
      <c r="B2704" s="2">
        <v>42577.8264467593</v>
      </c>
      <c r="C2704">
        <v>0</v>
      </c>
      <c r="D2704">
        <v>1</v>
      </c>
      <c r="E2704" t="s">
        <v>2674</v>
      </c>
    </row>
    <row r="2705" spans="1:5">
      <c r="A2705">
        <f>HYPERLINK("http://www.twitter.com/nyc311/status/758026600554303488", "758026600554303488")</f>
        <v>0</v>
      </c>
      <c r="B2705" s="2">
        <v>42577.8263773148</v>
      </c>
      <c r="C2705">
        <v>0</v>
      </c>
      <c r="D2705">
        <v>0</v>
      </c>
      <c r="E2705" t="s">
        <v>2675</v>
      </c>
    </row>
    <row r="2706" spans="1:5">
      <c r="A2706">
        <f>HYPERLINK("http://www.twitter.com/nyc311/status/758026578597150720", "758026578597150720")</f>
        <v>0</v>
      </c>
      <c r="B2706" s="2">
        <v>42577.8263194444</v>
      </c>
      <c r="C2706">
        <v>1</v>
      </c>
      <c r="D2706">
        <v>1</v>
      </c>
      <c r="E2706" t="s">
        <v>2676</v>
      </c>
    </row>
    <row r="2707" spans="1:5">
      <c r="A2707">
        <f>HYPERLINK("http://www.twitter.com/nyc311/status/758026535974600704", "758026535974600704")</f>
        <v>0</v>
      </c>
      <c r="B2707" s="2">
        <v>42577.8262037037</v>
      </c>
      <c r="C2707">
        <v>0</v>
      </c>
      <c r="D2707">
        <v>0</v>
      </c>
      <c r="E2707" t="s">
        <v>2677</v>
      </c>
    </row>
    <row r="2708" spans="1:5">
      <c r="A2708">
        <f>HYPERLINK("http://www.twitter.com/nyc311/status/758026510838169600", "758026510838169600")</f>
        <v>0</v>
      </c>
      <c r="B2708" s="2">
        <v>42577.8261342593</v>
      </c>
      <c r="C2708">
        <v>1</v>
      </c>
      <c r="D2708">
        <v>1</v>
      </c>
      <c r="E2708" t="s">
        <v>2678</v>
      </c>
    </row>
    <row r="2709" spans="1:5">
      <c r="A2709">
        <f>HYPERLINK("http://www.twitter.com/nyc311/status/758026485693317120", "758026485693317120")</f>
        <v>0</v>
      </c>
      <c r="B2709" s="2">
        <v>42577.8260648148</v>
      </c>
      <c r="C2709">
        <v>0</v>
      </c>
      <c r="D2709">
        <v>0</v>
      </c>
      <c r="E2709" t="s">
        <v>2679</v>
      </c>
    </row>
    <row r="2710" spans="1:5">
      <c r="A2710">
        <f>HYPERLINK("http://www.twitter.com/nyc311/status/758025608890871808", "758025608890871808")</f>
        <v>0</v>
      </c>
      <c r="B2710" s="2">
        <v>42577.8236458333</v>
      </c>
      <c r="C2710">
        <v>0</v>
      </c>
      <c r="D2710">
        <v>0</v>
      </c>
      <c r="E2710" t="s">
        <v>2680</v>
      </c>
    </row>
    <row r="2711" spans="1:5">
      <c r="A2711">
        <f>HYPERLINK("http://www.twitter.com/nyc311/status/758025585394409472", "758025585394409472")</f>
        <v>0</v>
      </c>
      <c r="B2711" s="2">
        <v>42577.8235763889</v>
      </c>
      <c r="C2711">
        <v>1</v>
      </c>
      <c r="D2711">
        <v>1</v>
      </c>
      <c r="E2711" t="s">
        <v>2681</v>
      </c>
    </row>
    <row r="2712" spans="1:5">
      <c r="A2712">
        <f>HYPERLINK("http://www.twitter.com/nyc311/status/758025365830918144", "758025365830918144")</f>
        <v>0</v>
      </c>
      <c r="B2712" s="2">
        <v>42577.822974537</v>
      </c>
      <c r="C2712">
        <v>1</v>
      </c>
      <c r="D2712">
        <v>1</v>
      </c>
      <c r="E2712" t="s">
        <v>2682</v>
      </c>
    </row>
    <row r="2713" spans="1:5">
      <c r="A2713">
        <f>HYPERLINK("http://www.twitter.com/nyc311/status/758025343819186176", "758025343819186176")</f>
        <v>0</v>
      </c>
      <c r="B2713" s="2">
        <v>42577.8229166667</v>
      </c>
      <c r="C2713">
        <v>1</v>
      </c>
      <c r="D2713">
        <v>1</v>
      </c>
      <c r="E2713" t="s">
        <v>2683</v>
      </c>
    </row>
    <row r="2714" spans="1:5">
      <c r="A2714">
        <f>HYPERLINK("http://www.twitter.com/nyc311/status/758025149320949760", "758025149320949760")</f>
        <v>0</v>
      </c>
      <c r="B2714" s="2">
        <v>42577.8223726852</v>
      </c>
      <c r="C2714">
        <v>0</v>
      </c>
      <c r="D2714">
        <v>0</v>
      </c>
      <c r="E2714" t="s">
        <v>2684</v>
      </c>
    </row>
    <row r="2715" spans="1:5">
      <c r="A2715">
        <f>HYPERLINK("http://www.twitter.com/nyc311/status/758025125635776512", "758025125635776512")</f>
        <v>0</v>
      </c>
      <c r="B2715" s="2">
        <v>42577.8223148148</v>
      </c>
      <c r="C2715">
        <v>1</v>
      </c>
      <c r="D2715">
        <v>3</v>
      </c>
      <c r="E2715" t="s">
        <v>2685</v>
      </c>
    </row>
    <row r="2716" spans="1:5">
      <c r="A2716">
        <f>HYPERLINK("http://www.twitter.com/nyc311/status/758024775684001792", "758024775684001792")</f>
        <v>0</v>
      </c>
      <c r="B2716" s="2">
        <v>42577.8213425926</v>
      </c>
      <c r="C2716">
        <v>0</v>
      </c>
      <c r="D2716">
        <v>0</v>
      </c>
      <c r="E2716" t="s">
        <v>2686</v>
      </c>
    </row>
    <row r="2717" spans="1:5">
      <c r="A2717">
        <f>HYPERLINK("http://www.twitter.com/nyc311/status/758024704519245825", "758024704519245825")</f>
        <v>0</v>
      </c>
      <c r="B2717" s="2">
        <v>42577.8211458333</v>
      </c>
      <c r="C2717">
        <v>0</v>
      </c>
      <c r="D2717">
        <v>0</v>
      </c>
      <c r="E2717" t="s">
        <v>2687</v>
      </c>
    </row>
    <row r="2718" spans="1:5">
      <c r="A2718">
        <f>HYPERLINK("http://www.twitter.com/nyc311/status/758024451749515264", "758024451749515264")</f>
        <v>0</v>
      </c>
      <c r="B2718" s="2">
        <v>42577.8204513889</v>
      </c>
      <c r="C2718">
        <v>0</v>
      </c>
      <c r="D2718">
        <v>0</v>
      </c>
      <c r="E2718" t="s">
        <v>2688</v>
      </c>
    </row>
    <row r="2719" spans="1:5">
      <c r="A2719">
        <f>HYPERLINK("http://www.twitter.com/nyc311/status/758024324712464384", "758024324712464384")</f>
        <v>0</v>
      </c>
      <c r="B2719" s="2">
        <v>42577.8201041667</v>
      </c>
      <c r="C2719">
        <v>0</v>
      </c>
      <c r="D2719">
        <v>0</v>
      </c>
      <c r="E2719" t="s">
        <v>2689</v>
      </c>
    </row>
    <row r="2720" spans="1:5">
      <c r="A2720">
        <f>HYPERLINK("http://www.twitter.com/nyc311/status/758024242122350593", "758024242122350593")</f>
        <v>0</v>
      </c>
      <c r="B2720" s="2">
        <v>42577.8198726852</v>
      </c>
      <c r="C2720">
        <v>1</v>
      </c>
      <c r="D2720">
        <v>1</v>
      </c>
      <c r="E2720" t="s">
        <v>2690</v>
      </c>
    </row>
    <row r="2721" spans="1:5">
      <c r="A2721">
        <f>HYPERLINK("http://www.twitter.com/nyc311/status/758024171804889088", "758024171804889088")</f>
        <v>0</v>
      </c>
      <c r="B2721" s="2">
        <v>42577.8196759259</v>
      </c>
      <c r="C2721">
        <v>0</v>
      </c>
      <c r="D2721">
        <v>0</v>
      </c>
      <c r="E2721" t="s">
        <v>2691</v>
      </c>
    </row>
    <row r="2722" spans="1:5">
      <c r="A2722">
        <f>HYPERLINK("http://www.twitter.com/nyc311/status/758024027264933888", "758024027264933888")</f>
        <v>0</v>
      </c>
      <c r="B2722" s="2">
        <v>42577.8192824074</v>
      </c>
      <c r="C2722">
        <v>0</v>
      </c>
      <c r="D2722">
        <v>0</v>
      </c>
      <c r="E2722" t="s">
        <v>2692</v>
      </c>
    </row>
    <row r="2723" spans="1:5">
      <c r="A2723">
        <f>HYPERLINK("http://www.twitter.com/nyc311/status/758023734317948928", "758023734317948928")</f>
        <v>0</v>
      </c>
      <c r="B2723" s="2">
        <v>42577.8184722222</v>
      </c>
      <c r="C2723">
        <v>1</v>
      </c>
      <c r="D2723">
        <v>0</v>
      </c>
      <c r="E2723" t="s">
        <v>2693</v>
      </c>
    </row>
    <row r="2724" spans="1:5">
      <c r="A2724">
        <f>HYPERLINK("http://www.twitter.com/nyc311/status/758023574628302853", "758023574628302853")</f>
        <v>0</v>
      </c>
      <c r="B2724" s="2">
        <v>42577.8180324074</v>
      </c>
      <c r="C2724">
        <v>0</v>
      </c>
      <c r="D2724">
        <v>0</v>
      </c>
      <c r="E2724" t="s">
        <v>2693</v>
      </c>
    </row>
    <row r="2725" spans="1:5">
      <c r="A2725">
        <f>HYPERLINK("http://www.twitter.com/nyc311/status/758023344969187328", "758023344969187328")</f>
        <v>0</v>
      </c>
      <c r="B2725" s="2">
        <v>42577.8173958333</v>
      </c>
      <c r="C2725">
        <v>0</v>
      </c>
      <c r="D2725">
        <v>0</v>
      </c>
      <c r="E2725" t="s">
        <v>2694</v>
      </c>
    </row>
    <row r="2726" spans="1:5">
      <c r="A2726">
        <f>HYPERLINK("http://www.twitter.com/nyc311/status/758022893691428865", "758022893691428865")</f>
        <v>0</v>
      </c>
      <c r="B2726" s="2">
        <v>42577.8161458333</v>
      </c>
      <c r="C2726">
        <v>0</v>
      </c>
      <c r="D2726">
        <v>0</v>
      </c>
      <c r="E2726" t="s">
        <v>2695</v>
      </c>
    </row>
    <row r="2727" spans="1:5">
      <c r="A2727">
        <f>HYPERLINK("http://www.twitter.com/nyc311/status/758022816369344512", "758022816369344512")</f>
        <v>0</v>
      </c>
      <c r="B2727" s="2">
        <v>42577.8159375</v>
      </c>
      <c r="C2727">
        <v>1</v>
      </c>
      <c r="D2727">
        <v>1</v>
      </c>
      <c r="E2727" t="s">
        <v>2696</v>
      </c>
    </row>
    <row r="2728" spans="1:5">
      <c r="A2728">
        <f>HYPERLINK("http://www.twitter.com/nyc311/status/758022552375717889", "758022552375717889")</f>
        <v>0</v>
      </c>
      <c r="B2728" s="2">
        <v>42577.8152083333</v>
      </c>
      <c r="C2728">
        <v>0</v>
      </c>
      <c r="D2728">
        <v>0</v>
      </c>
      <c r="E2728" t="s">
        <v>2697</v>
      </c>
    </row>
    <row r="2729" spans="1:5">
      <c r="A2729">
        <f>HYPERLINK("http://www.twitter.com/nyc311/status/758022431328133120", "758022431328133120")</f>
        <v>0</v>
      </c>
      <c r="B2729" s="2">
        <v>42577.8148726852</v>
      </c>
      <c r="C2729">
        <v>0</v>
      </c>
      <c r="D2729">
        <v>0</v>
      </c>
      <c r="E2729" t="s">
        <v>2698</v>
      </c>
    </row>
    <row r="2730" spans="1:5">
      <c r="A2730">
        <f>HYPERLINK("http://www.twitter.com/nyc311/status/758022320040574976", "758022320040574976")</f>
        <v>0</v>
      </c>
      <c r="B2730" s="2">
        <v>42577.8145717593</v>
      </c>
      <c r="C2730">
        <v>1</v>
      </c>
      <c r="D2730">
        <v>0</v>
      </c>
      <c r="E2730" t="s">
        <v>2699</v>
      </c>
    </row>
    <row r="2731" spans="1:5">
      <c r="A2731">
        <f>HYPERLINK("http://www.twitter.com/nyc311/status/758022210871238658", "758022210871238658")</f>
        <v>0</v>
      </c>
      <c r="B2731" s="2">
        <v>42577.8142708333</v>
      </c>
      <c r="C2731">
        <v>0</v>
      </c>
      <c r="D2731">
        <v>0</v>
      </c>
      <c r="E2731" t="s">
        <v>2700</v>
      </c>
    </row>
    <row r="2732" spans="1:5">
      <c r="A2732">
        <f>HYPERLINK("http://www.twitter.com/nyc311/status/758022123763871744", "758022123763871744")</f>
        <v>0</v>
      </c>
      <c r="B2732" s="2">
        <v>42577.8140277778</v>
      </c>
      <c r="C2732">
        <v>0</v>
      </c>
      <c r="D2732">
        <v>0</v>
      </c>
      <c r="E2732" t="s">
        <v>2701</v>
      </c>
    </row>
    <row r="2733" spans="1:5">
      <c r="A2733">
        <f>HYPERLINK("http://www.twitter.com/nyc311/status/758021952653103104", "758021952653103104")</f>
        <v>0</v>
      </c>
      <c r="B2733" s="2">
        <v>42577.8135532407</v>
      </c>
      <c r="C2733">
        <v>0</v>
      </c>
      <c r="D2733">
        <v>0</v>
      </c>
      <c r="E2733" t="s">
        <v>2702</v>
      </c>
    </row>
    <row r="2734" spans="1:5">
      <c r="A2734">
        <f>HYPERLINK("http://www.twitter.com/nyc311/status/758020346805092352", "758020346805092352")</f>
        <v>0</v>
      </c>
      <c r="B2734" s="2">
        <v>42577.8091203704</v>
      </c>
      <c r="C2734">
        <v>1</v>
      </c>
      <c r="D2734">
        <v>0</v>
      </c>
      <c r="E2734" t="s">
        <v>2703</v>
      </c>
    </row>
    <row r="2735" spans="1:5">
      <c r="A2735">
        <f>HYPERLINK("http://www.twitter.com/nyc311/status/758019578240860160", "758019578240860160")</f>
        <v>0</v>
      </c>
      <c r="B2735" s="2">
        <v>42577.8070023148</v>
      </c>
      <c r="C2735">
        <v>1</v>
      </c>
      <c r="D2735">
        <v>0</v>
      </c>
      <c r="E2735" t="s">
        <v>2704</v>
      </c>
    </row>
    <row r="2736" spans="1:5">
      <c r="A2736">
        <f>HYPERLINK("http://www.twitter.com/nyc311/status/758003968844914691", "758003968844914691")</f>
        <v>0</v>
      </c>
      <c r="B2736" s="2">
        <v>42577.7639236111</v>
      </c>
      <c r="C2736">
        <v>1</v>
      </c>
      <c r="D2736">
        <v>0</v>
      </c>
      <c r="E2736" t="s">
        <v>2705</v>
      </c>
    </row>
    <row r="2737" spans="1:5">
      <c r="A2737">
        <f>HYPERLINK("http://www.twitter.com/nyc311/status/757999502510948353", "757999502510948353")</f>
        <v>0</v>
      </c>
      <c r="B2737" s="2">
        <v>42577.7516087963</v>
      </c>
      <c r="C2737">
        <v>2</v>
      </c>
      <c r="D2737">
        <v>0</v>
      </c>
      <c r="E2737" t="s">
        <v>2706</v>
      </c>
    </row>
    <row r="2738" spans="1:5">
      <c r="A2738">
        <f>HYPERLINK("http://www.twitter.com/nyc311/status/757986665877139460", "757986665877139460")</f>
        <v>0</v>
      </c>
      <c r="B2738" s="2">
        <v>42577.7161805556</v>
      </c>
      <c r="C2738">
        <v>8</v>
      </c>
      <c r="D2738">
        <v>4</v>
      </c>
      <c r="E2738" t="s">
        <v>2707</v>
      </c>
    </row>
    <row r="2739" spans="1:5">
      <c r="A2739">
        <f>HYPERLINK("http://www.twitter.com/nyc311/status/757986122635079680", "757986122635079680")</f>
        <v>0</v>
      </c>
      <c r="B2739" s="2">
        <v>42577.7146759259</v>
      </c>
      <c r="C2739">
        <v>0</v>
      </c>
      <c r="D2739">
        <v>0</v>
      </c>
      <c r="E2739" t="s">
        <v>2708</v>
      </c>
    </row>
    <row r="2740" spans="1:5">
      <c r="A2740">
        <f>HYPERLINK("http://www.twitter.com/nyc311/status/757985507490004992", "757985507490004992")</f>
        <v>0</v>
      </c>
      <c r="B2740" s="2">
        <v>42577.7129861111</v>
      </c>
      <c r="C2740">
        <v>0</v>
      </c>
      <c r="D2740">
        <v>0</v>
      </c>
      <c r="E2740" t="s">
        <v>2709</v>
      </c>
    </row>
    <row r="2741" spans="1:5">
      <c r="A2741">
        <f>HYPERLINK("http://www.twitter.com/nyc311/status/757961896398061568", "757961896398061568")</f>
        <v>0</v>
      </c>
      <c r="B2741" s="2">
        <v>42577.6478356481</v>
      </c>
      <c r="C2741">
        <v>0</v>
      </c>
      <c r="D2741">
        <v>0</v>
      </c>
      <c r="E2741" t="s">
        <v>2710</v>
      </c>
    </row>
    <row r="2742" spans="1:5">
      <c r="A2742">
        <f>HYPERLINK("http://www.twitter.com/nyc311/status/757957993623351296", "757957993623351296")</f>
        <v>0</v>
      </c>
      <c r="B2742" s="2">
        <v>42577.6370601852</v>
      </c>
      <c r="C2742">
        <v>0</v>
      </c>
      <c r="D2742">
        <v>0</v>
      </c>
      <c r="E2742" t="s">
        <v>2711</v>
      </c>
    </row>
    <row r="2743" spans="1:5">
      <c r="A2743">
        <f>HYPERLINK("http://www.twitter.com/nyc311/status/757957352951873544", "757957352951873544")</f>
        <v>0</v>
      </c>
      <c r="B2743" s="2">
        <v>42577.6352893518</v>
      </c>
      <c r="C2743">
        <v>1</v>
      </c>
      <c r="D2743">
        <v>0</v>
      </c>
      <c r="E2743" t="s">
        <v>2712</v>
      </c>
    </row>
    <row r="2744" spans="1:5">
      <c r="A2744">
        <f>HYPERLINK("http://www.twitter.com/nyc311/status/757957245078503424", "757957245078503424")</f>
        <v>0</v>
      </c>
      <c r="B2744" s="2">
        <v>42577.635</v>
      </c>
      <c r="C2744">
        <v>0</v>
      </c>
      <c r="D2744">
        <v>0</v>
      </c>
      <c r="E2744" t="s">
        <v>2713</v>
      </c>
    </row>
    <row r="2745" spans="1:5">
      <c r="A2745">
        <f>HYPERLINK("http://www.twitter.com/nyc311/status/757956783537262592", "757956783537262592")</f>
        <v>0</v>
      </c>
      <c r="B2745" s="2">
        <v>42577.6337268519</v>
      </c>
      <c r="C2745">
        <v>0</v>
      </c>
      <c r="D2745">
        <v>0</v>
      </c>
      <c r="E2745" t="s">
        <v>2714</v>
      </c>
    </row>
    <row r="2746" spans="1:5">
      <c r="A2746">
        <f>HYPERLINK("http://www.twitter.com/nyc311/status/757956534093639680", "757956534093639680")</f>
        <v>0</v>
      </c>
      <c r="B2746" s="2">
        <v>42577.6330324074</v>
      </c>
      <c r="C2746">
        <v>0</v>
      </c>
      <c r="D2746">
        <v>0</v>
      </c>
      <c r="E2746" t="s">
        <v>2715</v>
      </c>
    </row>
    <row r="2747" spans="1:5">
      <c r="A2747">
        <f>HYPERLINK("http://www.twitter.com/nyc311/status/757954020606640128", "757954020606640128")</f>
        <v>0</v>
      </c>
      <c r="B2747" s="2">
        <v>42577.626099537</v>
      </c>
      <c r="C2747">
        <v>4</v>
      </c>
      <c r="D2747">
        <v>7</v>
      </c>
      <c r="E2747" t="s">
        <v>2716</v>
      </c>
    </row>
    <row r="2748" spans="1:5">
      <c r="A2748">
        <f>HYPERLINK("http://www.twitter.com/nyc311/status/757953412868767744", "757953412868767744")</f>
        <v>0</v>
      </c>
      <c r="B2748" s="2">
        <v>42577.6244212963</v>
      </c>
      <c r="C2748">
        <v>0</v>
      </c>
      <c r="D2748">
        <v>0</v>
      </c>
      <c r="E2748" t="s">
        <v>2717</v>
      </c>
    </row>
    <row r="2749" spans="1:5">
      <c r="A2749">
        <f>HYPERLINK("http://www.twitter.com/nyc311/status/757952149515042820", "757952149515042820")</f>
        <v>0</v>
      </c>
      <c r="B2749" s="2">
        <v>42577.6209375</v>
      </c>
      <c r="C2749">
        <v>1</v>
      </c>
      <c r="D2749">
        <v>0</v>
      </c>
      <c r="E2749" t="s">
        <v>2718</v>
      </c>
    </row>
    <row r="2750" spans="1:5">
      <c r="A2750">
        <f>HYPERLINK("http://www.twitter.com/nyc311/status/757951070605832193", "757951070605832193")</f>
        <v>0</v>
      </c>
      <c r="B2750" s="2">
        <v>42577.6179513889</v>
      </c>
      <c r="C2750">
        <v>0</v>
      </c>
      <c r="D2750">
        <v>0</v>
      </c>
      <c r="E2750" t="s">
        <v>2719</v>
      </c>
    </row>
    <row r="2751" spans="1:5">
      <c r="A2751">
        <f>HYPERLINK("http://www.twitter.com/nyc311/status/757947996608815104", "757947996608815104")</f>
        <v>0</v>
      </c>
      <c r="B2751" s="2">
        <v>42577.6094791667</v>
      </c>
      <c r="C2751">
        <v>0</v>
      </c>
      <c r="D2751">
        <v>0</v>
      </c>
      <c r="E2751" t="s">
        <v>2720</v>
      </c>
    </row>
    <row r="2752" spans="1:5">
      <c r="A2752">
        <f>HYPERLINK("http://www.twitter.com/nyc311/status/757947419971743748", "757947419971743748")</f>
        <v>0</v>
      </c>
      <c r="B2752" s="2">
        <v>42577.6078819444</v>
      </c>
      <c r="C2752">
        <v>0</v>
      </c>
      <c r="D2752">
        <v>0</v>
      </c>
      <c r="E2752" t="s">
        <v>2721</v>
      </c>
    </row>
    <row r="2753" spans="1:5">
      <c r="A2753">
        <f>HYPERLINK("http://www.twitter.com/nyc311/status/757947273309458432", "757947273309458432")</f>
        <v>0</v>
      </c>
      <c r="B2753" s="2">
        <v>42577.6074768519</v>
      </c>
      <c r="C2753">
        <v>0</v>
      </c>
      <c r="D2753">
        <v>0</v>
      </c>
      <c r="E2753" t="s">
        <v>2722</v>
      </c>
    </row>
    <row r="2754" spans="1:5">
      <c r="A2754">
        <f>HYPERLINK("http://www.twitter.com/nyc311/status/757945853856378880", "757945853856378880")</f>
        <v>0</v>
      </c>
      <c r="B2754" s="2">
        <v>42577.6035648148</v>
      </c>
      <c r="C2754">
        <v>1</v>
      </c>
      <c r="D2754">
        <v>0</v>
      </c>
      <c r="E2754" t="s">
        <v>2723</v>
      </c>
    </row>
    <row r="2755" spans="1:5">
      <c r="A2755">
        <f>HYPERLINK("http://www.twitter.com/nyc311/status/757945197892341760", "757945197892341760")</f>
        <v>0</v>
      </c>
      <c r="B2755" s="2">
        <v>42577.6017476852</v>
      </c>
      <c r="C2755">
        <v>1</v>
      </c>
      <c r="D2755">
        <v>0</v>
      </c>
      <c r="E2755" t="s">
        <v>2724</v>
      </c>
    </row>
    <row r="2756" spans="1:5">
      <c r="A2756">
        <f>HYPERLINK("http://www.twitter.com/nyc311/status/757944525985832960", "757944525985832960")</f>
        <v>0</v>
      </c>
      <c r="B2756" s="2">
        <v>42577.5998958333</v>
      </c>
      <c r="C2756">
        <v>0</v>
      </c>
      <c r="D2756">
        <v>0</v>
      </c>
      <c r="E2756" t="s">
        <v>2725</v>
      </c>
    </row>
    <row r="2757" spans="1:5">
      <c r="A2757">
        <f>HYPERLINK("http://www.twitter.com/nyc311/status/757943529129832449", "757943529129832449")</f>
        <v>0</v>
      </c>
      <c r="B2757" s="2">
        <v>42577.5971412037</v>
      </c>
      <c r="C2757">
        <v>0</v>
      </c>
      <c r="D2757">
        <v>0</v>
      </c>
      <c r="E2757" t="s">
        <v>2726</v>
      </c>
    </row>
    <row r="2758" spans="1:5">
      <c r="A2758">
        <f>HYPERLINK("http://www.twitter.com/nyc311/status/757941603248009216", "757941603248009216")</f>
        <v>0</v>
      </c>
      <c r="B2758" s="2">
        <v>42577.5918287037</v>
      </c>
      <c r="C2758">
        <v>0</v>
      </c>
      <c r="D2758">
        <v>0</v>
      </c>
      <c r="E2758" t="s">
        <v>2727</v>
      </c>
    </row>
    <row r="2759" spans="1:5">
      <c r="A2759">
        <f>HYPERLINK("http://www.twitter.com/nyc311/status/757938901428436997", "757938901428436997")</f>
        <v>0</v>
      </c>
      <c r="B2759" s="2">
        <v>42577.584375</v>
      </c>
      <c r="C2759">
        <v>5</v>
      </c>
      <c r="D2759">
        <v>11</v>
      </c>
      <c r="E2759" t="s">
        <v>2728</v>
      </c>
    </row>
    <row r="2760" spans="1:5">
      <c r="A2760">
        <f>HYPERLINK("http://www.twitter.com/nyc311/status/757938753067417600", "757938753067417600")</f>
        <v>0</v>
      </c>
      <c r="B2760" s="2">
        <v>42577.5839699074</v>
      </c>
      <c r="C2760">
        <v>0</v>
      </c>
      <c r="D2760">
        <v>0</v>
      </c>
      <c r="E2760" t="s">
        <v>2729</v>
      </c>
    </row>
    <row r="2761" spans="1:5">
      <c r="A2761">
        <f>HYPERLINK("http://www.twitter.com/nyc311/status/757697060204404736", "757697060204404736")</f>
        <v>0</v>
      </c>
      <c r="B2761" s="2">
        <v>42576.917025463</v>
      </c>
      <c r="C2761">
        <v>3</v>
      </c>
      <c r="D2761">
        <v>4</v>
      </c>
      <c r="E2761" t="s">
        <v>2730</v>
      </c>
    </row>
    <row r="2762" spans="1:5">
      <c r="A2762">
        <f>HYPERLINK("http://www.twitter.com/nyc311/status/757681931752443908", "757681931752443908")</f>
        <v>0</v>
      </c>
      <c r="B2762" s="2">
        <v>42576.8752777778</v>
      </c>
      <c r="C2762">
        <v>3</v>
      </c>
      <c r="D2762">
        <v>6</v>
      </c>
      <c r="E2762" t="s">
        <v>2731</v>
      </c>
    </row>
    <row r="2763" spans="1:5">
      <c r="A2763">
        <f>HYPERLINK("http://www.twitter.com/nyc311/status/757680368002695168", "757680368002695168")</f>
        <v>0</v>
      </c>
      <c r="B2763" s="2">
        <v>42576.8709606481</v>
      </c>
      <c r="C2763">
        <v>0</v>
      </c>
      <c r="D2763">
        <v>0</v>
      </c>
      <c r="E2763" t="s">
        <v>2732</v>
      </c>
    </row>
    <row r="2764" spans="1:5">
      <c r="A2764">
        <f>HYPERLINK("http://www.twitter.com/nyc311/status/757667139364986881", "757667139364986881")</f>
        <v>0</v>
      </c>
      <c r="B2764" s="2">
        <v>42576.8344560185</v>
      </c>
      <c r="C2764">
        <v>2</v>
      </c>
      <c r="D2764">
        <v>4</v>
      </c>
      <c r="E2764" t="s">
        <v>2733</v>
      </c>
    </row>
    <row r="2765" spans="1:5">
      <c r="A2765">
        <f>HYPERLINK("http://www.twitter.com/nyc311/status/757649108723204096", "757649108723204096")</f>
        <v>0</v>
      </c>
      <c r="B2765" s="2">
        <v>42576.7846990741</v>
      </c>
      <c r="C2765">
        <v>0</v>
      </c>
      <c r="D2765">
        <v>0</v>
      </c>
      <c r="E2765" t="s">
        <v>2734</v>
      </c>
    </row>
    <row r="2766" spans="1:5">
      <c r="A2766">
        <f>HYPERLINK("http://www.twitter.com/nyc311/status/757647786439507968", "757647786439507968")</f>
        <v>0</v>
      </c>
      <c r="B2766" s="2">
        <v>42576.7810532407</v>
      </c>
      <c r="C2766">
        <v>0</v>
      </c>
      <c r="D2766">
        <v>0</v>
      </c>
      <c r="E2766" t="s">
        <v>2735</v>
      </c>
    </row>
    <row r="2767" spans="1:5">
      <c r="A2767">
        <f>HYPERLINK("http://www.twitter.com/nyc311/status/757646798479581184", "757646798479581184")</f>
        <v>0</v>
      </c>
      <c r="B2767" s="2">
        <v>42576.7783217593</v>
      </c>
      <c r="C2767">
        <v>0</v>
      </c>
      <c r="D2767">
        <v>0</v>
      </c>
      <c r="E2767" t="s">
        <v>2736</v>
      </c>
    </row>
    <row r="2768" spans="1:5">
      <c r="A2768">
        <f>HYPERLINK("http://www.twitter.com/nyc311/status/757644839492132864", "757644839492132864")</f>
        <v>0</v>
      </c>
      <c r="B2768" s="2">
        <v>42576.7729166667</v>
      </c>
      <c r="C2768">
        <v>0</v>
      </c>
      <c r="D2768">
        <v>0</v>
      </c>
      <c r="E2768" t="s">
        <v>2737</v>
      </c>
    </row>
    <row r="2769" spans="1:5">
      <c r="A2769">
        <f>HYPERLINK("http://www.twitter.com/nyc311/status/757637138670387200", "757637138670387200")</f>
        <v>0</v>
      </c>
      <c r="B2769" s="2">
        <v>42576.7516666667</v>
      </c>
      <c r="C2769">
        <v>3</v>
      </c>
      <c r="D2769">
        <v>5</v>
      </c>
      <c r="E2769" t="s">
        <v>2203</v>
      </c>
    </row>
    <row r="2770" spans="1:5">
      <c r="A2770">
        <f>HYPERLINK("http://www.twitter.com/nyc311/status/757622101473890304", "757622101473890304")</f>
        <v>0</v>
      </c>
      <c r="B2770" s="2">
        <v>42576.7101736111</v>
      </c>
      <c r="C2770">
        <v>3</v>
      </c>
      <c r="D2770">
        <v>4</v>
      </c>
      <c r="E2770" t="s">
        <v>2738</v>
      </c>
    </row>
    <row r="2771" spans="1:5">
      <c r="A2771">
        <f>HYPERLINK("http://www.twitter.com/nyc311/status/757613688237031432", "757613688237031432")</f>
        <v>0</v>
      </c>
      <c r="B2771" s="2">
        <v>42576.6869560185</v>
      </c>
      <c r="C2771">
        <v>0</v>
      </c>
      <c r="D2771">
        <v>0</v>
      </c>
      <c r="E2771" t="s">
        <v>2739</v>
      </c>
    </row>
    <row r="2772" spans="1:5">
      <c r="A2772">
        <f>HYPERLINK("http://www.twitter.com/nyc311/status/757612658870870016", "757612658870870016")</f>
        <v>0</v>
      </c>
      <c r="B2772" s="2">
        <v>42576.6841203704</v>
      </c>
      <c r="C2772">
        <v>0</v>
      </c>
      <c r="D2772">
        <v>0</v>
      </c>
      <c r="E2772" t="s">
        <v>2740</v>
      </c>
    </row>
    <row r="2773" spans="1:5">
      <c r="A2773">
        <f>HYPERLINK("http://www.twitter.com/nyc311/status/757610912689885184", "757610912689885184")</f>
        <v>0</v>
      </c>
      <c r="B2773" s="2">
        <v>42576.6792939815</v>
      </c>
      <c r="C2773">
        <v>0</v>
      </c>
      <c r="D2773">
        <v>0</v>
      </c>
      <c r="E2773" t="s">
        <v>2741</v>
      </c>
    </row>
    <row r="2774" spans="1:5">
      <c r="A2774">
        <f>HYPERLINK("http://www.twitter.com/nyc311/status/757608526323806208", "757608526323806208")</f>
        <v>0</v>
      </c>
      <c r="B2774" s="2">
        <v>42576.6727199074</v>
      </c>
      <c r="C2774">
        <v>0</v>
      </c>
      <c r="D2774">
        <v>0</v>
      </c>
      <c r="E2774" t="s">
        <v>2742</v>
      </c>
    </row>
    <row r="2775" spans="1:5">
      <c r="A2775">
        <f>HYPERLINK("http://www.twitter.com/nyc311/status/757607628474286080", "757607628474286080")</f>
        <v>0</v>
      </c>
      <c r="B2775" s="2">
        <v>42576.6702314815</v>
      </c>
      <c r="C2775">
        <v>0</v>
      </c>
      <c r="D2775">
        <v>0</v>
      </c>
      <c r="E2775" t="s">
        <v>2743</v>
      </c>
    </row>
    <row r="2776" spans="1:5">
      <c r="A2776">
        <f>HYPERLINK("http://www.twitter.com/nyc311/status/757607112201601024", "757607112201601024")</f>
        <v>0</v>
      </c>
      <c r="B2776" s="2">
        <v>42576.6688078704</v>
      </c>
      <c r="C2776">
        <v>5</v>
      </c>
      <c r="D2776">
        <v>2</v>
      </c>
      <c r="E2776" t="s">
        <v>2744</v>
      </c>
    </row>
    <row r="2777" spans="1:5">
      <c r="A2777">
        <f>HYPERLINK("http://www.twitter.com/nyc311/status/757606553558085636", "757606553558085636")</f>
        <v>0</v>
      </c>
      <c r="B2777" s="2">
        <v>42576.6672685185</v>
      </c>
      <c r="C2777">
        <v>0</v>
      </c>
      <c r="D2777">
        <v>0</v>
      </c>
      <c r="E2777" t="s">
        <v>2745</v>
      </c>
    </row>
    <row r="2778" spans="1:5">
      <c r="A2778">
        <f>HYPERLINK("http://www.twitter.com/nyc311/status/757606310179463168", "757606310179463168")</f>
        <v>0</v>
      </c>
      <c r="B2778" s="2">
        <v>42576.6665972222</v>
      </c>
      <c r="C2778">
        <v>0</v>
      </c>
      <c r="D2778">
        <v>0</v>
      </c>
      <c r="E2778" t="s">
        <v>2746</v>
      </c>
    </row>
    <row r="2779" spans="1:5">
      <c r="A2779">
        <f>HYPERLINK("http://www.twitter.com/nyc311/status/757605806573518848", "757605806573518848")</f>
        <v>0</v>
      </c>
      <c r="B2779" s="2">
        <v>42576.6652083333</v>
      </c>
      <c r="C2779">
        <v>0</v>
      </c>
      <c r="D2779">
        <v>0</v>
      </c>
      <c r="E2779" t="s">
        <v>2747</v>
      </c>
    </row>
    <row r="2780" spans="1:5">
      <c r="A2780">
        <f>HYPERLINK("http://www.twitter.com/nyc311/status/757605182754652161", "757605182754652161")</f>
        <v>0</v>
      </c>
      <c r="B2780" s="2">
        <v>42576.6634837963</v>
      </c>
      <c r="C2780">
        <v>0</v>
      </c>
      <c r="D2780">
        <v>0</v>
      </c>
      <c r="E2780" t="s">
        <v>2748</v>
      </c>
    </row>
    <row r="2781" spans="1:5">
      <c r="A2781">
        <f>HYPERLINK("http://www.twitter.com/nyc311/status/757604577524973568", "757604577524973568")</f>
        <v>0</v>
      </c>
      <c r="B2781" s="2">
        <v>42576.6618171296</v>
      </c>
      <c r="C2781">
        <v>0</v>
      </c>
      <c r="D2781">
        <v>0</v>
      </c>
      <c r="E2781" t="s">
        <v>2749</v>
      </c>
    </row>
    <row r="2782" spans="1:5">
      <c r="A2782">
        <f>HYPERLINK("http://www.twitter.com/nyc311/status/757603625141145600", "757603625141145600")</f>
        <v>0</v>
      </c>
      <c r="B2782" s="2">
        <v>42576.6591898148</v>
      </c>
      <c r="C2782">
        <v>0</v>
      </c>
      <c r="D2782">
        <v>0</v>
      </c>
      <c r="E2782" t="s">
        <v>2750</v>
      </c>
    </row>
    <row r="2783" spans="1:5">
      <c r="A2783">
        <f>HYPERLINK("http://www.twitter.com/nyc311/status/757603461613641728", "757603461613641728")</f>
        <v>0</v>
      </c>
      <c r="B2783" s="2">
        <v>42576.6587384259</v>
      </c>
      <c r="C2783">
        <v>0</v>
      </c>
      <c r="D2783">
        <v>0</v>
      </c>
      <c r="E2783" t="s">
        <v>2751</v>
      </c>
    </row>
    <row r="2784" spans="1:5">
      <c r="A2784">
        <f>HYPERLINK("http://www.twitter.com/nyc311/status/757598697140129794", "757598697140129794")</f>
        <v>0</v>
      </c>
      <c r="B2784" s="2">
        <v>42576.6455902778</v>
      </c>
      <c r="C2784">
        <v>0</v>
      </c>
      <c r="D2784">
        <v>0</v>
      </c>
      <c r="E2784" t="s">
        <v>2752</v>
      </c>
    </row>
    <row r="2785" spans="1:5">
      <c r="A2785">
        <f>HYPERLINK("http://www.twitter.com/nyc311/status/757596914854559744", "757596914854559744")</f>
        <v>0</v>
      </c>
      <c r="B2785" s="2">
        <v>42576.6406712963</v>
      </c>
      <c r="C2785">
        <v>0</v>
      </c>
      <c r="D2785">
        <v>0</v>
      </c>
      <c r="E2785" t="s">
        <v>2753</v>
      </c>
    </row>
    <row r="2786" spans="1:5">
      <c r="A2786">
        <f>HYPERLINK("http://www.twitter.com/nyc311/status/757596731928379392", "757596731928379392")</f>
        <v>0</v>
      </c>
      <c r="B2786" s="2">
        <v>42576.6401736111</v>
      </c>
      <c r="C2786">
        <v>0</v>
      </c>
      <c r="D2786">
        <v>0</v>
      </c>
      <c r="E2786" t="s">
        <v>2754</v>
      </c>
    </row>
    <row r="2787" spans="1:5">
      <c r="A2787">
        <f>HYPERLINK("http://www.twitter.com/nyc311/status/757595080391876608", "757595080391876608")</f>
        <v>0</v>
      </c>
      <c r="B2787" s="2">
        <v>42576.6356134259</v>
      </c>
      <c r="C2787">
        <v>0</v>
      </c>
      <c r="D2787">
        <v>0</v>
      </c>
      <c r="E2787" t="s">
        <v>2755</v>
      </c>
    </row>
    <row r="2788" spans="1:5">
      <c r="A2788">
        <f>HYPERLINK("http://www.twitter.com/nyc311/status/757594715827105792", "757594715827105792")</f>
        <v>0</v>
      </c>
      <c r="B2788" s="2">
        <v>42576.6346064815</v>
      </c>
      <c r="C2788">
        <v>0</v>
      </c>
      <c r="D2788">
        <v>0</v>
      </c>
      <c r="E2788" t="s">
        <v>2756</v>
      </c>
    </row>
    <row r="2789" spans="1:5">
      <c r="A2789">
        <f>HYPERLINK("http://www.twitter.com/nyc311/status/757594661968027648", "757594661968027648")</f>
        <v>0</v>
      </c>
      <c r="B2789" s="2">
        <v>42576.6344560185</v>
      </c>
      <c r="C2789">
        <v>0</v>
      </c>
      <c r="D2789">
        <v>0</v>
      </c>
      <c r="E2789" t="s">
        <v>2757</v>
      </c>
    </row>
    <row r="2790" spans="1:5">
      <c r="A2790">
        <f>HYPERLINK("http://www.twitter.com/nyc311/status/757594199575461888", "757594199575461888")</f>
        <v>0</v>
      </c>
      <c r="B2790" s="2">
        <v>42576.6331828704</v>
      </c>
      <c r="C2790">
        <v>0</v>
      </c>
      <c r="D2790">
        <v>0</v>
      </c>
      <c r="E2790" t="s">
        <v>2758</v>
      </c>
    </row>
    <row r="2791" spans="1:5">
      <c r="A2791">
        <f>HYPERLINK("http://www.twitter.com/nyc311/status/757591407062310912", "757591407062310912")</f>
        <v>0</v>
      </c>
      <c r="B2791" s="2">
        <v>42576.625474537</v>
      </c>
      <c r="C2791">
        <v>6</v>
      </c>
      <c r="D2791">
        <v>9</v>
      </c>
      <c r="E2791" t="s">
        <v>2759</v>
      </c>
    </row>
    <row r="2792" spans="1:5">
      <c r="A2792">
        <f>HYPERLINK("http://www.twitter.com/nyc311/status/757590656365785088", "757590656365785088")</f>
        <v>0</v>
      </c>
      <c r="B2792" s="2">
        <v>42576.6234027778</v>
      </c>
      <c r="C2792">
        <v>1</v>
      </c>
      <c r="D2792">
        <v>1</v>
      </c>
      <c r="E2792" t="s">
        <v>2760</v>
      </c>
    </row>
    <row r="2793" spans="1:5">
      <c r="A2793">
        <f>HYPERLINK("http://www.twitter.com/nyc311/status/757590391982088192", "757590391982088192")</f>
        <v>0</v>
      </c>
      <c r="B2793" s="2">
        <v>42576.6226736111</v>
      </c>
      <c r="C2793">
        <v>0</v>
      </c>
      <c r="D2793">
        <v>0</v>
      </c>
      <c r="E2793" t="s">
        <v>2761</v>
      </c>
    </row>
    <row r="2794" spans="1:5">
      <c r="A2794">
        <f>HYPERLINK("http://www.twitter.com/nyc311/status/757589256747544576", "757589256747544576")</f>
        <v>0</v>
      </c>
      <c r="B2794" s="2">
        <v>42576.619537037</v>
      </c>
      <c r="C2794">
        <v>0</v>
      </c>
      <c r="D2794">
        <v>0</v>
      </c>
      <c r="E2794" t="s">
        <v>2762</v>
      </c>
    </row>
    <row r="2795" spans="1:5">
      <c r="A2795">
        <f>HYPERLINK("http://www.twitter.com/nyc311/status/757587740447891456", "757587740447891456")</f>
        <v>0</v>
      </c>
      <c r="B2795" s="2">
        <v>42576.6153587963</v>
      </c>
      <c r="C2795">
        <v>0</v>
      </c>
      <c r="D2795">
        <v>0</v>
      </c>
      <c r="E2795" t="s">
        <v>2763</v>
      </c>
    </row>
    <row r="2796" spans="1:5">
      <c r="A2796">
        <f>HYPERLINK("http://www.twitter.com/nyc311/status/757585815069417472", "757585815069417472")</f>
        <v>0</v>
      </c>
      <c r="B2796" s="2">
        <v>42576.6100462963</v>
      </c>
      <c r="C2796">
        <v>0</v>
      </c>
      <c r="D2796">
        <v>0</v>
      </c>
      <c r="E2796" t="s">
        <v>2764</v>
      </c>
    </row>
    <row r="2797" spans="1:5">
      <c r="A2797">
        <f>HYPERLINK("http://www.twitter.com/nyc311/status/757584970781171712", "757584970781171712")</f>
        <v>0</v>
      </c>
      <c r="B2797" s="2">
        <v>42576.6077083333</v>
      </c>
      <c r="C2797">
        <v>0</v>
      </c>
      <c r="D2797">
        <v>0</v>
      </c>
      <c r="E2797" t="s">
        <v>2765</v>
      </c>
    </row>
    <row r="2798" spans="1:5">
      <c r="A2798">
        <f>HYPERLINK("http://www.twitter.com/nyc311/status/757582606007406592", "757582606007406592")</f>
        <v>0</v>
      </c>
      <c r="B2798" s="2">
        <v>42576.6011921296</v>
      </c>
      <c r="C2798">
        <v>0</v>
      </c>
      <c r="D2798">
        <v>0</v>
      </c>
      <c r="E2798" t="s">
        <v>2766</v>
      </c>
    </row>
    <row r="2799" spans="1:5">
      <c r="A2799">
        <f>HYPERLINK("http://www.twitter.com/nyc311/status/757582543533268994", "757582543533268994")</f>
        <v>0</v>
      </c>
      <c r="B2799" s="2">
        <v>42576.6010185185</v>
      </c>
      <c r="C2799">
        <v>0</v>
      </c>
      <c r="D2799">
        <v>0</v>
      </c>
      <c r="E2799" t="s">
        <v>2767</v>
      </c>
    </row>
    <row r="2800" spans="1:5">
      <c r="A2800">
        <f>HYPERLINK("http://www.twitter.com/nyc311/status/757582477187805184", "757582477187805184")</f>
        <v>0</v>
      </c>
      <c r="B2800" s="2">
        <v>42576.6008333333</v>
      </c>
      <c r="C2800">
        <v>0</v>
      </c>
      <c r="D2800">
        <v>0</v>
      </c>
      <c r="E2800" t="s">
        <v>2768</v>
      </c>
    </row>
    <row r="2801" spans="1:5">
      <c r="A2801">
        <f>HYPERLINK("http://www.twitter.com/nyc311/status/757577933003321344", "757577933003321344")</f>
        <v>0</v>
      </c>
      <c r="B2801" s="2">
        <v>42576.5882986111</v>
      </c>
      <c r="C2801">
        <v>1</v>
      </c>
      <c r="D2801">
        <v>0</v>
      </c>
      <c r="E2801" t="s">
        <v>2769</v>
      </c>
    </row>
    <row r="2802" spans="1:5">
      <c r="A2802">
        <f>HYPERLINK("http://www.twitter.com/nyc311/status/757577050655977472", "757577050655977472")</f>
        <v>0</v>
      </c>
      <c r="B2802" s="2">
        <v>42576.5858564815</v>
      </c>
      <c r="C2802">
        <v>0</v>
      </c>
      <c r="D2802">
        <v>0</v>
      </c>
      <c r="E2802" t="s">
        <v>2770</v>
      </c>
    </row>
    <row r="2803" spans="1:5">
      <c r="A2803">
        <f>HYPERLINK("http://www.twitter.com/nyc311/status/757576264563748869", "757576264563748869")</f>
        <v>0</v>
      </c>
      <c r="B2803" s="2">
        <v>42576.5836921296</v>
      </c>
      <c r="C2803">
        <v>2</v>
      </c>
      <c r="D2803">
        <v>10</v>
      </c>
      <c r="E2803" t="s">
        <v>2771</v>
      </c>
    </row>
    <row r="2804" spans="1:5">
      <c r="A2804">
        <f>HYPERLINK("http://www.twitter.com/nyc311/status/757304579197394944", "757304579197394944")</f>
        <v>0</v>
      </c>
      <c r="B2804" s="2">
        <v>42575.8339814815</v>
      </c>
      <c r="C2804">
        <v>3</v>
      </c>
      <c r="D2804">
        <v>3</v>
      </c>
      <c r="E2804" t="s">
        <v>2772</v>
      </c>
    </row>
    <row r="2805" spans="1:5">
      <c r="A2805">
        <f>HYPERLINK("http://www.twitter.com/nyc311/status/757274558739148800", "757274558739148800")</f>
        <v>0</v>
      </c>
      <c r="B2805" s="2">
        <v>42575.7511342593</v>
      </c>
      <c r="C2805">
        <v>8</v>
      </c>
      <c r="D2805">
        <v>7</v>
      </c>
      <c r="E2805" t="s">
        <v>2773</v>
      </c>
    </row>
    <row r="2806" spans="1:5">
      <c r="A2806">
        <f>HYPERLINK("http://www.twitter.com/nyc311/status/757259294463131648", "757259294463131648")</f>
        <v>0</v>
      </c>
      <c r="B2806" s="2">
        <v>42575.7090162037</v>
      </c>
      <c r="C2806">
        <v>4</v>
      </c>
      <c r="D2806">
        <v>4</v>
      </c>
      <c r="E2806" t="s">
        <v>2774</v>
      </c>
    </row>
    <row r="2807" spans="1:5">
      <c r="A2807">
        <f>HYPERLINK("http://www.twitter.com/nyc311/status/757244214744940544", "757244214744940544")</f>
        <v>0</v>
      </c>
      <c r="B2807" s="2">
        <v>42575.6674074074</v>
      </c>
      <c r="C2807">
        <v>5</v>
      </c>
      <c r="D2807">
        <v>7</v>
      </c>
      <c r="E2807" t="s">
        <v>2775</v>
      </c>
    </row>
    <row r="2808" spans="1:5">
      <c r="A2808">
        <f>HYPERLINK("http://www.twitter.com/nyc311/status/757214014283845632", "757214014283845632")</f>
        <v>0</v>
      </c>
      <c r="B2808" s="2">
        <v>42575.5840740741</v>
      </c>
      <c r="C2808">
        <v>6</v>
      </c>
      <c r="D2808">
        <v>3</v>
      </c>
      <c r="E2808" t="s">
        <v>2776</v>
      </c>
    </row>
    <row r="2809" spans="1:5">
      <c r="A2809">
        <f>HYPERLINK("http://www.twitter.com/nyc311/status/756942175829712896", "756942175829712896")</f>
        <v>0</v>
      </c>
      <c r="B2809" s="2">
        <v>42574.8339351852</v>
      </c>
      <c r="C2809">
        <v>1</v>
      </c>
      <c r="D2809">
        <v>0</v>
      </c>
      <c r="E2809" t="s">
        <v>2777</v>
      </c>
    </row>
    <row r="2810" spans="1:5">
      <c r="A2810">
        <f>HYPERLINK("http://www.twitter.com/nyc311/status/756911971526647808", "756911971526647808")</f>
        <v>0</v>
      </c>
      <c r="B2810" s="2">
        <v>42574.7505902778</v>
      </c>
      <c r="C2810">
        <v>4</v>
      </c>
      <c r="D2810">
        <v>6</v>
      </c>
      <c r="E2810" t="s">
        <v>2778</v>
      </c>
    </row>
    <row r="2811" spans="1:5">
      <c r="A2811">
        <f>HYPERLINK("http://www.twitter.com/nyc311/status/756881818746511361", "756881818746511361")</f>
        <v>0</v>
      </c>
      <c r="B2811" s="2">
        <v>42574.6673842593</v>
      </c>
      <c r="C2811">
        <v>22</v>
      </c>
      <c r="D2811">
        <v>5</v>
      </c>
      <c r="E2811" t="s">
        <v>2779</v>
      </c>
    </row>
    <row r="2812" spans="1:5">
      <c r="A2812">
        <f>HYPERLINK("http://www.twitter.com/nyc311/status/756851597985153024", "756851597985153024")</f>
        <v>0</v>
      </c>
      <c r="B2812" s="2">
        <v>42574.5839930556</v>
      </c>
      <c r="C2812">
        <v>5</v>
      </c>
      <c r="D2812">
        <v>6</v>
      </c>
      <c r="E2812" t="s">
        <v>2780</v>
      </c>
    </row>
    <row r="2813" spans="1:5">
      <c r="A2813">
        <f>HYPERLINK("http://www.twitter.com/nyc311/status/756597278350147584", "756597278350147584")</f>
        <v>0</v>
      </c>
      <c r="B2813" s="2">
        <v>42573.8821990741</v>
      </c>
      <c r="C2813">
        <v>1</v>
      </c>
      <c r="D2813">
        <v>0</v>
      </c>
      <c r="E2813" t="s">
        <v>2781</v>
      </c>
    </row>
    <row r="2814" spans="1:5">
      <c r="A2814">
        <f>HYPERLINK("http://www.twitter.com/nyc311/status/756580129145585664", "756580129145585664")</f>
        <v>0</v>
      </c>
      <c r="B2814" s="2">
        <v>42573.8348842593</v>
      </c>
      <c r="C2814">
        <v>2</v>
      </c>
      <c r="D2814">
        <v>0</v>
      </c>
      <c r="E2814" t="s">
        <v>2782</v>
      </c>
    </row>
    <row r="2815" spans="1:5">
      <c r="A2815">
        <f>HYPERLINK("http://www.twitter.com/nyc311/status/756569040898916352", "756569040898916352")</f>
        <v>0</v>
      </c>
      <c r="B2815" s="2">
        <v>42573.8042824074</v>
      </c>
      <c r="C2815">
        <v>0</v>
      </c>
      <c r="D2815">
        <v>0</v>
      </c>
      <c r="E2815" t="s">
        <v>2783</v>
      </c>
    </row>
    <row r="2816" spans="1:5">
      <c r="A2816">
        <f>HYPERLINK("http://www.twitter.com/nyc311/status/756564670736113664", "756564670736113664")</f>
        <v>0</v>
      </c>
      <c r="B2816" s="2">
        <v>42573.7922222222</v>
      </c>
      <c r="C2816">
        <v>5</v>
      </c>
      <c r="D2816">
        <v>13</v>
      </c>
      <c r="E2816" t="s">
        <v>2784</v>
      </c>
    </row>
    <row r="2817" spans="1:5">
      <c r="A2817">
        <f>HYPERLINK("http://www.twitter.com/nyc311/status/756563205971845120", "756563205971845120")</f>
        <v>0</v>
      </c>
      <c r="B2817" s="2">
        <v>42573.7881828704</v>
      </c>
      <c r="C2817">
        <v>3</v>
      </c>
      <c r="D2817">
        <v>11</v>
      </c>
      <c r="E2817" t="s">
        <v>2785</v>
      </c>
    </row>
    <row r="2818" spans="1:5">
      <c r="A2818">
        <f>HYPERLINK("http://www.twitter.com/nyc311/status/756551484825829376", "756551484825829376")</f>
        <v>0</v>
      </c>
      <c r="B2818" s="2">
        <v>42573.7558333333</v>
      </c>
      <c r="C2818">
        <v>0</v>
      </c>
      <c r="D2818">
        <v>0</v>
      </c>
      <c r="E2818" t="s">
        <v>2786</v>
      </c>
    </row>
    <row r="2819" spans="1:5">
      <c r="A2819">
        <f>HYPERLINK("http://www.twitter.com/nyc311/status/756549529789431809", "756549529789431809")</f>
        <v>0</v>
      </c>
      <c r="B2819" s="2">
        <v>42573.7504398148</v>
      </c>
      <c r="C2819">
        <v>3</v>
      </c>
      <c r="D2819">
        <v>4</v>
      </c>
      <c r="E2819" t="s">
        <v>2787</v>
      </c>
    </row>
    <row r="2820" spans="1:5">
      <c r="A2820">
        <f>HYPERLINK("http://www.twitter.com/nyc311/status/756535535104036864", "756535535104036864")</f>
        <v>0</v>
      </c>
      <c r="B2820" s="2">
        <v>42573.7118171296</v>
      </c>
      <c r="C2820">
        <v>2</v>
      </c>
      <c r="D2820">
        <v>5</v>
      </c>
      <c r="E2820" t="s">
        <v>2788</v>
      </c>
    </row>
    <row r="2821" spans="1:5">
      <c r="A2821">
        <f>HYPERLINK("http://www.twitter.com/nyc311/status/756521156727955458", "756521156727955458")</f>
        <v>0</v>
      </c>
      <c r="B2821" s="2">
        <v>42573.6721412037</v>
      </c>
      <c r="C2821">
        <v>1</v>
      </c>
      <c r="D2821">
        <v>0</v>
      </c>
      <c r="E2821" t="s">
        <v>2789</v>
      </c>
    </row>
    <row r="2822" spans="1:5">
      <c r="A2822">
        <f>HYPERLINK("http://www.twitter.com/nyc311/status/756519319958351878", "756519319958351878")</f>
        <v>0</v>
      </c>
      <c r="B2822" s="2">
        <v>42573.6670717593</v>
      </c>
      <c r="C2822">
        <v>4</v>
      </c>
      <c r="D2822">
        <v>4</v>
      </c>
      <c r="E2822" t="s">
        <v>2790</v>
      </c>
    </row>
    <row r="2823" spans="1:5">
      <c r="A2823">
        <f>HYPERLINK("http://www.twitter.com/nyc311/status/756504221592190976", "756504221592190976")</f>
        <v>0</v>
      </c>
      <c r="B2823" s="2">
        <v>42573.6254166667</v>
      </c>
      <c r="C2823">
        <v>19</v>
      </c>
      <c r="D2823">
        <v>24</v>
      </c>
      <c r="E2823" t="s">
        <v>2791</v>
      </c>
    </row>
    <row r="2824" spans="1:5">
      <c r="A2824">
        <f>HYPERLINK("http://www.twitter.com/nyc311/status/756500015716139009", "756500015716139009")</f>
        <v>0</v>
      </c>
      <c r="B2824" s="2">
        <v>42573.6138078704</v>
      </c>
      <c r="C2824">
        <v>0</v>
      </c>
      <c r="D2824">
        <v>0</v>
      </c>
      <c r="E2824" t="s">
        <v>2792</v>
      </c>
    </row>
    <row r="2825" spans="1:5">
      <c r="A2825">
        <f>HYPERLINK("http://www.twitter.com/nyc311/status/756500005469511680", "756500005469511680")</f>
        <v>0</v>
      </c>
      <c r="B2825" s="2">
        <v>42573.6137847222</v>
      </c>
      <c r="C2825">
        <v>0</v>
      </c>
      <c r="D2825">
        <v>0</v>
      </c>
      <c r="E2825" t="s">
        <v>2793</v>
      </c>
    </row>
    <row r="2826" spans="1:5">
      <c r="A2826">
        <f>HYPERLINK("http://www.twitter.com/nyc311/status/756498127994191873", "756498127994191873")</f>
        <v>0</v>
      </c>
      <c r="B2826" s="2">
        <v>42573.608599537</v>
      </c>
      <c r="C2826">
        <v>0</v>
      </c>
      <c r="D2826">
        <v>0</v>
      </c>
      <c r="E2826" t="s">
        <v>2794</v>
      </c>
    </row>
    <row r="2827" spans="1:5">
      <c r="A2827">
        <f>HYPERLINK("http://www.twitter.com/nyc311/status/756497074292752384", "756497074292752384")</f>
        <v>0</v>
      </c>
      <c r="B2827" s="2">
        <v>42573.6056944444</v>
      </c>
      <c r="C2827">
        <v>0</v>
      </c>
      <c r="D2827">
        <v>0</v>
      </c>
      <c r="E2827" t="s">
        <v>2795</v>
      </c>
    </row>
    <row r="2828" spans="1:5">
      <c r="A2828">
        <f>HYPERLINK("http://www.twitter.com/nyc311/status/756496380307312640", "756496380307312640")</f>
        <v>0</v>
      </c>
      <c r="B2828" s="2">
        <v>42573.6037731481</v>
      </c>
      <c r="C2828">
        <v>0</v>
      </c>
      <c r="D2828">
        <v>0</v>
      </c>
      <c r="E2828" t="s">
        <v>2796</v>
      </c>
    </row>
    <row r="2829" spans="1:5">
      <c r="A2829">
        <f>HYPERLINK("http://www.twitter.com/nyc311/status/756495794455322624", "756495794455322624")</f>
        <v>0</v>
      </c>
      <c r="B2829" s="2">
        <v>42573.6021643519</v>
      </c>
      <c r="C2829">
        <v>1</v>
      </c>
      <c r="D2829">
        <v>1</v>
      </c>
      <c r="E2829" t="s">
        <v>2797</v>
      </c>
    </row>
    <row r="2830" spans="1:5">
      <c r="A2830">
        <f>HYPERLINK("http://www.twitter.com/nyc311/status/756494452580122624", "756494452580122624")</f>
        <v>0</v>
      </c>
      <c r="B2830" s="2">
        <v>42573.5984606482</v>
      </c>
      <c r="C2830">
        <v>0</v>
      </c>
      <c r="D2830">
        <v>0</v>
      </c>
      <c r="E2830" t="s">
        <v>2798</v>
      </c>
    </row>
    <row r="2831" spans="1:5">
      <c r="A2831">
        <f>HYPERLINK("http://www.twitter.com/nyc311/status/756494287781629952", "756494287781629952")</f>
        <v>0</v>
      </c>
      <c r="B2831" s="2">
        <v>42573.5979976852</v>
      </c>
      <c r="C2831">
        <v>0</v>
      </c>
      <c r="D2831">
        <v>0</v>
      </c>
      <c r="E2831" t="s">
        <v>2799</v>
      </c>
    </row>
    <row r="2832" spans="1:5">
      <c r="A2832">
        <f>HYPERLINK("http://www.twitter.com/nyc311/status/756493685949337600", "756493685949337600")</f>
        <v>0</v>
      </c>
      <c r="B2832" s="2">
        <v>42573.5963425926</v>
      </c>
      <c r="C2832">
        <v>1</v>
      </c>
      <c r="D2832">
        <v>0</v>
      </c>
      <c r="E2832" t="s">
        <v>2800</v>
      </c>
    </row>
    <row r="2833" spans="1:5">
      <c r="A2833">
        <f>HYPERLINK("http://www.twitter.com/nyc311/status/756492801613979648", "756492801613979648")</f>
        <v>0</v>
      </c>
      <c r="B2833" s="2">
        <v>42573.593900463</v>
      </c>
      <c r="C2833">
        <v>0</v>
      </c>
      <c r="D2833">
        <v>0</v>
      </c>
      <c r="E2833" t="s">
        <v>2801</v>
      </c>
    </row>
    <row r="2834" spans="1:5">
      <c r="A2834">
        <f>HYPERLINK("http://www.twitter.com/nyc311/status/756491357510832129", "756491357510832129")</f>
        <v>0</v>
      </c>
      <c r="B2834" s="2">
        <v>42573.5899189815</v>
      </c>
      <c r="C2834">
        <v>0</v>
      </c>
      <c r="D2834">
        <v>19</v>
      </c>
      <c r="E2834" t="s">
        <v>2802</v>
      </c>
    </row>
    <row r="2835" spans="1:5">
      <c r="A2835">
        <f>HYPERLINK("http://www.twitter.com/nyc311/status/756489115957354496", "756489115957354496")</f>
        <v>0</v>
      </c>
      <c r="B2835" s="2">
        <v>42573.5837268519</v>
      </c>
      <c r="C2835">
        <v>7</v>
      </c>
      <c r="D2835">
        <v>12</v>
      </c>
      <c r="E2835" t="s">
        <v>2803</v>
      </c>
    </row>
    <row r="2836" spans="1:5">
      <c r="A2836">
        <f>HYPERLINK("http://www.twitter.com/nyc311/status/756482624177180672", "756482624177180672")</f>
        <v>0</v>
      </c>
      <c r="B2836" s="2">
        <v>42573.5658217593</v>
      </c>
      <c r="C2836">
        <v>1</v>
      </c>
      <c r="D2836">
        <v>0</v>
      </c>
      <c r="E2836" t="s">
        <v>2804</v>
      </c>
    </row>
    <row r="2837" spans="1:5">
      <c r="A2837">
        <f>HYPERLINK("http://www.twitter.com/nyc311/status/756236302790590465", "756236302790590465")</f>
        <v>0</v>
      </c>
      <c r="B2837" s="2">
        <v>42572.886099537</v>
      </c>
      <c r="C2837">
        <v>1</v>
      </c>
      <c r="D2837">
        <v>3</v>
      </c>
      <c r="E2837" t="s">
        <v>2805</v>
      </c>
    </row>
    <row r="2838" spans="1:5">
      <c r="A2838">
        <f>HYPERLINK("http://www.twitter.com/nyc311/status/756217755125346304", "756217755125346304")</f>
        <v>0</v>
      </c>
      <c r="B2838" s="2">
        <v>42572.8349189815</v>
      </c>
      <c r="C2838">
        <v>4</v>
      </c>
      <c r="D2838">
        <v>2</v>
      </c>
      <c r="E2838" t="s">
        <v>1618</v>
      </c>
    </row>
    <row r="2839" spans="1:5">
      <c r="A2839">
        <f>HYPERLINK("http://www.twitter.com/nyc311/status/756216508385202177", "756216508385202177")</f>
        <v>0</v>
      </c>
      <c r="B2839" s="2">
        <v>42572.8314814815</v>
      </c>
      <c r="C2839">
        <v>0</v>
      </c>
      <c r="D2839">
        <v>0</v>
      </c>
      <c r="E2839" t="s">
        <v>2806</v>
      </c>
    </row>
    <row r="2840" spans="1:5">
      <c r="A2840">
        <f>HYPERLINK("http://www.twitter.com/nyc311/status/756202224838148096", "756202224838148096")</f>
        <v>0</v>
      </c>
      <c r="B2840" s="2">
        <v>42572.7920601852</v>
      </c>
      <c r="C2840">
        <v>4</v>
      </c>
      <c r="D2840">
        <v>5</v>
      </c>
      <c r="E2840" t="s">
        <v>2807</v>
      </c>
    </row>
    <row r="2841" spans="1:5">
      <c r="A2841">
        <f>HYPERLINK("http://www.twitter.com/nyc311/status/756197399140372480", "756197399140372480")</f>
        <v>0</v>
      </c>
      <c r="B2841" s="2">
        <v>42572.77875</v>
      </c>
      <c r="C2841">
        <v>0</v>
      </c>
      <c r="D2841">
        <v>1</v>
      </c>
      <c r="E2841" t="s">
        <v>2808</v>
      </c>
    </row>
    <row r="2842" spans="1:5">
      <c r="A2842">
        <f>HYPERLINK("http://www.twitter.com/nyc311/status/756187684087947264", "756187684087947264")</f>
        <v>0</v>
      </c>
      <c r="B2842" s="2">
        <v>42572.7519328704</v>
      </c>
      <c r="C2842">
        <v>4</v>
      </c>
      <c r="D2842">
        <v>2</v>
      </c>
      <c r="E2842" t="s">
        <v>2809</v>
      </c>
    </row>
    <row r="2843" spans="1:5">
      <c r="A2843">
        <f>HYPERLINK("http://www.twitter.com/nyc311/status/756172600989089792", "756172600989089792")</f>
        <v>0</v>
      </c>
      <c r="B2843" s="2">
        <v>42572.7103125</v>
      </c>
      <c r="C2843">
        <v>2</v>
      </c>
      <c r="D2843">
        <v>7</v>
      </c>
      <c r="E2843" t="s">
        <v>2810</v>
      </c>
    </row>
    <row r="2844" spans="1:5">
      <c r="A2844">
        <f>HYPERLINK("http://www.twitter.com/nyc311/status/756169121797173248", "756169121797173248")</f>
        <v>0</v>
      </c>
      <c r="B2844" s="2">
        <v>42572.7007175926</v>
      </c>
      <c r="C2844">
        <v>0</v>
      </c>
      <c r="D2844">
        <v>0</v>
      </c>
      <c r="E2844" t="s">
        <v>2811</v>
      </c>
    </row>
    <row r="2845" spans="1:5">
      <c r="A2845">
        <f>HYPERLINK("http://www.twitter.com/nyc311/status/756167233311764480", "756167233311764480")</f>
        <v>0</v>
      </c>
      <c r="B2845" s="2">
        <v>42572.6954976852</v>
      </c>
      <c r="C2845">
        <v>0</v>
      </c>
      <c r="D2845">
        <v>0</v>
      </c>
      <c r="E2845" t="s">
        <v>2812</v>
      </c>
    </row>
    <row r="2846" spans="1:5">
      <c r="A2846">
        <f>HYPERLINK("http://www.twitter.com/nyc311/status/756166921402318848", "756166921402318848")</f>
        <v>0</v>
      </c>
      <c r="B2846" s="2">
        <v>42572.6946412037</v>
      </c>
      <c r="C2846">
        <v>1</v>
      </c>
      <c r="D2846">
        <v>0</v>
      </c>
      <c r="E2846" t="s">
        <v>2813</v>
      </c>
    </row>
    <row r="2847" spans="1:5">
      <c r="A2847">
        <f>HYPERLINK("http://www.twitter.com/nyc311/status/756162663961460736", "756162663961460736")</f>
        <v>0</v>
      </c>
      <c r="B2847" s="2">
        <v>42572.6828935185</v>
      </c>
      <c r="C2847">
        <v>0</v>
      </c>
      <c r="D2847">
        <v>0</v>
      </c>
      <c r="E2847" t="s">
        <v>2814</v>
      </c>
    </row>
    <row r="2848" spans="1:5">
      <c r="A2848">
        <f>HYPERLINK("http://www.twitter.com/nyc311/status/756162536400101376", "756162536400101376")</f>
        <v>0</v>
      </c>
      <c r="B2848" s="2">
        <v>42572.6825462963</v>
      </c>
      <c r="C2848">
        <v>0</v>
      </c>
      <c r="D2848">
        <v>0</v>
      </c>
      <c r="E2848" t="s">
        <v>2815</v>
      </c>
    </row>
    <row r="2849" spans="1:5">
      <c r="A2849">
        <f>HYPERLINK("http://www.twitter.com/nyc311/status/756162404212506624", "756162404212506624")</f>
        <v>0</v>
      </c>
      <c r="B2849" s="2">
        <v>42572.6821759259</v>
      </c>
      <c r="C2849">
        <v>0</v>
      </c>
      <c r="D2849">
        <v>0</v>
      </c>
      <c r="E2849" t="s">
        <v>2816</v>
      </c>
    </row>
    <row r="2850" spans="1:5">
      <c r="A2850">
        <f>HYPERLINK("http://www.twitter.com/nyc311/status/756157570113474561", "756157570113474561")</f>
        <v>0</v>
      </c>
      <c r="B2850" s="2">
        <v>42572.6688425926</v>
      </c>
      <c r="C2850">
        <v>4</v>
      </c>
      <c r="D2850">
        <v>6</v>
      </c>
      <c r="E2850" t="s">
        <v>2817</v>
      </c>
    </row>
    <row r="2851" spans="1:5">
      <c r="A2851">
        <f>HYPERLINK("http://www.twitter.com/nyc311/status/756153122314125312", "756153122314125312")</f>
        <v>0</v>
      </c>
      <c r="B2851" s="2">
        <v>42572.6565625</v>
      </c>
      <c r="C2851">
        <v>0</v>
      </c>
      <c r="D2851">
        <v>0</v>
      </c>
      <c r="E2851" t="s">
        <v>2818</v>
      </c>
    </row>
    <row r="2852" spans="1:5">
      <c r="A2852">
        <f>HYPERLINK("http://www.twitter.com/nyc311/status/756137377664491520", "756137377664491520")</f>
        <v>0</v>
      </c>
      <c r="B2852" s="2">
        <v>42572.6131134259</v>
      </c>
      <c r="C2852">
        <v>0</v>
      </c>
      <c r="D2852">
        <v>0</v>
      </c>
      <c r="E2852" t="s">
        <v>2819</v>
      </c>
    </row>
    <row r="2853" spans="1:5">
      <c r="A2853">
        <f>HYPERLINK("http://www.twitter.com/nyc311/status/756137016903991297", "756137016903991297")</f>
        <v>0</v>
      </c>
      <c r="B2853" s="2">
        <v>42572.6121180556</v>
      </c>
      <c r="C2853">
        <v>0</v>
      </c>
      <c r="D2853">
        <v>0</v>
      </c>
      <c r="E2853" t="s">
        <v>2820</v>
      </c>
    </row>
    <row r="2854" spans="1:5">
      <c r="A2854">
        <f>HYPERLINK("http://www.twitter.com/nyc311/status/756133682994356224", "756133682994356224")</f>
        <v>0</v>
      </c>
      <c r="B2854" s="2">
        <v>42572.6029166667</v>
      </c>
      <c r="C2854">
        <v>0</v>
      </c>
      <c r="D2854">
        <v>0</v>
      </c>
      <c r="E2854" t="s">
        <v>2821</v>
      </c>
    </row>
    <row r="2855" spans="1:5">
      <c r="A2855">
        <f>HYPERLINK("http://www.twitter.com/nyc311/status/756133372209012736", "756133372209012736")</f>
        <v>0</v>
      </c>
      <c r="B2855" s="2">
        <v>42572.6020601852</v>
      </c>
      <c r="C2855">
        <v>0</v>
      </c>
      <c r="D2855">
        <v>0</v>
      </c>
      <c r="E2855" t="s">
        <v>2822</v>
      </c>
    </row>
    <row r="2856" spans="1:5">
      <c r="A2856">
        <f>HYPERLINK("http://www.twitter.com/nyc311/status/756132654353965060", "756132654353965060")</f>
        <v>0</v>
      </c>
      <c r="B2856" s="2">
        <v>42572.6000810185</v>
      </c>
      <c r="C2856">
        <v>0</v>
      </c>
      <c r="D2856">
        <v>0</v>
      </c>
      <c r="E2856" t="s">
        <v>2823</v>
      </c>
    </row>
    <row r="2857" spans="1:5">
      <c r="A2857">
        <f>HYPERLINK("http://www.twitter.com/nyc311/status/756132523109937152", "756132523109937152")</f>
        <v>0</v>
      </c>
      <c r="B2857" s="2">
        <v>42572.5997222222</v>
      </c>
      <c r="C2857">
        <v>0</v>
      </c>
      <c r="D2857">
        <v>0</v>
      </c>
      <c r="E2857" t="s">
        <v>2824</v>
      </c>
    </row>
    <row r="2858" spans="1:5">
      <c r="A2858">
        <f>HYPERLINK("http://www.twitter.com/nyc311/status/756131170228826116", "756131170228826116")</f>
        <v>0</v>
      </c>
      <c r="B2858" s="2">
        <v>42572.5959837963</v>
      </c>
      <c r="C2858">
        <v>0</v>
      </c>
      <c r="D2858">
        <v>0</v>
      </c>
      <c r="E2858" t="s">
        <v>2825</v>
      </c>
    </row>
    <row r="2859" spans="1:5">
      <c r="A2859">
        <f>HYPERLINK("http://www.twitter.com/nyc311/status/756130921317863424", "756130921317863424")</f>
        <v>0</v>
      </c>
      <c r="B2859" s="2">
        <v>42572.5953009259</v>
      </c>
      <c r="C2859">
        <v>1</v>
      </c>
      <c r="D2859">
        <v>0</v>
      </c>
      <c r="E2859" t="s">
        <v>2826</v>
      </c>
    </row>
    <row r="2860" spans="1:5">
      <c r="A2860">
        <f>HYPERLINK("http://www.twitter.com/nyc311/status/756130839273103360", "756130839273103360")</f>
        <v>0</v>
      </c>
      <c r="B2860" s="2">
        <v>42572.5950694444</v>
      </c>
      <c r="C2860">
        <v>0</v>
      </c>
      <c r="D2860">
        <v>0</v>
      </c>
      <c r="E2860" t="s">
        <v>2827</v>
      </c>
    </row>
    <row r="2861" spans="1:5">
      <c r="A2861">
        <f>HYPERLINK("http://www.twitter.com/nyc311/status/756127315361427457", "756127315361427457")</f>
        <v>0</v>
      </c>
      <c r="B2861" s="2">
        <v>42572.5853472222</v>
      </c>
      <c r="C2861">
        <v>10</v>
      </c>
      <c r="D2861">
        <v>5</v>
      </c>
      <c r="E2861" t="s">
        <v>2828</v>
      </c>
    </row>
    <row r="2862" spans="1:5">
      <c r="A2862">
        <f>HYPERLINK("http://www.twitter.com/nyc311/status/756126872367407104", "756126872367407104")</f>
        <v>0</v>
      </c>
      <c r="B2862" s="2">
        <v>42572.5841319444</v>
      </c>
      <c r="C2862">
        <v>0</v>
      </c>
      <c r="D2862">
        <v>0</v>
      </c>
      <c r="E2862" t="s">
        <v>2829</v>
      </c>
    </row>
    <row r="2863" spans="1:5">
      <c r="A2863">
        <f>HYPERLINK("http://www.twitter.com/nyc311/status/755881332014743552", "755881332014743552")</f>
        <v>0</v>
      </c>
      <c r="B2863" s="2">
        <v>42571.9065625</v>
      </c>
      <c r="C2863">
        <v>0</v>
      </c>
      <c r="D2863">
        <v>0</v>
      </c>
      <c r="E2863" t="s">
        <v>2830</v>
      </c>
    </row>
    <row r="2864" spans="1:5">
      <c r="A2864">
        <f>HYPERLINK("http://www.twitter.com/nyc311/status/755855618175631360", "755855618175631360")</f>
        <v>0</v>
      </c>
      <c r="B2864" s="2">
        <v>42571.8356134259</v>
      </c>
      <c r="C2864">
        <v>2</v>
      </c>
      <c r="D2864">
        <v>1</v>
      </c>
      <c r="E2864" t="s">
        <v>2831</v>
      </c>
    </row>
    <row r="2865" spans="1:5">
      <c r="A2865">
        <f>HYPERLINK("http://www.twitter.com/nyc311/status/755843289761275904", "755843289761275904")</f>
        <v>0</v>
      </c>
      <c r="B2865" s="2">
        <v>42571.8015856482</v>
      </c>
      <c r="C2865">
        <v>0</v>
      </c>
      <c r="D2865">
        <v>0</v>
      </c>
      <c r="E2865" t="s">
        <v>2832</v>
      </c>
    </row>
    <row r="2866" spans="1:5">
      <c r="A2866">
        <f>HYPERLINK("http://www.twitter.com/nyc311/status/755825966052704256", "755825966052704256")</f>
        <v>0</v>
      </c>
      <c r="B2866" s="2">
        <v>42571.7537847222</v>
      </c>
      <c r="C2866">
        <v>1</v>
      </c>
      <c r="D2866">
        <v>0</v>
      </c>
      <c r="E2866" t="s">
        <v>2833</v>
      </c>
    </row>
    <row r="2867" spans="1:5">
      <c r="A2867">
        <f>HYPERLINK("http://www.twitter.com/nyc311/status/755825253687947264", "755825253687947264")</f>
        <v>0</v>
      </c>
      <c r="B2867" s="2">
        <v>42571.7518171296</v>
      </c>
      <c r="C2867">
        <v>2</v>
      </c>
      <c r="D2867">
        <v>6</v>
      </c>
      <c r="E2867" t="s">
        <v>2834</v>
      </c>
    </row>
    <row r="2868" spans="1:5">
      <c r="A2868">
        <f>HYPERLINK("http://www.twitter.com/nyc311/status/755825252752580609", "755825252752580609")</f>
        <v>0</v>
      </c>
      <c r="B2868" s="2">
        <v>42571.7518171296</v>
      </c>
      <c r="C2868">
        <v>18</v>
      </c>
      <c r="D2868">
        <v>14</v>
      </c>
      <c r="E2868" t="s">
        <v>2835</v>
      </c>
    </row>
    <row r="2869" spans="1:5">
      <c r="A2869">
        <f>HYPERLINK("http://www.twitter.com/nyc311/status/755822635926388736", "755822635926388736")</f>
        <v>0</v>
      </c>
      <c r="B2869" s="2">
        <v>42571.7445949074</v>
      </c>
      <c r="C2869">
        <v>0</v>
      </c>
      <c r="D2869">
        <v>0</v>
      </c>
      <c r="E2869" t="s">
        <v>2836</v>
      </c>
    </row>
    <row r="2870" spans="1:5">
      <c r="A2870">
        <f>HYPERLINK("http://www.twitter.com/nyc311/status/755820253335195648", "755820253335195648")</f>
        <v>0</v>
      </c>
      <c r="B2870" s="2">
        <v>42571.7380208333</v>
      </c>
      <c r="C2870">
        <v>1</v>
      </c>
      <c r="D2870">
        <v>0</v>
      </c>
      <c r="E2870" t="s">
        <v>2837</v>
      </c>
    </row>
    <row r="2871" spans="1:5">
      <c r="A2871">
        <f>HYPERLINK("http://www.twitter.com/nyc311/status/755819416596652032", "755819416596652032")</f>
        <v>0</v>
      </c>
      <c r="B2871" s="2">
        <v>42571.7357175926</v>
      </c>
      <c r="C2871">
        <v>1</v>
      </c>
      <c r="D2871">
        <v>0</v>
      </c>
      <c r="E2871" t="s">
        <v>2838</v>
      </c>
    </row>
    <row r="2872" spans="1:5">
      <c r="A2872">
        <f>HYPERLINK("http://www.twitter.com/nyc311/status/755795244562673665", "755795244562673665")</f>
        <v>0</v>
      </c>
      <c r="B2872" s="2">
        <v>42571.6690046296</v>
      </c>
      <c r="C2872">
        <v>2</v>
      </c>
      <c r="D2872">
        <v>1</v>
      </c>
      <c r="E2872" t="s">
        <v>2839</v>
      </c>
    </row>
    <row r="2873" spans="1:5">
      <c r="A2873">
        <f>HYPERLINK("http://www.twitter.com/nyc311/status/755777896892039168", "755777896892039168")</f>
        <v>0</v>
      </c>
      <c r="B2873" s="2">
        <v>42571.6211342593</v>
      </c>
      <c r="C2873">
        <v>1</v>
      </c>
      <c r="D2873">
        <v>1</v>
      </c>
      <c r="E2873" t="s">
        <v>2840</v>
      </c>
    </row>
    <row r="2874" spans="1:5">
      <c r="A2874">
        <f>HYPERLINK("http://www.twitter.com/nyc311/status/755775700314034178", "755775700314034178")</f>
        <v>0</v>
      </c>
      <c r="B2874" s="2">
        <v>42571.6150810185</v>
      </c>
      <c r="C2874">
        <v>1</v>
      </c>
      <c r="D2874">
        <v>0</v>
      </c>
      <c r="E2874" t="s">
        <v>2841</v>
      </c>
    </row>
    <row r="2875" spans="1:5">
      <c r="A2875">
        <f>HYPERLINK("http://www.twitter.com/nyc311/status/755774317917573120", "755774317917573120")</f>
        <v>0</v>
      </c>
      <c r="B2875" s="2">
        <v>42571.6112615741</v>
      </c>
      <c r="C2875">
        <v>0</v>
      </c>
      <c r="D2875">
        <v>0</v>
      </c>
      <c r="E2875" t="s">
        <v>2842</v>
      </c>
    </row>
    <row r="2876" spans="1:5">
      <c r="A2876">
        <f>HYPERLINK("http://www.twitter.com/nyc311/status/755764925117652992", "755764925117652992")</f>
        <v>0</v>
      </c>
      <c r="B2876" s="2">
        <v>42571.5853472222</v>
      </c>
      <c r="C2876">
        <v>11</v>
      </c>
      <c r="D2876">
        <v>6</v>
      </c>
      <c r="E2876" t="s">
        <v>2843</v>
      </c>
    </row>
    <row r="2877" spans="1:5">
      <c r="A2877">
        <f>HYPERLINK("http://www.twitter.com/nyc311/status/755764858268844032", "755764858268844032")</f>
        <v>0</v>
      </c>
      <c r="B2877" s="2">
        <v>42571.585162037</v>
      </c>
      <c r="C2877">
        <v>0</v>
      </c>
      <c r="D2877">
        <v>0</v>
      </c>
      <c r="E2877" t="s">
        <v>2844</v>
      </c>
    </row>
    <row r="2878" spans="1:5">
      <c r="A2878">
        <f>HYPERLINK("http://www.twitter.com/nyc311/status/755763873618202624", "755763873618202624")</f>
        <v>0</v>
      </c>
      <c r="B2878" s="2">
        <v>42571.5824421296</v>
      </c>
      <c r="C2878">
        <v>0</v>
      </c>
      <c r="D2878">
        <v>0</v>
      </c>
      <c r="E2878" t="s">
        <v>2845</v>
      </c>
    </row>
    <row r="2879" spans="1:5">
      <c r="A2879">
        <f>HYPERLINK("http://www.twitter.com/nyc311/status/755763548400254976", "755763548400254976")</f>
        <v>0</v>
      </c>
      <c r="B2879" s="2">
        <v>42571.5815509259</v>
      </c>
      <c r="C2879">
        <v>0</v>
      </c>
      <c r="D2879">
        <v>0</v>
      </c>
      <c r="E2879" t="s">
        <v>2846</v>
      </c>
    </row>
    <row r="2880" spans="1:5">
      <c r="A2880">
        <f>HYPERLINK("http://www.twitter.com/nyc311/status/755762298631905280", "755762298631905280")</f>
        <v>0</v>
      </c>
      <c r="B2880" s="2">
        <v>42571.5781018519</v>
      </c>
      <c r="C2880">
        <v>0</v>
      </c>
      <c r="D2880">
        <v>1</v>
      </c>
      <c r="E2880" t="s">
        <v>2847</v>
      </c>
    </row>
    <row r="2881" spans="1:5">
      <c r="A2881">
        <f>HYPERLINK("http://www.twitter.com/nyc311/status/755753078444425217", "755753078444425217")</f>
        <v>0</v>
      </c>
      <c r="B2881" s="2">
        <v>42571.552650463</v>
      </c>
      <c r="C2881">
        <v>1</v>
      </c>
      <c r="D2881">
        <v>0</v>
      </c>
      <c r="E2881" t="s">
        <v>2848</v>
      </c>
    </row>
    <row r="2882" spans="1:5">
      <c r="A2882">
        <f>HYPERLINK("http://www.twitter.com/nyc311/status/755492979691978760", "755492979691978760")</f>
        <v>0</v>
      </c>
      <c r="B2882" s="2">
        <v>42570.8349189815</v>
      </c>
      <c r="C2882">
        <v>2</v>
      </c>
      <c r="D2882">
        <v>1</v>
      </c>
      <c r="E2882" t="s">
        <v>1135</v>
      </c>
    </row>
    <row r="2883" spans="1:5">
      <c r="A2883">
        <f>HYPERLINK("http://www.twitter.com/nyc311/status/755485653123657728", "755485653123657728")</f>
        <v>0</v>
      </c>
      <c r="B2883" s="2">
        <v>42570.8146990741</v>
      </c>
      <c r="C2883">
        <v>0</v>
      </c>
      <c r="D2883">
        <v>0</v>
      </c>
      <c r="E2883" t="s">
        <v>2849</v>
      </c>
    </row>
    <row r="2884" spans="1:5">
      <c r="A2884">
        <f>HYPERLINK("http://www.twitter.com/nyc311/status/755485424877961216", "755485424877961216")</f>
        <v>0</v>
      </c>
      <c r="B2884" s="2">
        <v>42570.8140740741</v>
      </c>
      <c r="C2884">
        <v>0</v>
      </c>
      <c r="D2884">
        <v>0</v>
      </c>
      <c r="E2884" t="s">
        <v>2850</v>
      </c>
    </row>
    <row r="2885" spans="1:5">
      <c r="A2885">
        <f>HYPERLINK("http://www.twitter.com/nyc311/status/755483999162789888", "755483999162789888")</f>
        <v>0</v>
      </c>
      <c r="B2885" s="2">
        <v>42570.8101388889</v>
      </c>
      <c r="C2885">
        <v>0</v>
      </c>
      <c r="D2885">
        <v>0</v>
      </c>
      <c r="E2885" t="s">
        <v>2851</v>
      </c>
    </row>
    <row r="2886" spans="1:5">
      <c r="A2886">
        <f>HYPERLINK("http://www.twitter.com/nyc311/status/755482392677220352", "755482392677220352")</f>
        <v>0</v>
      </c>
      <c r="B2886" s="2">
        <v>42570.8057060185</v>
      </c>
      <c r="C2886">
        <v>0</v>
      </c>
      <c r="D2886">
        <v>0</v>
      </c>
      <c r="E2886" t="s">
        <v>2852</v>
      </c>
    </row>
    <row r="2887" spans="1:5">
      <c r="A2887">
        <f>HYPERLINK("http://www.twitter.com/nyc311/status/755462844443942912", "755462844443942912")</f>
        <v>0</v>
      </c>
      <c r="B2887" s="2">
        <v>42570.7517592593</v>
      </c>
      <c r="C2887">
        <v>1</v>
      </c>
      <c r="D2887">
        <v>4</v>
      </c>
      <c r="E2887" t="s">
        <v>2853</v>
      </c>
    </row>
    <row r="2888" spans="1:5">
      <c r="A2888">
        <f>HYPERLINK("http://www.twitter.com/nyc311/status/755445032774209536", "755445032774209536")</f>
        <v>0</v>
      </c>
      <c r="B2888" s="2">
        <v>42570.7026041667</v>
      </c>
      <c r="C2888">
        <v>4</v>
      </c>
      <c r="D2888">
        <v>1</v>
      </c>
      <c r="E2888" t="s">
        <v>2854</v>
      </c>
    </row>
    <row r="2889" spans="1:5">
      <c r="A2889">
        <f>HYPERLINK("http://www.twitter.com/nyc311/status/755437066792628224", "755437066792628224")</f>
        <v>0</v>
      </c>
      <c r="B2889" s="2">
        <v>42570.680625</v>
      </c>
      <c r="C2889">
        <v>0</v>
      </c>
      <c r="D2889">
        <v>0</v>
      </c>
      <c r="E2889" t="s">
        <v>2855</v>
      </c>
    </row>
    <row r="2890" spans="1:5">
      <c r="A2890">
        <f>HYPERLINK("http://www.twitter.com/nyc311/status/755432861717659648", "755432861717659648")</f>
        <v>0</v>
      </c>
      <c r="B2890" s="2">
        <v>42570.6690277778</v>
      </c>
      <c r="C2890">
        <v>1</v>
      </c>
      <c r="D2890">
        <v>0</v>
      </c>
      <c r="E2890" t="s">
        <v>2856</v>
      </c>
    </row>
    <row r="2891" spans="1:5">
      <c r="A2891">
        <f>HYPERLINK("http://www.twitter.com/nyc311/status/755432783514832897", "755432783514832897")</f>
        <v>0</v>
      </c>
      <c r="B2891" s="2">
        <v>42570.6688078704</v>
      </c>
      <c r="C2891">
        <v>3</v>
      </c>
      <c r="D2891">
        <v>7</v>
      </c>
      <c r="E2891" t="s">
        <v>2857</v>
      </c>
    </row>
    <row r="2892" spans="1:5">
      <c r="A2892">
        <f>HYPERLINK("http://www.twitter.com/nyc311/status/755432166490767360", "755432166490767360")</f>
        <v>0</v>
      </c>
      <c r="B2892" s="2">
        <v>42570.6671064815</v>
      </c>
      <c r="C2892">
        <v>0</v>
      </c>
      <c r="D2892">
        <v>0</v>
      </c>
      <c r="E2892" t="s">
        <v>2858</v>
      </c>
    </row>
    <row r="2893" spans="1:5">
      <c r="A2893">
        <f>HYPERLINK("http://www.twitter.com/nyc311/status/755430103253938176", "755430103253938176")</f>
        <v>0</v>
      </c>
      <c r="B2893" s="2">
        <v>42570.661412037</v>
      </c>
      <c r="C2893">
        <v>0</v>
      </c>
      <c r="D2893">
        <v>0</v>
      </c>
      <c r="E2893" t="s">
        <v>2859</v>
      </c>
    </row>
    <row r="2894" spans="1:5">
      <c r="A2894">
        <f>HYPERLINK("http://www.twitter.com/nyc311/status/755429766686269440", "755429766686269440")</f>
        <v>0</v>
      </c>
      <c r="B2894" s="2">
        <v>42570.6604861111</v>
      </c>
      <c r="C2894">
        <v>0</v>
      </c>
      <c r="D2894">
        <v>0</v>
      </c>
      <c r="E2894" t="s">
        <v>2860</v>
      </c>
    </row>
    <row r="2895" spans="1:5">
      <c r="A2895">
        <f>HYPERLINK("http://www.twitter.com/nyc311/status/755423798082539520", "755423798082539520")</f>
        <v>0</v>
      </c>
      <c r="B2895" s="2">
        <v>42570.6440162037</v>
      </c>
      <c r="C2895">
        <v>0</v>
      </c>
      <c r="D2895">
        <v>0</v>
      </c>
      <c r="E2895" t="s">
        <v>2861</v>
      </c>
    </row>
    <row r="2896" spans="1:5">
      <c r="A2896">
        <f>HYPERLINK("http://www.twitter.com/nyc311/status/755423423740936192", "755423423740936192")</f>
        <v>0</v>
      </c>
      <c r="B2896" s="2">
        <v>42570.642974537</v>
      </c>
      <c r="C2896">
        <v>0</v>
      </c>
      <c r="D2896">
        <v>0</v>
      </c>
      <c r="E2896" t="s">
        <v>2862</v>
      </c>
    </row>
    <row r="2897" spans="1:5">
      <c r="A2897">
        <f>HYPERLINK("http://www.twitter.com/nyc311/status/755423007015829504", "755423007015829504")</f>
        <v>0</v>
      </c>
      <c r="B2897" s="2">
        <v>42570.6418287037</v>
      </c>
      <c r="C2897">
        <v>0</v>
      </c>
      <c r="D2897">
        <v>0</v>
      </c>
      <c r="E2897" t="s">
        <v>2863</v>
      </c>
    </row>
    <row r="2898" spans="1:5">
      <c r="A2898">
        <f>HYPERLINK("http://www.twitter.com/nyc311/status/755417526981562373", "755417526981562373")</f>
        <v>0</v>
      </c>
      <c r="B2898" s="2">
        <v>42570.626712963</v>
      </c>
      <c r="C2898">
        <v>6</v>
      </c>
      <c r="D2898">
        <v>6</v>
      </c>
      <c r="E2898" t="s">
        <v>2864</v>
      </c>
    </row>
    <row r="2899" spans="1:5">
      <c r="A2899">
        <f>HYPERLINK("http://www.twitter.com/nyc311/status/755408211184906241", "755408211184906241")</f>
        <v>0</v>
      </c>
      <c r="B2899" s="2">
        <v>42570.6010069444</v>
      </c>
      <c r="C2899">
        <v>0</v>
      </c>
      <c r="D2899">
        <v>0</v>
      </c>
      <c r="E2899" t="s">
        <v>2865</v>
      </c>
    </row>
    <row r="2900" spans="1:5">
      <c r="A2900">
        <f>HYPERLINK("http://www.twitter.com/nyc311/status/755408072508596224", "755408072508596224")</f>
        <v>0</v>
      </c>
      <c r="B2900" s="2">
        <v>42570.6006134259</v>
      </c>
      <c r="C2900">
        <v>0</v>
      </c>
      <c r="D2900">
        <v>0</v>
      </c>
      <c r="E2900" t="s">
        <v>2866</v>
      </c>
    </row>
    <row r="2901" spans="1:5">
      <c r="A2901">
        <f>HYPERLINK("http://www.twitter.com/nyc311/status/755407852186038272", "755407852186038272")</f>
        <v>0</v>
      </c>
      <c r="B2901" s="2">
        <v>42570.6000115741</v>
      </c>
      <c r="C2901">
        <v>0</v>
      </c>
      <c r="D2901">
        <v>0</v>
      </c>
      <c r="E2901" t="s">
        <v>2867</v>
      </c>
    </row>
    <row r="2902" spans="1:5">
      <c r="A2902">
        <f>HYPERLINK("http://www.twitter.com/nyc311/status/755406555718311936", "755406555718311936")</f>
        <v>0</v>
      </c>
      <c r="B2902" s="2">
        <v>42570.5964351852</v>
      </c>
      <c r="C2902">
        <v>0</v>
      </c>
      <c r="D2902">
        <v>0</v>
      </c>
      <c r="E2902" t="s">
        <v>2868</v>
      </c>
    </row>
    <row r="2903" spans="1:5">
      <c r="A2903">
        <f>HYPERLINK("http://www.twitter.com/nyc311/status/755402506595958785", "755402506595958785")</f>
        <v>0</v>
      </c>
      <c r="B2903" s="2">
        <v>42570.5852546296</v>
      </c>
      <c r="C2903">
        <v>3</v>
      </c>
      <c r="D2903">
        <v>5</v>
      </c>
      <c r="E2903" t="s">
        <v>2869</v>
      </c>
    </row>
    <row r="2904" spans="1:5">
      <c r="A2904">
        <f>HYPERLINK("http://www.twitter.com/nyc311/status/755391924685635584", "755391924685635584")</f>
        <v>0</v>
      </c>
      <c r="B2904" s="2">
        <v>42570.5560648148</v>
      </c>
      <c r="C2904">
        <v>0</v>
      </c>
      <c r="D2904">
        <v>0</v>
      </c>
      <c r="E2904" t="s">
        <v>2870</v>
      </c>
    </row>
    <row r="2905" spans="1:5">
      <c r="A2905">
        <f>HYPERLINK("http://www.twitter.com/nyc311/status/755145882790666241", "755145882790666241")</f>
        <v>0</v>
      </c>
      <c r="B2905" s="2">
        <v>42569.8771180556</v>
      </c>
      <c r="C2905">
        <v>0</v>
      </c>
      <c r="D2905">
        <v>8</v>
      </c>
      <c r="E2905" t="s">
        <v>2871</v>
      </c>
    </row>
    <row r="2906" spans="1:5">
      <c r="A2906">
        <f>HYPERLINK("http://www.twitter.com/nyc311/status/755145173907148800", "755145173907148800")</f>
        <v>0</v>
      </c>
      <c r="B2906" s="2">
        <v>42569.875162037</v>
      </c>
      <c r="C2906">
        <v>0</v>
      </c>
      <c r="D2906">
        <v>0</v>
      </c>
      <c r="E2906" t="s">
        <v>2872</v>
      </c>
    </row>
    <row r="2907" spans="1:5">
      <c r="A2907">
        <f>HYPERLINK("http://www.twitter.com/nyc311/status/755142250561142784", "755142250561142784")</f>
        <v>0</v>
      </c>
      <c r="B2907" s="2">
        <v>42569.8670949074</v>
      </c>
      <c r="C2907">
        <v>0</v>
      </c>
      <c r="D2907">
        <v>0</v>
      </c>
      <c r="E2907" t="s">
        <v>2873</v>
      </c>
    </row>
    <row r="2908" spans="1:5">
      <c r="A2908">
        <f>HYPERLINK("http://www.twitter.com/nyc311/status/755142144030019585", "755142144030019585")</f>
        <v>0</v>
      </c>
      <c r="B2908" s="2">
        <v>42569.8667939815</v>
      </c>
      <c r="C2908">
        <v>2</v>
      </c>
      <c r="D2908">
        <v>0</v>
      </c>
      <c r="E2908" t="s">
        <v>2874</v>
      </c>
    </row>
    <row r="2909" spans="1:5">
      <c r="A2909">
        <f>HYPERLINK("http://www.twitter.com/nyc311/status/755138087773241344", "755138087773241344")</f>
        <v>0</v>
      </c>
      <c r="B2909" s="2">
        <v>42569.8556018519</v>
      </c>
      <c r="C2909">
        <v>0</v>
      </c>
      <c r="D2909">
        <v>0</v>
      </c>
      <c r="E2909" t="s">
        <v>2875</v>
      </c>
    </row>
    <row r="2910" spans="1:5">
      <c r="A2910">
        <f>HYPERLINK("http://www.twitter.com/nyc311/status/755135745619292160", "755135745619292160")</f>
        <v>0</v>
      </c>
      <c r="B2910" s="2">
        <v>42569.8491435185</v>
      </c>
      <c r="C2910">
        <v>0</v>
      </c>
      <c r="D2910">
        <v>0</v>
      </c>
      <c r="E2910" t="s">
        <v>2876</v>
      </c>
    </row>
    <row r="2911" spans="1:5">
      <c r="A2911">
        <f>HYPERLINK("http://www.twitter.com/nyc311/status/755130547656093697", "755130547656093697")</f>
        <v>0</v>
      </c>
      <c r="B2911" s="2">
        <v>42569.8347916667</v>
      </c>
      <c r="C2911">
        <v>0</v>
      </c>
      <c r="D2911">
        <v>1</v>
      </c>
      <c r="E2911" t="s">
        <v>2877</v>
      </c>
    </row>
    <row r="2912" spans="1:5">
      <c r="A2912">
        <f>HYPERLINK("http://www.twitter.com/nyc311/status/755120372144566272", "755120372144566272")</f>
        <v>0</v>
      </c>
      <c r="B2912" s="2">
        <v>42569.806712963</v>
      </c>
      <c r="C2912">
        <v>0</v>
      </c>
      <c r="D2912">
        <v>0</v>
      </c>
      <c r="E2912" t="s">
        <v>2878</v>
      </c>
    </row>
    <row r="2913" spans="1:5">
      <c r="A2913">
        <f>HYPERLINK("http://www.twitter.com/nyc311/status/755100386873208833", "755100386873208833")</f>
        <v>0</v>
      </c>
      <c r="B2913" s="2">
        <v>42569.7515625</v>
      </c>
      <c r="C2913">
        <v>8</v>
      </c>
      <c r="D2913">
        <v>9</v>
      </c>
      <c r="E2913" t="s">
        <v>2071</v>
      </c>
    </row>
    <row r="2914" spans="1:5">
      <c r="A2914">
        <f>HYPERLINK("http://www.twitter.com/nyc311/status/755079523658567680", "755079523658567680")</f>
        <v>0</v>
      </c>
      <c r="B2914" s="2">
        <v>42569.6939930556</v>
      </c>
      <c r="C2914">
        <v>0</v>
      </c>
      <c r="D2914">
        <v>0</v>
      </c>
      <c r="E2914" t="s">
        <v>2879</v>
      </c>
    </row>
    <row r="2915" spans="1:5">
      <c r="A2915">
        <f>HYPERLINK("http://www.twitter.com/nyc311/status/755072713136431104", "755072713136431104")</f>
        <v>0</v>
      </c>
      <c r="B2915" s="2">
        <v>42569.6752083333</v>
      </c>
      <c r="C2915">
        <v>0</v>
      </c>
      <c r="D2915">
        <v>0</v>
      </c>
      <c r="E2915" t="s">
        <v>2880</v>
      </c>
    </row>
    <row r="2916" spans="1:5">
      <c r="A2916">
        <f>HYPERLINK("http://www.twitter.com/nyc311/status/755071746206732288", "755071746206732288")</f>
        <v>0</v>
      </c>
      <c r="B2916" s="2">
        <v>42569.6725347222</v>
      </c>
      <c r="C2916">
        <v>3</v>
      </c>
      <c r="D2916">
        <v>0</v>
      </c>
      <c r="E2916" t="s">
        <v>2881</v>
      </c>
    </row>
    <row r="2917" spans="1:5">
      <c r="A2917">
        <f>HYPERLINK("http://www.twitter.com/nyc311/status/755071677084688386", "755071677084688386")</f>
        <v>0</v>
      </c>
      <c r="B2917" s="2">
        <v>42569.672349537</v>
      </c>
      <c r="C2917">
        <v>1</v>
      </c>
      <c r="D2917">
        <v>1</v>
      </c>
      <c r="E2917" t="s">
        <v>2882</v>
      </c>
    </row>
    <row r="2918" spans="1:5">
      <c r="A2918">
        <f>HYPERLINK("http://www.twitter.com/nyc311/status/755071420867174400", "755071420867174400")</f>
        <v>0</v>
      </c>
      <c r="B2918" s="2">
        <v>42569.6716319444</v>
      </c>
      <c r="C2918">
        <v>2</v>
      </c>
      <c r="D2918">
        <v>1</v>
      </c>
      <c r="E2918" t="s">
        <v>2883</v>
      </c>
    </row>
    <row r="2919" spans="1:5">
      <c r="A2919">
        <f>HYPERLINK("http://www.twitter.com/nyc311/status/755070944226471940", "755070944226471940")</f>
        <v>0</v>
      </c>
      <c r="B2919" s="2">
        <v>42569.6703240741</v>
      </c>
      <c r="C2919">
        <v>0</v>
      </c>
      <c r="D2919">
        <v>0</v>
      </c>
      <c r="E2919" t="s">
        <v>2884</v>
      </c>
    </row>
    <row r="2920" spans="1:5">
      <c r="A2920">
        <f>HYPERLINK("http://www.twitter.com/nyc311/status/755070923678556160", "755070923678556160")</f>
        <v>0</v>
      </c>
      <c r="B2920" s="2">
        <v>42569.6702662037</v>
      </c>
      <c r="C2920">
        <v>0</v>
      </c>
      <c r="D2920">
        <v>0</v>
      </c>
      <c r="E2920" t="s">
        <v>2885</v>
      </c>
    </row>
    <row r="2921" spans="1:5">
      <c r="A2921">
        <f>HYPERLINK("http://www.twitter.com/nyc311/status/755070340431314944", "755070340431314944")</f>
        <v>0</v>
      </c>
      <c r="B2921" s="2">
        <v>42569.6686574074</v>
      </c>
      <c r="C2921">
        <v>3</v>
      </c>
      <c r="D2921">
        <v>2</v>
      </c>
      <c r="E2921" t="s">
        <v>2465</v>
      </c>
    </row>
    <row r="2922" spans="1:5">
      <c r="A2922">
        <f>HYPERLINK("http://www.twitter.com/nyc311/status/755055118375067648", "755055118375067648")</f>
        <v>0</v>
      </c>
      <c r="B2922" s="2">
        <v>42569.6266550926</v>
      </c>
      <c r="C2922">
        <v>5</v>
      </c>
      <c r="D2922">
        <v>8</v>
      </c>
      <c r="E2922" t="s">
        <v>2886</v>
      </c>
    </row>
    <row r="2923" spans="1:5">
      <c r="A2923">
        <f>HYPERLINK("http://www.twitter.com/nyc311/status/755054549975597057", "755054549975597057")</f>
        <v>0</v>
      </c>
      <c r="B2923" s="2">
        <v>42569.6250810185</v>
      </c>
      <c r="C2923">
        <v>0</v>
      </c>
      <c r="D2923">
        <v>1</v>
      </c>
      <c r="E2923" t="s">
        <v>2887</v>
      </c>
    </row>
    <row r="2924" spans="1:5">
      <c r="A2924">
        <f>HYPERLINK("http://www.twitter.com/nyc311/status/755053549004918784", "755053549004918784")</f>
        <v>0</v>
      </c>
      <c r="B2924" s="2">
        <v>42569.6223148148</v>
      </c>
      <c r="C2924">
        <v>0</v>
      </c>
      <c r="D2924">
        <v>0</v>
      </c>
      <c r="E2924" t="s">
        <v>2888</v>
      </c>
    </row>
    <row r="2925" spans="1:5">
      <c r="A2925">
        <f>HYPERLINK("http://www.twitter.com/nyc311/status/755050990882226176", "755050990882226176")</f>
        <v>0</v>
      </c>
      <c r="B2925" s="2">
        <v>42569.6152662037</v>
      </c>
      <c r="C2925">
        <v>0</v>
      </c>
      <c r="D2925">
        <v>0</v>
      </c>
      <c r="E2925" t="s">
        <v>2889</v>
      </c>
    </row>
    <row r="2926" spans="1:5">
      <c r="A2926">
        <f>HYPERLINK("http://www.twitter.com/nyc311/status/755050276051181568", "755050276051181568")</f>
        <v>0</v>
      </c>
      <c r="B2926" s="2">
        <v>42569.613287037</v>
      </c>
      <c r="C2926">
        <v>0</v>
      </c>
      <c r="D2926">
        <v>0</v>
      </c>
      <c r="E2926" t="s">
        <v>2890</v>
      </c>
    </row>
    <row r="2927" spans="1:5">
      <c r="A2927">
        <f>HYPERLINK("http://www.twitter.com/nyc311/status/755047185599823872", "755047185599823872")</f>
        <v>0</v>
      </c>
      <c r="B2927" s="2">
        <v>42569.6047569444</v>
      </c>
      <c r="C2927">
        <v>0</v>
      </c>
      <c r="D2927">
        <v>0</v>
      </c>
      <c r="E2927" t="s">
        <v>2891</v>
      </c>
    </row>
    <row r="2928" spans="1:5">
      <c r="A2928">
        <f>HYPERLINK("http://www.twitter.com/nyc311/status/755046825892147200", "755046825892147200")</f>
        <v>0</v>
      </c>
      <c r="B2928" s="2">
        <v>42569.6037731481</v>
      </c>
      <c r="C2928">
        <v>0</v>
      </c>
      <c r="D2928">
        <v>0</v>
      </c>
      <c r="E2928" t="s">
        <v>2892</v>
      </c>
    </row>
    <row r="2929" spans="1:5">
      <c r="A2929">
        <f>HYPERLINK("http://www.twitter.com/nyc311/status/755042890351542273", "755042890351542273")</f>
        <v>0</v>
      </c>
      <c r="B2929" s="2">
        <v>42569.5929050926</v>
      </c>
      <c r="C2929">
        <v>0</v>
      </c>
      <c r="D2929">
        <v>0</v>
      </c>
      <c r="E2929" t="s">
        <v>2893</v>
      </c>
    </row>
    <row r="2930" spans="1:5">
      <c r="A2930">
        <f>HYPERLINK("http://www.twitter.com/nyc311/status/755040304261132292", "755040304261132292")</f>
        <v>0</v>
      </c>
      <c r="B2930" s="2">
        <v>42569.585775463</v>
      </c>
      <c r="C2930">
        <v>0</v>
      </c>
      <c r="D2930">
        <v>0</v>
      </c>
      <c r="E2930" t="s">
        <v>2894</v>
      </c>
    </row>
    <row r="2931" spans="1:5">
      <c r="A2931">
        <f>HYPERLINK("http://www.twitter.com/nyc311/status/755040114863144960", "755040114863144960")</f>
        <v>0</v>
      </c>
      <c r="B2931" s="2">
        <v>42569.5852546296</v>
      </c>
      <c r="C2931">
        <v>1</v>
      </c>
      <c r="D2931">
        <v>1</v>
      </c>
      <c r="E2931" t="s">
        <v>2895</v>
      </c>
    </row>
    <row r="2932" spans="1:5">
      <c r="A2932">
        <f>HYPERLINK("http://www.twitter.com/nyc311/status/755040017844674561", "755040017844674561")</f>
        <v>0</v>
      </c>
      <c r="B2932" s="2">
        <v>42569.5849768519</v>
      </c>
      <c r="C2932">
        <v>0</v>
      </c>
      <c r="D2932">
        <v>0</v>
      </c>
      <c r="E2932" t="s">
        <v>2896</v>
      </c>
    </row>
    <row r="2933" spans="1:5">
      <c r="A2933">
        <f>HYPERLINK("http://www.twitter.com/nyc311/status/755038648685518849", "755038648685518849")</f>
        <v>0</v>
      </c>
      <c r="B2933" s="2">
        <v>42569.5812037037</v>
      </c>
      <c r="C2933">
        <v>0</v>
      </c>
      <c r="D2933">
        <v>0</v>
      </c>
      <c r="E2933" t="s">
        <v>2897</v>
      </c>
    </row>
    <row r="2934" spans="1:5">
      <c r="A2934">
        <f>HYPERLINK("http://www.twitter.com/nyc311/status/755036257760280576", "755036257760280576")</f>
        <v>0</v>
      </c>
      <c r="B2934" s="2">
        <v>42569.5746064815</v>
      </c>
      <c r="C2934">
        <v>0</v>
      </c>
      <c r="D2934">
        <v>0</v>
      </c>
      <c r="E2934" t="s">
        <v>2898</v>
      </c>
    </row>
    <row r="2935" spans="1:5">
      <c r="A2935">
        <f>HYPERLINK("http://www.twitter.com/nyc311/status/755033007656935424", "755033007656935424")</f>
        <v>0</v>
      </c>
      <c r="B2935" s="2">
        <v>42569.5656365741</v>
      </c>
      <c r="C2935">
        <v>0</v>
      </c>
      <c r="D2935">
        <v>0</v>
      </c>
      <c r="E2935" t="s">
        <v>2899</v>
      </c>
    </row>
    <row r="2936" spans="1:5">
      <c r="A2936">
        <f>HYPERLINK("http://www.twitter.com/nyc311/status/755032379794808832", "755032379794808832")</f>
        <v>0</v>
      </c>
      <c r="B2936" s="2">
        <v>42569.563900463</v>
      </c>
      <c r="C2936">
        <v>5</v>
      </c>
      <c r="D2936">
        <v>13</v>
      </c>
      <c r="E2936" t="s">
        <v>2900</v>
      </c>
    </row>
    <row r="2937" spans="1:5">
      <c r="A2937">
        <f>HYPERLINK("http://www.twitter.com/nyc311/status/754768008313274368", "754768008313274368")</f>
        <v>0</v>
      </c>
      <c r="B2937" s="2">
        <v>42568.834375</v>
      </c>
      <c r="C2937">
        <v>4</v>
      </c>
      <c r="D2937">
        <v>1</v>
      </c>
      <c r="E2937" t="s">
        <v>2901</v>
      </c>
    </row>
    <row r="2938" spans="1:5">
      <c r="A2938">
        <f>HYPERLINK("http://www.twitter.com/nyc311/status/754737818933559296", "754737818933559296")</f>
        <v>0</v>
      </c>
      <c r="B2938" s="2">
        <v>42568.7510763889</v>
      </c>
      <c r="C2938">
        <v>5</v>
      </c>
      <c r="D2938">
        <v>2</v>
      </c>
      <c r="E2938" t="s">
        <v>2902</v>
      </c>
    </row>
    <row r="2939" spans="1:5">
      <c r="A2939">
        <f>HYPERLINK("http://www.twitter.com/nyc311/status/754707687380746240", "754707687380746240")</f>
        <v>0</v>
      </c>
      <c r="B2939" s="2">
        <v>42568.6679282407</v>
      </c>
      <c r="C2939">
        <v>9</v>
      </c>
      <c r="D2939">
        <v>7</v>
      </c>
      <c r="E2939" t="s">
        <v>2903</v>
      </c>
    </row>
    <row r="2940" spans="1:5">
      <c r="A2940">
        <f>HYPERLINK("http://www.twitter.com/nyc311/status/754692572694675462", "754692572694675462")</f>
        <v>0</v>
      </c>
      <c r="B2940" s="2">
        <v>42568.6262152778</v>
      </c>
      <c r="C2940">
        <v>5</v>
      </c>
      <c r="D2940">
        <v>3</v>
      </c>
      <c r="E2940" t="s">
        <v>2904</v>
      </c>
    </row>
    <row r="2941" spans="1:5">
      <c r="A2941">
        <f>HYPERLINK("http://www.twitter.com/nyc311/status/754677302345203713", "754677302345203713")</f>
        <v>0</v>
      </c>
      <c r="B2941" s="2">
        <v>42568.5840740741</v>
      </c>
      <c r="C2941">
        <v>4</v>
      </c>
      <c r="D2941">
        <v>7</v>
      </c>
      <c r="E2941" t="s">
        <v>2905</v>
      </c>
    </row>
    <row r="2942" spans="1:5">
      <c r="A2942">
        <f>HYPERLINK("http://www.twitter.com/nyc311/status/754405638701219841", "754405638701219841")</f>
        <v>0</v>
      </c>
      <c r="B2942" s="2">
        <v>42567.8344328704</v>
      </c>
      <c r="C2942">
        <v>3</v>
      </c>
      <c r="D2942">
        <v>3</v>
      </c>
      <c r="E2942" t="s">
        <v>2906</v>
      </c>
    </row>
    <row r="2943" spans="1:5">
      <c r="A2943">
        <f>HYPERLINK("http://www.twitter.com/nyc311/status/754375480808206336", "754375480808206336")</f>
        <v>0</v>
      </c>
      <c r="B2943" s="2">
        <v>42567.7512037037</v>
      </c>
      <c r="C2943">
        <v>5</v>
      </c>
      <c r="D2943">
        <v>5</v>
      </c>
      <c r="E2943" t="s">
        <v>242</v>
      </c>
    </row>
    <row r="2944" spans="1:5">
      <c r="A2944">
        <f>HYPERLINK("http://www.twitter.com/nyc311/status/754345352879308800", "754345352879308800")</f>
        <v>0</v>
      </c>
      <c r="B2944" s="2">
        <v>42567.6680671296</v>
      </c>
      <c r="C2944">
        <v>7</v>
      </c>
      <c r="D2944">
        <v>5</v>
      </c>
      <c r="E2944" t="s">
        <v>2907</v>
      </c>
    </row>
    <row r="2945" spans="1:5">
      <c r="A2945">
        <f>HYPERLINK("http://www.twitter.com/nyc311/status/754330007984545792", "754330007984545792")</f>
        <v>0</v>
      </c>
      <c r="B2945" s="2">
        <v>42567.6257291667</v>
      </c>
      <c r="C2945">
        <v>5</v>
      </c>
      <c r="D2945">
        <v>4</v>
      </c>
      <c r="E2945" t="s">
        <v>2908</v>
      </c>
    </row>
    <row r="2946" spans="1:5">
      <c r="A2946">
        <f>HYPERLINK("http://www.twitter.com/nyc311/status/754314882523230209", "754314882523230209")</f>
        <v>0</v>
      </c>
      <c r="B2946" s="2">
        <v>42567.5839930556</v>
      </c>
      <c r="C2946">
        <v>5</v>
      </c>
      <c r="D2946">
        <v>7</v>
      </c>
      <c r="E2946" t="s">
        <v>2909</v>
      </c>
    </row>
    <row r="2947" spans="1:5">
      <c r="A2947">
        <f>HYPERLINK("http://www.twitter.com/nyc311/status/754052151803056128", "754052151803056128")</f>
        <v>0</v>
      </c>
      <c r="B2947" s="2">
        <v>42566.8589930556</v>
      </c>
      <c r="C2947">
        <v>0</v>
      </c>
      <c r="D2947">
        <v>0</v>
      </c>
      <c r="E2947" t="s">
        <v>2910</v>
      </c>
    </row>
    <row r="2948" spans="1:5">
      <c r="A2948">
        <f>HYPERLINK("http://www.twitter.com/nyc311/status/754043074783903745", "754043074783903745")</f>
        <v>0</v>
      </c>
      <c r="B2948" s="2">
        <v>42566.8339467593</v>
      </c>
      <c r="C2948">
        <v>2</v>
      </c>
      <c r="D2948">
        <v>1</v>
      </c>
      <c r="E2948" t="s">
        <v>2911</v>
      </c>
    </row>
    <row r="2949" spans="1:5">
      <c r="A2949">
        <f>HYPERLINK("http://www.twitter.com/nyc311/status/754027999029301248", "754027999029301248")</f>
        <v>0</v>
      </c>
      <c r="B2949" s="2">
        <v>42566.792337963</v>
      </c>
      <c r="C2949">
        <v>5</v>
      </c>
      <c r="D2949">
        <v>6</v>
      </c>
      <c r="E2949" t="s">
        <v>2912</v>
      </c>
    </row>
    <row r="2950" spans="1:5">
      <c r="A2950">
        <f>HYPERLINK("http://www.twitter.com/nyc311/status/754027868661882880", "754027868661882880")</f>
        <v>0</v>
      </c>
      <c r="B2950" s="2">
        <v>42566.7919791667</v>
      </c>
      <c r="C2950">
        <v>0</v>
      </c>
      <c r="D2950">
        <v>0</v>
      </c>
      <c r="E2950" t="s">
        <v>2913</v>
      </c>
    </row>
    <row r="2951" spans="1:5">
      <c r="A2951">
        <f>HYPERLINK("http://www.twitter.com/nyc311/status/754024929314693120", "754024929314693120")</f>
        <v>0</v>
      </c>
      <c r="B2951" s="2">
        <v>42566.7838657407</v>
      </c>
      <c r="C2951">
        <v>0</v>
      </c>
      <c r="D2951">
        <v>0</v>
      </c>
      <c r="E2951" t="s">
        <v>2914</v>
      </c>
    </row>
    <row r="2952" spans="1:5">
      <c r="A2952">
        <f>HYPERLINK("http://www.twitter.com/nyc311/status/754022080052621312", "754022080052621312")</f>
        <v>0</v>
      </c>
      <c r="B2952" s="2">
        <v>42566.7760069444</v>
      </c>
      <c r="C2952">
        <v>0</v>
      </c>
      <c r="D2952">
        <v>0</v>
      </c>
      <c r="E2952" t="s">
        <v>2915</v>
      </c>
    </row>
    <row r="2953" spans="1:5">
      <c r="A2953">
        <f>HYPERLINK("http://www.twitter.com/nyc311/status/754013088047833088", "754013088047833088")</f>
        <v>0</v>
      </c>
      <c r="B2953" s="2">
        <v>42566.7511921296</v>
      </c>
      <c r="C2953">
        <v>12</v>
      </c>
      <c r="D2953">
        <v>7</v>
      </c>
      <c r="E2953" t="s">
        <v>2916</v>
      </c>
    </row>
    <row r="2954" spans="1:5">
      <c r="A2954">
        <f>HYPERLINK("http://www.twitter.com/nyc311/status/753999082251845633", "753999082251845633")</f>
        <v>0</v>
      </c>
      <c r="B2954" s="2">
        <v>42566.7125462963</v>
      </c>
      <c r="C2954">
        <v>0</v>
      </c>
      <c r="D2954">
        <v>0</v>
      </c>
      <c r="E2954" t="s">
        <v>2917</v>
      </c>
    </row>
    <row r="2955" spans="1:5">
      <c r="A2955">
        <f>HYPERLINK("http://www.twitter.com/nyc311/status/753997747947245568", "753997747947245568")</f>
        <v>0</v>
      </c>
      <c r="B2955" s="2">
        <v>42566.7088657407</v>
      </c>
      <c r="C2955">
        <v>1</v>
      </c>
      <c r="D2955">
        <v>7</v>
      </c>
      <c r="E2955" t="s">
        <v>2918</v>
      </c>
    </row>
    <row r="2956" spans="1:5">
      <c r="A2956">
        <f>HYPERLINK("http://www.twitter.com/nyc311/status/753992281343090689", "753992281343090689")</f>
        <v>0</v>
      </c>
      <c r="B2956" s="2">
        <v>42566.6937847222</v>
      </c>
      <c r="C2956">
        <v>0</v>
      </c>
      <c r="D2956">
        <v>0</v>
      </c>
      <c r="E2956" t="s">
        <v>2919</v>
      </c>
    </row>
    <row r="2957" spans="1:5">
      <c r="A2957">
        <f>HYPERLINK("http://www.twitter.com/nyc311/status/753989004903743489", "753989004903743489")</f>
        <v>0</v>
      </c>
      <c r="B2957" s="2">
        <v>42566.6847337963</v>
      </c>
      <c r="C2957">
        <v>1</v>
      </c>
      <c r="D2957">
        <v>1</v>
      </c>
      <c r="E2957" t="s">
        <v>2920</v>
      </c>
    </row>
    <row r="2958" spans="1:5">
      <c r="A2958">
        <f>HYPERLINK("http://www.twitter.com/nyc311/status/753982653959966720", "753982653959966720")</f>
        <v>0</v>
      </c>
      <c r="B2958" s="2">
        <v>42566.6672106481</v>
      </c>
      <c r="C2958">
        <v>7</v>
      </c>
      <c r="D2958">
        <v>14</v>
      </c>
      <c r="E2958" t="s">
        <v>2921</v>
      </c>
    </row>
    <row r="2959" spans="1:5">
      <c r="A2959">
        <f>HYPERLINK("http://www.twitter.com/nyc311/status/753959300125581313", "753959300125581313")</f>
        <v>0</v>
      </c>
      <c r="B2959" s="2">
        <v>42566.6027662037</v>
      </c>
      <c r="C2959">
        <v>0</v>
      </c>
      <c r="D2959">
        <v>0</v>
      </c>
      <c r="E2959" t="s">
        <v>2922</v>
      </c>
    </row>
    <row r="2960" spans="1:5">
      <c r="A2960">
        <f>HYPERLINK("http://www.twitter.com/nyc311/status/753955152504164352", "753955152504164352")</f>
        <v>0</v>
      </c>
      <c r="B2960" s="2">
        <v>42566.5913194444</v>
      </c>
      <c r="C2960">
        <v>6</v>
      </c>
      <c r="D2960">
        <v>9</v>
      </c>
      <c r="E2960" t="s">
        <v>2923</v>
      </c>
    </row>
    <row r="2961" spans="1:5">
      <c r="A2961">
        <f>HYPERLINK("http://www.twitter.com/nyc311/status/753949912581169156", "753949912581169156")</f>
        <v>0</v>
      </c>
      <c r="B2961" s="2">
        <v>42566.5768634259</v>
      </c>
      <c r="C2961">
        <v>0</v>
      </c>
      <c r="D2961">
        <v>0</v>
      </c>
      <c r="E2961" t="s">
        <v>2924</v>
      </c>
    </row>
    <row r="2962" spans="1:5">
      <c r="A2962">
        <f>HYPERLINK("http://www.twitter.com/nyc311/status/753949550847688704", "753949550847688704")</f>
        <v>0</v>
      </c>
      <c r="B2962" s="2">
        <v>42566.5758680556</v>
      </c>
      <c r="C2962">
        <v>0</v>
      </c>
      <c r="D2962">
        <v>0</v>
      </c>
      <c r="E2962" t="s">
        <v>2925</v>
      </c>
    </row>
    <row r="2963" spans="1:5">
      <c r="A2963">
        <f>HYPERLINK("http://www.twitter.com/nyc311/status/753946869588430848", "753946869588430848")</f>
        <v>0</v>
      </c>
      <c r="B2963" s="2">
        <v>42566.5684722222</v>
      </c>
      <c r="C2963">
        <v>0</v>
      </c>
      <c r="D2963">
        <v>0</v>
      </c>
      <c r="E2963" t="s">
        <v>2926</v>
      </c>
    </row>
    <row r="2964" spans="1:5">
      <c r="A2964">
        <f>HYPERLINK("http://www.twitter.com/nyc311/status/753946638893408256", "753946638893408256")</f>
        <v>0</v>
      </c>
      <c r="B2964" s="2">
        <v>42566.5678356482</v>
      </c>
      <c r="C2964">
        <v>0</v>
      </c>
      <c r="D2964">
        <v>0</v>
      </c>
      <c r="E2964" t="s">
        <v>2927</v>
      </c>
    </row>
    <row r="2965" spans="1:5">
      <c r="A2965">
        <f>HYPERLINK("http://www.twitter.com/nyc311/status/753946114353750016", "753946114353750016")</f>
        <v>0</v>
      </c>
      <c r="B2965" s="2">
        <v>42566.5663773148</v>
      </c>
      <c r="C2965">
        <v>0</v>
      </c>
      <c r="D2965">
        <v>0</v>
      </c>
      <c r="E2965" t="s">
        <v>2928</v>
      </c>
    </row>
    <row r="2966" spans="1:5">
      <c r="A2966">
        <f>HYPERLINK("http://www.twitter.com/nyc311/status/753938519085707265", "753938519085707265")</f>
        <v>0</v>
      </c>
      <c r="B2966" s="2">
        <v>42566.5454282407</v>
      </c>
      <c r="C2966">
        <v>2</v>
      </c>
      <c r="D2966">
        <v>8</v>
      </c>
      <c r="E2966" t="s">
        <v>2929</v>
      </c>
    </row>
    <row r="2967" spans="1:5">
      <c r="A2967">
        <f>HYPERLINK("http://www.twitter.com/nyc311/status/753680976065228800", "753680976065228800")</f>
        <v>0</v>
      </c>
      <c r="B2967" s="2">
        <v>42565.8347453704</v>
      </c>
      <c r="C2967">
        <v>0</v>
      </c>
      <c r="D2967">
        <v>0</v>
      </c>
      <c r="E2967" t="s">
        <v>2930</v>
      </c>
    </row>
    <row r="2968" spans="1:5">
      <c r="A2968">
        <f>HYPERLINK("http://www.twitter.com/nyc311/status/753650902356156416", "753650902356156416")</f>
        <v>0</v>
      </c>
      <c r="B2968" s="2">
        <v>42565.7517476852</v>
      </c>
      <c r="C2968">
        <v>10</v>
      </c>
      <c r="D2968">
        <v>10</v>
      </c>
      <c r="E2968" t="s">
        <v>2931</v>
      </c>
    </row>
    <row r="2969" spans="1:5">
      <c r="A2969">
        <f>HYPERLINK("http://www.twitter.com/nyc311/status/753621417116262400", "753621417116262400")</f>
        <v>0</v>
      </c>
      <c r="B2969" s="2">
        <v>42565.6703935185</v>
      </c>
      <c r="C2969">
        <v>0</v>
      </c>
      <c r="D2969">
        <v>0</v>
      </c>
      <c r="E2969" t="s">
        <v>2932</v>
      </c>
    </row>
    <row r="2970" spans="1:5">
      <c r="A2970">
        <f>HYPERLINK("http://www.twitter.com/nyc311/status/753620755284393984", "753620755284393984")</f>
        <v>0</v>
      </c>
      <c r="B2970" s="2">
        <v>42565.6685648148</v>
      </c>
      <c r="C2970">
        <v>5</v>
      </c>
      <c r="D2970">
        <v>4</v>
      </c>
      <c r="E2970" t="s">
        <v>2933</v>
      </c>
    </row>
    <row r="2971" spans="1:5">
      <c r="A2971">
        <f>HYPERLINK("http://www.twitter.com/nyc311/status/753606728747483136", "753606728747483136")</f>
        <v>0</v>
      </c>
      <c r="B2971" s="2">
        <v>42565.6298611111</v>
      </c>
      <c r="C2971">
        <v>0</v>
      </c>
      <c r="D2971">
        <v>0</v>
      </c>
      <c r="E2971" t="s">
        <v>2934</v>
      </c>
    </row>
    <row r="2972" spans="1:5">
      <c r="A2972">
        <f>HYPERLINK("http://www.twitter.com/nyc311/status/753602603959844865", "753602603959844865")</f>
        <v>0</v>
      </c>
      <c r="B2972" s="2">
        <v>42565.6184722222</v>
      </c>
      <c r="C2972">
        <v>0</v>
      </c>
      <c r="D2972">
        <v>0</v>
      </c>
      <c r="E2972" t="s">
        <v>2935</v>
      </c>
    </row>
    <row r="2973" spans="1:5">
      <c r="A2973">
        <f>HYPERLINK("http://www.twitter.com/nyc311/status/753600643969998848", "753600643969998848")</f>
        <v>0</v>
      </c>
      <c r="B2973" s="2">
        <v>42565.6130671296</v>
      </c>
      <c r="C2973">
        <v>0</v>
      </c>
      <c r="D2973">
        <v>0</v>
      </c>
      <c r="E2973" t="s">
        <v>2936</v>
      </c>
    </row>
    <row r="2974" spans="1:5">
      <c r="A2974">
        <f>HYPERLINK("http://www.twitter.com/nyc311/status/753599133806632961", "753599133806632961")</f>
        <v>0</v>
      </c>
      <c r="B2974" s="2">
        <v>42565.608900463</v>
      </c>
      <c r="C2974">
        <v>1</v>
      </c>
      <c r="D2974">
        <v>0</v>
      </c>
      <c r="E2974" t="s">
        <v>2937</v>
      </c>
    </row>
    <row r="2975" spans="1:5">
      <c r="A2975">
        <f>HYPERLINK("http://www.twitter.com/nyc311/status/753594302249443328", "753594302249443328")</f>
        <v>0</v>
      </c>
      <c r="B2975" s="2">
        <v>42565.5955671296</v>
      </c>
      <c r="C2975">
        <v>0</v>
      </c>
      <c r="D2975">
        <v>0</v>
      </c>
      <c r="E2975" t="s">
        <v>2938</v>
      </c>
    </row>
    <row r="2976" spans="1:5">
      <c r="A2976">
        <f>HYPERLINK("http://www.twitter.com/nyc311/status/753590586234507265", "753590586234507265")</f>
        <v>0</v>
      </c>
      <c r="B2976" s="2">
        <v>42565.5853125</v>
      </c>
      <c r="C2976">
        <v>5</v>
      </c>
      <c r="D2976">
        <v>8</v>
      </c>
      <c r="E2976" t="s">
        <v>2939</v>
      </c>
    </row>
    <row r="2977" spans="1:5">
      <c r="A2977">
        <f>HYPERLINK("http://www.twitter.com/nyc311/status/753588914452037632", "753588914452037632")</f>
        <v>0</v>
      </c>
      <c r="B2977" s="2">
        <v>42565.5806944444</v>
      </c>
      <c r="C2977">
        <v>0</v>
      </c>
      <c r="D2977">
        <v>0</v>
      </c>
      <c r="E2977" t="s">
        <v>2940</v>
      </c>
    </row>
    <row r="2978" spans="1:5">
      <c r="A2978">
        <f>HYPERLINK("http://www.twitter.com/nyc311/status/753323715434278912", "753323715434278912")</f>
        <v>0</v>
      </c>
      <c r="B2978" s="2">
        <v>42564.8488888889</v>
      </c>
      <c r="C2978">
        <v>0</v>
      </c>
      <c r="D2978">
        <v>0</v>
      </c>
      <c r="E2978" t="s">
        <v>2941</v>
      </c>
    </row>
    <row r="2979" spans="1:5">
      <c r="A2979">
        <f>HYPERLINK("http://www.twitter.com/nyc311/status/753323103770578944", "753323103770578944")</f>
        <v>0</v>
      </c>
      <c r="B2979" s="2">
        <v>42564.8471990741</v>
      </c>
      <c r="C2979">
        <v>0</v>
      </c>
      <c r="D2979">
        <v>0</v>
      </c>
      <c r="E2979" t="s">
        <v>2942</v>
      </c>
    </row>
    <row r="2980" spans="1:5">
      <c r="A2980">
        <f>HYPERLINK("http://www.twitter.com/nyc311/status/753318583032225793", "753318583032225793")</f>
        <v>0</v>
      </c>
      <c r="B2980" s="2">
        <v>42564.8347222222</v>
      </c>
      <c r="C2980">
        <v>0</v>
      </c>
      <c r="D2980">
        <v>1</v>
      </c>
      <c r="E2980" t="s">
        <v>295</v>
      </c>
    </row>
    <row r="2981" spans="1:5">
      <c r="A2981">
        <f>HYPERLINK("http://www.twitter.com/nyc311/status/753288452876238848", "753288452876238848")</f>
        <v>0</v>
      </c>
      <c r="B2981" s="2">
        <v>42564.7515856481</v>
      </c>
      <c r="C2981">
        <v>6</v>
      </c>
      <c r="D2981">
        <v>4</v>
      </c>
      <c r="E2981" t="s">
        <v>2943</v>
      </c>
    </row>
    <row r="2982" spans="1:5">
      <c r="A2982">
        <f>HYPERLINK("http://www.twitter.com/nyc311/status/753286328545075200", "753286328545075200")</f>
        <v>0</v>
      </c>
      <c r="B2982" s="2">
        <v>42564.7457175926</v>
      </c>
      <c r="C2982">
        <v>0</v>
      </c>
      <c r="D2982">
        <v>15</v>
      </c>
      <c r="E2982" t="s">
        <v>2944</v>
      </c>
    </row>
    <row r="2983" spans="1:5">
      <c r="A2983">
        <f>HYPERLINK("http://www.twitter.com/nyc311/status/753286252640739328", "753286252640739328")</f>
        <v>0</v>
      </c>
      <c r="B2983" s="2">
        <v>42564.7455092593</v>
      </c>
      <c r="C2983">
        <v>0</v>
      </c>
      <c r="D2983">
        <v>9</v>
      </c>
      <c r="E2983" t="s">
        <v>2945</v>
      </c>
    </row>
    <row r="2984" spans="1:5">
      <c r="A2984">
        <f>HYPERLINK("http://www.twitter.com/nyc311/status/753277465699713024", "753277465699713024")</f>
        <v>0</v>
      </c>
      <c r="B2984" s="2">
        <v>42564.7212615741</v>
      </c>
      <c r="C2984">
        <v>2</v>
      </c>
      <c r="D2984">
        <v>0</v>
      </c>
      <c r="E2984" t="s">
        <v>2946</v>
      </c>
    </row>
    <row r="2985" spans="1:5">
      <c r="A2985">
        <f>HYPERLINK("http://www.twitter.com/nyc311/status/753273529064456192", "753273529064456192")</f>
        <v>0</v>
      </c>
      <c r="B2985" s="2">
        <v>42564.7104050926</v>
      </c>
      <c r="C2985">
        <v>1</v>
      </c>
      <c r="D2985">
        <v>0</v>
      </c>
      <c r="E2985" t="s">
        <v>2947</v>
      </c>
    </row>
    <row r="2986" spans="1:5">
      <c r="A2986">
        <f>HYPERLINK("http://www.twitter.com/nyc311/status/753262363315408900", "753262363315408900")</f>
        <v>0</v>
      </c>
      <c r="B2986" s="2">
        <v>42564.6795949074</v>
      </c>
      <c r="C2986">
        <v>0</v>
      </c>
      <c r="D2986">
        <v>0</v>
      </c>
      <c r="E2986" t="s">
        <v>2948</v>
      </c>
    </row>
    <row r="2987" spans="1:5">
      <c r="A2987">
        <f>HYPERLINK("http://www.twitter.com/nyc311/status/753258415611338752", "753258415611338752")</f>
        <v>0</v>
      </c>
      <c r="B2987" s="2">
        <v>42564.6686921296</v>
      </c>
      <c r="C2987">
        <v>1</v>
      </c>
      <c r="D2987">
        <v>4</v>
      </c>
      <c r="E2987" t="s">
        <v>294</v>
      </c>
    </row>
    <row r="2988" spans="1:5">
      <c r="A2988">
        <f>HYPERLINK("http://www.twitter.com/nyc311/status/753249159214460933", "753249159214460933")</f>
        <v>0</v>
      </c>
      <c r="B2988" s="2">
        <v>42564.6431481481</v>
      </c>
      <c r="C2988">
        <v>0</v>
      </c>
      <c r="D2988">
        <v>0</v>
      </c>
      <c r="E2988" t="s">
        <v>2949</v>
      </c>
    </row>
    <row r="2989" spans="1:5">
      <c r="A2989">
        <f>HYPERLINK("http://www.twitter.com/nyc311/status/753248765381844993", "753248765381844993")</f>
        <v>0</v>
      </c>
      <c r="B2989" s="2">
        <v>42564.6420717593</v>
      </c>
      <c r="C2989">
        <v>0</v>
      </c>
      <c r="D2989">
        <v>0</v>
      </c>
      <c r="E2989" t="s">
        <v>2950</v>
      </c>
    </row>
    <row r="2990" spans="1:5">
      <c r="A2990">
        <f>HYPERLINK("http://www.twitter.com/nyc311/status/753241546900791296", "753241546900791296")</f>
        <v>0</v>
      </c>
      <c r="B2990" s="2">
        <v>42564.6221412037</v>
      </c>
      <c r="C2990">
        <v>1</v>
      </c>
      <c r="D2990">
        <v>1</v>
      </c>
      <c r="E2990" t="s">
        <v>2951</v>
      </c>
    </row>
    <row r="2991" spans="1:5">
      <c r="A2991">
        <f>HYPERLINK("http://www.twitter.com/nyc311/status/753238717444292608", "753238717444292608")</f>
        <v>0</v>
      </c>
      <c r="B2991" s="2">
        <v>42564.6143402778</v>
      </c>
      <c r="C2991">
        <v>0</v>
      </c>
      <c r="D2991">
        <v>0</v>
      </c>
      <c r="E2991" t="s">
        <v>2952</v>
      </c>
    </row>
    <row r="2992" spans="1:5">
      <c r="A2992">
        <f>HYPERLINK("http://www.twitter.com/nyc311/status/753238430025408512", "753238430025408512")</f>
        <v>0</v>
      </c>
      <c r="B2992" s="2">
        <v>42564.6135416667</v>
      </c>
      <c r="C2992">
        <v>0</v>
      </c>
      <c r="D2992">
        <v>0</v>
      </c>
      <c r="E2992" t="s">
        <v>2953</v>
      </c>
    </row>
    <row r="2993" spans="1:5">
      <c r="A2993">
        <f>HYPERLINK("http://www.twitter.com/nyc311/status/753237776171163652", "753237776171163652")</f>
        <v>0</v>
      </c>
      <c r="B2993" s="2">
        <v>42564.6117361111</v>
      </c>
      <c r="C2993">
        <v>2</v>
      </c>
      <c r="D2993">
        <v>1</v>
      </c>
      <c r="E2993" t="s">
        <v>2954</v>
      </c>
    </row>
    <row r="2994" spans="1:5">
      <c r="A2994">
        <f>HYPERLINK("http://www.twitter.com/nyc311/status/753236938254086144", "753236938254086144")</f>
        <v>0</v>
      </c>
      <c r="B2994" s="2">
        <v>42564.6094328704</v>
      </c>
      <c r="C2994">
        <v>0</v>
      </c>
      <c r="D2994">
        <v>0</v>
      </c>
      <c r="E2994" t="s">
        <v>2955</v>
      </c>
    </row>
    <row r="2995" spans="1:5">
      <c r="A2995">
        <f>HYPERLINK("http://www.twitter.com/nyc311/status/753236584980414465", "753236584980414465")</f>
        <v>0</v>
      </c>
      <c r="B2995" s="2">
        <v>42564.6084490741</v>
      </c>
      <c r="C2995">
        <v>3</v>
      </c>
      <c r="D2995">
        <v>1</v>
      </c>
      <c r="E2995" t="s">
        <v>2956</v>
      </c>
    </row>
    <row r="2996" spans="1:5">
      <c r="A2996">
        <f>HYPERLINK("http://www.twitter.com/nyc311/status/753235335195295744", "753235335195295744")</f>
        <v>0</v>
      </c>
      <c r="B2996" s="2">
        <v>42564.6050115741</v>
      </c>
      <c r="C2996">
        <v>0</v>
      </c>
      <c r="D2996">
        <v>0</v>
      </c>
      <c r="E2996" t="s">
        <v>2957</v>
      </c>
    </row>
    <row r="2997" spans="1:5">
      <c r="A2997">
        <f>HYPERLINK("http://www.twitter.com/nyc311/status/753234256000876544", "753234256000876544")</f>
        <v>0</v>
      </c>
      <c r="B2997" s="2">
        <v>42564.602025463</v>
      </c>
      <c r="C2997">
        <v>0</v>
      </c>
      <c r="D2997">
        <v>0</v>
      </c>
      <c r="E2997" t="s">
        <v>2958</v>
      </c>
    </row>
    <row r="2998" spans="1:5">
      <c r="A2998">
        <f>HYPERLINK("http://www.twitter.com/nyc311/status/753231829512126464", "753231829512126464")</f>
        <v>0</v>
      </c>
      <c r="B2998" s="2">
        <v>42564.5953356481</v>
      </c>
      <c r="C2998">
        <v>0</v>
      </c>
      <c r="D2998">
        <v>0</v>
      </c>
      <c r="E2998" t="s">
        <v>2959</v>
      </c>
    </row>
    <row r="2999" spans="1:5">
      <c r="A2999">
        <f>HYPERLINK("http://www.twitter.com/nyc311/status/753229068838039552", "753229068838039552")</f>
        <v>0</v>
      </c>
      <c r="B2999" s="2">
        <v>42564.5877083333</v>
      </c>
      <c r="C2999">
        <v>0</v>
      </c>
      <c r="D2999">
        <v>0</v>
      </c>
      <c r="E2999" t="s">
        <v>2960</v>
      </c>
    </row>
    <row r="3000" spans="1:5">
      <c r="A3000">
        <f>HYPERLINK("http://www.twitter.com/nyc311/status/753228753271128064", "753228753271128064")</f>
        <v>0</v>
      </c>
      <c r="B3000" s="2">
        <v>42564.5868402778</v>
      </c>
      <c r="C3000">
        <v>2</v>
      </c>
      <c r="D3000">
        <v>2</v>
      </c>
      <c r="E3000" t="s">
        <v>2961</v>
      </c>
    </row>
    <row r="3001" spans="1:5">
      <c r="A3001">
        <f>HYPERLINK("http://www.twitter.com/nyc311/status/753228177435222016", "753228177435222016")</f>
        <v>0</v>
      </c>
      <c r="B3001" s="2">
        <v>42564.5852546296</v>
      </c>
      <c r="C3001">
        <v>6</v>
      </c>
      <c r="D3001">
        <v>5</v>
      </c>
      <c r="E3001" t="s">
        <v>2962</v>
      </c>
    </row>
    <row r="3002" spans="1:5">
      <c r="A3002">
        <f>HYPERLINK("http://www.twitter.com/nyc311/status/752968427585798151", "752968427585798151")</f>
        <v>0</v>
      </c>
      <c r="B3002" s="2">
        <v>42563.8684837963</v>
      </c>
      <c r="C3002">
        <v>3</v>
      </c>
      <c r="D3002">
        <v>2</v>
      </c>
      <c r="E3002" t="s">
        <v>2963</v>
      </c>
    </row>
    <row r="3003" spans="1:5">
      <c r="A3003">
        <f>HYPERLINK("http://www.twitter.com/nyc311/status/752956167870156800", "752956167870156800")</f>
        <v>0</v>
      </c>
      <c r="B3003" s="2">
        <v>42563.8346527778</v>
      </c>
      <c r="C3003">
        <v>4</v>
      </c>
      <c r="D3003">
        <v>0</v>
      </c>
      <c r="E3003" t="s">
        <v>1344</v>
      </c>
    </row>
    <row r="3004" spans="1:5">
      <c r="A3004">
        <f>HYPERLINK("http://www.twitter.com/nyc311/status/752941155193589761", "752941155193589761")</f>
        <v>0</v>
      </c>
      <c r="B3004" s="2">
        <v>42563.7932291667</v>
      </c>
      <c r="C3004">
        <v>3</v>
      </c>
      <c r="D3004">
        <v>6</v>
      </c>
      <c r="E3004" t="s">
        <v>2964</v>
      </c>
    </row>
    <row r="3005" spans="1:5">
      <c r="A3005">
        <f>HYPERLINK("http://www.twitter.com/nyc311/status/752938395182194691", "752938395182194691")</f>
        <v>0</v>
      </c>
      <c r="B3005" s="2">
        <v>42563.7856018519</v>
      </c>
      <c r="C3005">
        <v>1</v>
      </c>
      <c r="D3005">
        <v>0</v>
      </c>
      <c r="E3005" t="s">
        <v>2965</v>
      </c>
    </row>
    <row r="3006" spans="1:5">
      <c r="A3006">
        <f>HYPERLINK("http://www.twitter.com/nyc311/status/752926021184327680", "752926021184327680")</f>
        <v>0</v>
      </c>
      <c r="B3006" s="2">
        <v>42563.7514583333</v>
      </c>
      <c r="C3006">
        <v>2</v>
      </c>
      <c r="D3006">
        <v>3</v>
      </c>
      <c r="E3006" t="s">
        <v>2966</v>
      </c>
    </row>
    <row r="3007" spans="1:5">
      <c r="A3007">
        <f>HYPERLINK("http://www.twitter.com/nyc311/status/752895972439711744", "752895972439711744")</f>
        <v>0</v>
      </c>
      <c r="B3007" s="2">
        <v>42563.6685416667</v>
      </c>
      <c r="C3007">
        <v>0</v>
      </c>
      <c r="D3007">
        <v>1</v>
      </c>
      <c r="E3007" t="s">
        <v>2967</v>
      </c>
    </row>
    <row r="3008" spans="1:5">
      <c r="A3008">
        <f>HYPERLINK("http://www.twitter.com/nyc311/status/752889038730854400", "752889038730854400")</f>
        <v>0</v>
      </c>
      <c r="B3008" s="2">
        <v>42563.6494097222</v>
      </c>
      <c r="C3008">
        <v>0</v>
      </c>
      <c r="D3008">
        <v>0</v>
      </c>
      <c r="E3008" t="s">
        <v>2968</v>
      </c>
    </row>
    <row r="3009" spans="1:5">
      <c r="A3009">
        <f>HYPERLINK("http://www.twitter.com/nyc311/status/752877450519085056", "752877450519085056")</f>
        <v>0</v>
      </c>
      <c r="B3009" s="2">
        <v>42563.6174305556</v>
      </c>
      <c r="C3009">
        <v>1</v>
      </c>
      <c r="D3009">
        <v>0</v>
      </c>
      <c r="E3009" t="s">
        <v>2969</v>
      </c>
    </row>
    <row r="3010" spans="1:5">
      <c r="A3010">
        <f>HYPERLINK("http://www.twitter.com/nyc311/status/752877245673463812", "752877245673463812")</f>
        <v>0</v>
      </c>
      <c r="B3010" s="2">
        <v>42563.6168634259</v>
      </c>
      <c r="C3010">
        <v>1</v>
      </c>
      <c r="D3010">
        <v>0</v>
      </c>
      <c r="E3010" t="s">
        <v>2970</v>
      </c>
    </row>
    <row r="3011" spans="1:5">
      <c r="A3011">
        <f>HYPERLINK("http://www.twitter.com/nyc311/status/752871372100136960", "752871372100136960")</f>
        <v>0</v>
      </c>
      <c r="B3011" s="2">
        <v>42563.6006597222</v>
      </c>
      <c r="C3011">
        <v>0</v>
      </c>
      <c r="D3011">
        <v>0</v>
      </c>
      <c r="E3011" t="s">
        <v>2971</v>
      </c>
    </row>
    <row r="3012" spans="1:5">
      <c r="A3012">
        <f>HYPERLINK("http://www.twitter.com/nyc311/status/752870927084511232", "752870927084511232")</f>
        <v>0</v>
      </c>
      <c r="B3012" s="2">
        <v>42563.5994328704</v>
      </c>
      <c r="C3012">
        <v>1</v>
      </c>
      <c r="D3012">
        <v>0</v>
      </c>
      <c r="E3012" t="s">
        <v>2972</v>
      </c>
    </row>
    <row r="3013" spans="1:5">
      <c r="A3013">
        <f>HYPERLINK("http://www.twitter.com/nyc311/status/752870152568528899", "752870152568528899")</f>
        <v>0</v>
      </c>
      <c r="B3013" s="2">
        <v>42563.5972916667</v>
      </c>
      <c r="C3013">
        <v>0</v>
      </c>
      <c r="D3013">
        <v>0</v>
      </c>
      <c r="E3013" t="s">
        <v>2973</v>
      </c>
    </row>
    <row r="3014" spans="1:5">
      <c r="A3014">
        <f>HYPERLINK("http://www.twitter.com/nyc311/status/752869864776302593", "752869864776302593")</f>
        <v>0</v>
      </c>
      <c r="B3014" s="2">
        <v>42563.5965046296</v>
      </c>
      <c r="C3014">
        <v>0</v>
      </c>
      <c r="D3014">
        <v>0</v>
      </c>
      <c r="E3014" t="s">
        <v>2974</v>
      </c>
    </row>
    <row r="3015" spans="1:5">
      <c r="A3015">
        <f>HYPERLINK("http://www.twitter.com/nyc311/status/752869770790309888", "752869770790309888")</f>
        <v>0</v>
      </c>
      <c r="B3015" s="2">
        <v>42563.5962384259</v>
      </c>
      <c r="C3015">
        <v>0</v>
      </c>
      <c r="D3015">
        <v>0</v>
      </c>
      <c r="E3015" t="s">
        <v>2975</v>
      </c>
    </row>
    <row r="3016" spans="1:5">
      <c r="A3016">
        <f>HYPERLINK("http://www.twitter.com/nyc311/status/752869134820634624", "752869134820634624")</f>
        <v>0</v>
      </c>
      <c r="B3016" s="2">
        <v>42563.5944907407</v>
      </c>
      <c r="C3016">
        <v>0</v>
      </c>
      <c r="D3016">
        <v>0</v>
      </c>
      <c r="E3016" t="s">
        <v>2976</v>
      </c>
    </row>
    <row r="3017" spans="1:5">
      <c r="A3017">
        <f>HYPERLINK("http://www.twitter.com/nyc311/status/752865711949746177", "752865711949746177")</f>
        <v>0</v>
      </c>
      <c r="B3017" s="2">
        <v>42563.5850347222</v>
      </c>
      <c r="C3017">
        <v>3</v>
      </c>
      <c r="D3017">
        <v>2</v>
      </c>
      <c r="E3017" t="s">
        <v>2977</v>
      </c>
    </row>
    <row r="3018" spans="1:5">
      <c r="A3018">
        <f>HYPERLINK("http://www.twitter.com/nyc311/status/752861741214760960", "752861741214760960")</f>
        <v>0</v>
      </c>
      <c r="B3018" s="2">
        <v>42563.5740856481</v>
      </c>
      <c r="C3018">
        <v>0</v>
      </c>
      <c r="D3018">
        <v>0</v>
      </c>
      <c r="E3018" t="s">
        <v>2978</v>
      </c>
    </row>
    <row r="3019" spans="1:5">
      <c r="A3019">
        <f>HYPERLINK("http://www.twitter.com/nyc311/status/752609476436525057", "752609476436525057")</f>
        <v>0</v>
      </c>
      <c r="B3019" s="2">
        <v>42562.877962963</v>
      </c>
      <c r="C3019">
        <v>0</v>
      </c>
      <c r="D3019">
        <v>0</v>
      </c>
      <c r="E3019" t="s">
        <v>2979</v>
      </c>
    </row>
    <row r="3020" spans="1:5">
      <c r="A3020">
        <f>HYPERLINK("http://www.twitter.com/nyc311/status/752603394188124161", "752603394188124161")</f>
        <v>0</v>
      </c>
      <c r="B3020" s="2">
        <v>42562.8611805556</v>
      </c>
      <c r="C3020">
        <v>0</v>
      </c>
      <c r="D3020">
        <v>0</v>
      </c>
      <c r="E3020" t="s">
        <v>2980</v>
      </c>
    </row>
    <row r="3021" spans="1:5">
      <c r="A3021">
        <f>HYPERLINK("http://www.twitter.com/nyc311/status/752600335693279232", "752600335693279232")</f>
        <v>0</v>
      </c>
      <c r="B3021" s="2">
        <v>42562.8527430556</v>
      </c>
      <c r="C3021">
        <v>1</v>
      </c>
      <c r="D3021">
        <v>0</v>
      </c>
      <c r="E3021" t="s">
        <v>2981</v>
      </c>
    </row>
    <row r="3022" spans="1:5">
      <c r="A3022">
        <f>HYPERLINK("http://www.twitter.com/nyc311/status/752595321411084289", "752595321411084289")</f>
        <v>0</v>
      </c>
      <c r="B3022" s="2">
        <v>42562.838900463</v>
      </c>
      <c r="C3022">
        <v>0</v>
      </c>
      <c r="D3022">
        <v>0</v>
      </c>
      <c r="E3022" t="s">
        <v>2982</v>
      </c>
    </row>
    <row r="3023" spans="1:5">
      <c r="A3023">
        <f>HYPERLINK("http://www.twitter.com/nyc311/status/752593762375917568", "752593762375917568")</f>
        <v>0</v>
      </c>
      <c r="B3023" s="2">
        <v>42562.8346064815</v>
      </c>
      <c r="C3023">
        <v>1</v>
      </c>
      <c r="D3023">
        <v>1</v>
      </c>
      <c r="E3023" t="s">
        <v>2983</v>
      </c>
    </row>
    <row r="3024" spans="1:5">
      <c r="A3024">
        <f>HYPERLINK("http://www.twitter.com/nyc311/status/752563628239360000", "752563628239360000")</f>
        <v>0</v>
      </c>
      <c r="B3024" s="2">
        <v>42562.7514467593</v>
      </c>
      <c r="C3024">
        <v>2</v>
      </c>
      <c r="D3024">
        <v>2</v>
      </c>
      <c r="E3024" t="s">
        <v>2984</v>
      </c>
    </row>
    <row r="3025" spans="1:5">
      <c r="A3025">
        <f>HYPERLINK("http://www.twitter.com/nyc311/status/752563130731995136", "752563130731995136")</f>
        <v>0</v>
      </c>
      <c r="B3025" s="2">
        <v>42562.7500694444</v>
      </c>
      <c r="C3025">
        <v>0</v>
      </c>
      <c r="D3025">
        <v>0</v>
      </c>
      <c r="E3025" t="s">
        <v>2985</v>
      </c>
    </row>
    <row r="3026" spans="1:5">
      <c r="A3026">
        <f>HYPERLINK("http://www.twitter.com/nyc311/status/752557096038694912", "752557096038694912")</f>
        <v>0</v>
      </c>
      <c r="B3026" s="2">
        <v>42562.7334259259</v>
      </c>
      <c r="C3026">
        <v>0</v>
      </c>
      <c r="D3026">
        <v>0</v>
      </c>
      <c r="E3026" t="s">
        <v>2986</v>
      </c>
    </row>
    <row r="3027" spans="1:5">
      <c r="A3027">
        <f>HYPERLINK("http://www.twitter.com/nyc311/status/752542096133910528", "752542096133910528")</f>
        <v>0</v>
      </c>
      <c r="B3027" s="2">
        <v>42562.692025463</v>
      </c>
      <c r="C3027">
        <v>0</v>
      </c>
      <c r="D3027">
        <v>0</v>
      </c>
      <c r="E3027" t="s">
        <v>2987</v>
      </c>
    </row>
    <row r="3028" spans="1:5">
      <c r="A3028">
        <f>HYPERLINK("http://www.twitter.com/nyc311/status/752541024304635905", "752541024304635905")</f>
        <v>0</v>
      </c>
      <c r="B3028" s="2">
        <v>42562.6890740741</v>
      </c>
      <c r="C3028">
        <v>0</v>
      </c>
      <c r="D3028">
        <v>0</v>
      </c>
      <c r="E3028" t="s">
        <v>2988</v>
      </c>
    </row>
    <row r="3029" spans="1:5">
      <c r="A3029">
        <f>HYPERLINK("http://www.twitter.com/nyc311/status/752539988957552640", "752539988957552640")</f>
        <v>0</v>
      </c>
      <c r="B3029" s="2">
        <v>42562.6862152778</v>
      </c>
      <c r="C3029">
        <v>0</v>
      </c>
      <c r="D3029">
        <v>0</v>
      </c>
      <c r="E3029" t="s">
        <v>2989</v>
      </c>
    </row>
    <row r="3030" spans="1:5">
      <c r="A3030">
        <f>HYPERLINK("http://www.twitter.com/nyc311/status/752539236520386560", "752539236520386560")</f>
        <v>0</v>
      </c>
      <c r="B3030" s="2">
        <v>42562.6841435185</v>
      </c>
      <c r="C3030">
        <v>0</v>
      </c>
      <c r="D3030">
        <v>0</v>
      </c>
      <c r="E3030" t="s">
        <v>2990</v>
      </c>
    </row>
    <row r="3031" spans="1:5">
      <c r="A3031">
        <f>HYPERLINK("http://www.twitter.com/nyc311/status/752538940662579200", "752538940662579200")</f>
        <v>0</v>
      </c>
      <c r="B3031" s="2">
        <v>42562.6833217593</v>
      </c>
      <c r="C3031">
        <v>0</v>
      </c>
      <c r="D3031">
        <v>0</v>
      </c>
      <c r="E3031" t="s">
        <v>2991</v>
      </c>
    </row>
    <row r="3032" spans="1:5">
      <c r="A3032">
        <f>HYPERLINK("http://www.twitter.com/nyc311/status/752537984445153281", "752537984445153281")</f>
        <v>0</v>
      </c>
      <c r="B3032" s="2">
        <v>42562.6806828704</v>
      </c>
      <c r="C3032">
        <v>1</v>
      </c>
      <c r="D3032">
        <v>0</v>
      </c>
      <c r="E3032" t="s">
        <v>2992</v>
      </c>
    </row>
    <row r="3033" spans="1:5">
      <c r="A3033">
        <f>HYPERLINK("http://www.twitter.com/nyc311/status/752537585763885056", "752537585763885056")</f>
        <v>0</v>
      </c>
      <c r="B3033" s="2">
        <v>42562.6795833333</v>
      </c>
      <c r="C3033">
        <v>0</v>
      </c>
      <c r="D3033">
        <v>0</v>
      </c>
      <c r="E3033" t="s">
        <v>2993</v>
      </c>
    </row>
    <row r="3034" spans="1:5">
      <c r="A3034">
        <f>HYPERLINK("http://www.twitter.com/nyc311/status/752537168585822208", "752537168585822208")</f>
        <v>0</v>
      </c>
      <c r="B3034" s="2">
        <v>42562.6784375</v>
      </c>
      <c r="C3034">
        <v>2</v>
      </c>
      <c r="D3034">
        <v>0</v>
      </c>
      <c r="E3034" t="s">
        <v>2994</v>
      </c>
    </row>
    <row r="3035" spans="1:5">
      <c r="A3035">
        <f>HYPERLINK("http://www.twitter.com/nyc311/status/752536745913319424", "752536745913319424")</f>
        <v>0</v>
      </c>
      <c r="B3035" s="2">
        <v>42562.6772685185</v>
      </c>
      <c r="C3035">
        <v>1</v>
      </c>
      <c r="D3035">
        <v>1</v>
      </c>
      <c r="E3035" t="s">
        <v>2995</v>
      </c>
    </row>
    <row r="3036" spans="1:5">
      <c r="A3036">
        <f>HYPERLINK("http://www.twitter.com/nyc311/status/752536364659408896", "752536364659408896")</f>
        <v>0</v>
      </c>
      <c r="B3036" s="2">
        <v>42562.6762152778</v>
      </c>
      <c r="C3036">
        <v>4</v>
      </c>
      <c r="D3036">
        <v>0</v>
      </c>
      <c r="E3036" t="s">
        <v>2996</v>
      </c>
    </row>
    <row r="3037" spans="1:5">
      <c r="A3037">
        <f>HYPERLINK("http://www.twitter.com/nyc311/status/752535937477910528", "752535937477910528")</f>
        <v>0</v>
      </c>
      <c r="B3037" s="2">
        <v>42562.6750347222</v>
      </c>
      <c r="C3037">
        <v>0</v>
      </c>
      <c r="D3037">
        <v>0</v>
      </c>
      <c r="E3037" t="s">
        <v>2997</v>
      </c>
    </row>
    <row r="3038" spans="1:5">
      <c r="A3038">
        <f>HYPERLINK("http://www.twitter.com/nyc311/status/752535628500312065", "752535628500312065")</f>
        <v>0</v>
      </c>
      <c r="B3038" s="2">
        <v>42562.6741782407</v>
      </c>
      <c r="C3038">
        <v>0</v>
      </c>
      <c r="D3038">
        <v>0</v>
      </c>
      <c r="E3038" t="s">
        <v>2998</v>
      </c>
    </row>
    <row r="3039" spans="1:5">
      <c r="A3039">
        <f>HYPERLINK("http://www.twitter.com/nyc311/status/752533598369185792", "752533598369185792")</f>
        <v>0</v>
      </c>
      <c r="B3039" s="2">
        <v>42562.6685763889</v>
      </c>
      <c r="C3039">
        <v>1</v>
      </c>
      <c r="D3039">
        <v>1</v>
      </c>
      <c r="E3039" t="s">
        <v>2999</v>
      </c>
    </row>
    <row r="3040" spans="1:5">
      <c r="A3040">
        <f>HYPERLINK("http://www.twitter.com/nyc311/status/752533540798078976", "752533540798078976")</f>
        <v>0</v>
      </c>
      <c r="B3040" s="2">
        <v>42562.6684259259</v>
      </c>
      <c r="C3040">
        <v>0</v>
      </c>
      <c r="D3040">
        <v>0</v>
      </c>
      <c r="E3040" t="s">
        <v>3000</v>
      </c>
    </row>
    <row r="3041" spans="1:5">
      <c r="A3041">
        <f>HYPERLINK("http://www.twitter.com/nyc311/status/752533247930863617", "752533247930863617")</f>
        <v>0</v>
      </c>
      <c r="B3041" s="2">
        <v>42562.6676157407</v>
      </c>
      <c r="C3041">
        <v>0</v>
      </c>
      <c r="D3041">
        <v>0</v>
      </c>
      <c r="E3041" t="s">
        <v>3001</v>
      </c>
    </row>
    <row r="3042" spans="1:5">
      <c r="A3042">
        <f>HYPERLINK("http://www.twitter.com/nyc311/status/752532589588713472", "752532589588713472")</f>
        <v>0</v>
      </c>
      <c r="B3042" s="2">
        <v>42562.6657986111</v>
      </c>
      <c r="C3042">
        <v>0</v>
      </c>
      <c r="D3042">
        <v>0</v>
      </c>
      <c r="E3042" t="s">
        <v>3002</v>
      </c>
    </row>
    <row r="3043" spans="1:5">
      <c r="A3043">
        <f>HYPERLINK("http://www.twitter.com/nyc311/status/752532134536052736", "752532134536052736")</f>
        <v>0</v>
      </c>
      <c r="B3043" s="2">
        <v>42562.664537037</v>
      </c>
      <c r="C3043">
        <v>0</v>
      </c>
      <c r="D3043">
        <v>0</v>
      </c>
      <c r="E3043" t="s">
        <v>3003</v>
      </c>
    </row>
    <row r="3044" spans="1:5">
      <c r="A3044">
        <f>HYPERLINK("http://www.twitter.com/nyc311/status/752531600454410240", "752531600454410240")</f>
        <v>0</v>
      </c>
      <c r="B3044" s="2">
        <v>42562.6630671296</v>
      </c>
      <c r="C3044">
        <v>0</v>
      </c>
      <c r="D3044">
        <v>0</v>
      </c>
      <c r="E3044" t="s">
        <v>3004</v>
      </c>
    </row>
    <row r="3045" spans="1:5">
      <c r="A3045">
        <f>HYPERLINK("http://www.twitter.com/nyc311/status/752531328378306560", "752531328378306560")</f>
        <v>0</v>
      </c>
      <c r="B3045" s="2">
        <v>42562.6623148148</v>
      </c>
      <c r="C3045">
        <v>1</v>
      </c>
      <c r="D3045">
        <v>0</v>
      </c>
      <c r="E3045" t="s">
        <v>3005</v>
      </c>
    </row>
    <row r="3046" spans="1:5">
      <c r="A3046">
        <f>HYPERLINK("http://www.twitter.com/nyc311/status/752530393417523200", "752530393417523200")</f>
        <v>0</v>
      </c>
      <c r="B3046" s="2">
        <v>42562.6597337963</v>
      </c>
      <c r="C3046">
        <v>0</v>
      </c>
      <c r="D3046">
        <v>0</v>
      </c>
      <c r="E3046" t="s">
        <v>3006</v>
      </c>
    </row>
    <row r="3047" spans="1:5">
      <c r="A3047">
        <f>HYPERLINK("http://www.twitter.com/nyc311/status/752529996409823233", "752529996409823233")</f>
        <v>0</v>
      </c>
      <c r="B3047" s="2">
        <v>42562.6586458333</v>
      </c>
      <c r="C3047">
        <v>0</v>
      </c>
      <c r="D3047">
        <v>0</v>
      </c>
      <c r="E3047" t="s">
        <v>3007</v>
      </c>
    </row>
    <row r="3048" spans="1:5">
      <c r="A3048">
        <f>HYPERLINK("http://www.twitter.com/nyc311/status/752528945409585152", "752528945409585152")</f>
        <v>0</v>
      </c>
      <c r="B3048" s="2">
        <v>42562.6557407407</v>
      </c>
      <c r="C3048">
        <v>0</v>
      </c>
      <c r="D3048">
        <v>0</v>
      </c>
      <c r="E3048" t="s">
        <v>3008</v>
      </c>
    </row>
    <row r="3049" spans="1:5">
      <c r="A3049">
        <f>HYPERLINK("http://www.twitter.com/nyc311/status/752528377215680512", "752528377215680512")</f>
        <v>0</v>
      </c>
      <c r="B3049" s="2">
        <v>42562.6541782407</v>
      </c>
      <c r="C3049">
        <v>0</v>
      </c>
      <c r="D3049">
        <v>0</v>
      </c>
      <c r="E3049" t="s">
        <v>3009</v>
      </c>
    </row>
    <row r="3050" spans="1:5">
      <c r="A3050">
        <f>HYPERLINK("http://www.twitter.com/nyc311/status/752519733736595456", "752519733736595456")</f>
        <v>0</v>
      </c>
      <c r="B3050" s="2">
        <v>42562.6303240741</v>
      </c>
      <c r="C3050">
        <v>0</v>
      </c>
      <c r="D3050">
        <v>0</v>
      </c>
      <c r="E3050" t="s">
        <v>3010</v>
      </c>
    </row>
    <row r="3051" spans="1:5">
      <c r="A3051">
        <f>HYPERLINK("http://www.twitter.com/nyc311/status/752519267111866368", "752519267111866368")</f>
        <v>0</v>
      </c>
      <c r="B3051" s="2">
        <v>42562.6290393519</v>
      </c>
      <c r="C3051">
        <v>0</v>
      </c>
      <c r="D3051">
        <v>0</v>
      </c>
      <c r="E3051" t="s">
        <v>3011</v>
      </c>
    </row>
    <row r="3052" spans="1:5">
      <c r="A3052">
        <f>HYPERLINK("http://www.twitter.com/nyc311/status/752518653418074114", "752518653418074114")</f>
        <v>0</v>
      </c>
      <c r="B3052" s="2">
        <v>42562.627337963</v>
      </c>
      <c r="C3052">
        <v>0</v>
      </c>
      <c r="D3052">
        <v>0</v>
      </c>
      <c r="E3052" t="s">
        <v>3012</v>
      </c>
    </row>
    <row r="3053" spans="1:5">
      <c r="A3053">
        <f>HYPERLINK("http://www.twitter.com/nyc311/status/752517841820213248", "752517841820213248")</f>
        <v>0</v>
      </c>
      <c r="B3053" s="2">
        <v>42562.6251041667</v>
      </c>
      <c r="C3053">
        <v>0</v>
      </c>
      <c r="D3053">
        <v>0</v>
      </c>
      <c r="E3053" t="s">
        <v>3013</v>
      </c>
    </row>
    <row r="3054" spans="1:5">
      <c r="A3054">
        <f>HYPERLINK("http://www.twitter.com/nyc311/status/752516552990289920", "752516552990289920")</f>
        <v>0</v>
      </c>
      <c r="B3054" s="2">
        <v>42562.6215393519</v>
      </c>
      <c r="C3054">
        <v>0</v>
      </c>
      <c r="D3054">
        <v>0</v>
      </c>
      <c r="E3054" t="s">
        <v>3014</v>
      </c>
    </row>
    <row r="3055" spans="1:5">
      <c r="A3055">
        <f>HYPERLINK("http://www.twitter.com/nyc311/status/752512694188642305", "752512694188642305")</f>
        <v>0</v>
      </c>
      <c r="B3055" s="2">
        <v>42562.6108912037</v>
      </c>
      <c r="C3055">
        <v>1</v>
      </c>
      <c r="D3055">
        <v>0</v>
      </c>
      <c r="E3055" t="s">
        <v>3015</v>
      </c>
    </row>
    <row r="3056" spans="1:5">
      <c r="A3056">
        <f>HYPERLINK("http://www.twitter.com/nyc311/status/752503343206006784", "752503343206006784")</f>
        <v>0</v>
      </c>
      <c r="B3056" s="2">
        <v>42562.5850925926</v>
      </c>
      <c r="C3056">
        <v>6</v>
      </c>
      <c r="D3056">
        <v>6</v>
      </c>
      <c r="E3056" t="s">
        <v>3016</v>
      </c>
    </row>
    <row r="3057" spans="1:5">
      <c r="A3057">
        <f>HYPERLINK("http://www.twitter.com/nyc311/status/752231208805888000", "752231208805888000")</f>
        <v>0</v>
      </c>
      <c r="B3057" s="2">
        <v>42561.8341435185</v>
      </c>
      <c r="C3057">
        <v>2</v>
      </c>
      <c r="D3057">
        <v>1</v>
      </c>
      <c r="E3057" t="s">
        <v>1998</v>
      </c>
    </row>
    <row r="3058" spans="1:5">
      <c r="A3058">
        <f>HYPERLINK("http://www.twitter.com/nyc311/status/752201092646244353", "752201092646244353")</f>
        <v>0</v>
      </c>
      <c r="B3058" s="2">
        <v>42561.7510416667</v>
      </c>
      <c r="C3058">
        <v>3</v>
      </c>
      <c r="D3058">
        <v>5</v>
      </c>
      <c r="E3058" t="s">
        <v>3017</v>
      </c>
    </row>
    <row r="3059" spans="1:5">
      <c r="A3059">
        <f>HYPERLINK("http://www.twitter.com/nyc311/status/752170919305572358", "752170919305572358")</f>
        <v>0</v>
      </c>
      <c r="B3059" s="2">
        <v>42561.6677777778</v>
      </c>
      <c r="C3059">
        <v>4</v>
      </c>
      <c r="D3059">
        <v>3</v>
      </c>
      <c r="E3059" t="s">
        <v>3018</v>
      </c>
    </row>
    <row r="3060" spans="1:5">
      <c r="A3060">
        <f>HYPERLINK("http://www.twitter.com/nyc311/status/752140695092260864", "752140695092260864")</f>
        <v>0</v>
      </c>
      <c r="B3060" s="2">
        <v>42561.584375</v>
      </c>
      <c r="C3060">
        <v>3</v>
      </c>
      <c r="D3060">
        <v>2</v>
      </c>
      <c r="E3060" t="s">
        <v>3019</v>
      </c>
    </row>
    <row r="3061" spans="1:5">
      <c r="A3061">
        <f>HYPERLINK("http://www.twitter.com/nyc311/status/751868823775612929", "751868823775612929")</f>
        <v>0</v>
      </c>
      <c r="B3061" s="2">
        <v>42560.8341550926</v>
      </c>
      <c r="C3061">
        <v>0</v>
      </c>
      <c r="D3061">
        <v>0</v>
      </c>
      <c r="E3061" t="s">
        <v>3020</v>
      </c>
    </row>
    <row r="3062" spans="1:5">
      <c r="A3062">
        <f>HYPERLINK("http://www.twitter.com/nyc311/status/751838701601325056", "751838701601325056")</f>
        <v>0</v>
      </c>
      <c r="B3062" s="2">
        <v>42560.7510300926</v>
      </c>
      <c r="C3062">
        <v>4</v>
      </c>
      <c r="D3062">
        <v>2</v>
      </c>
      <c r="E3062" t="s">
        <v>3021</v>
      </c>
    </row>
    <row r="3063" spans="1:5">
      <c r="A3063">
        <f>HYPERLINK("http://www.twitter.com/nyc311/status/751808599190597633", "751808599190597633")</f>
        <v>0</v>
      </c>
      <c r="B3063" s="2">
        <v>42560.667962963</v>
      </c>
      <c r="C3063">
        <v>3</v>
      </c>
      <c r="D3063">
        <v>1</v>
      </c>
      <c r="E3063" t="s">
        <v>2966</v>
      </c>
    </row>
    <row r="3064" spans="1:5">
      <c r="A3064">
        <f>HYPERLINK("http://www.twitter.com/nyc311/status/751778427024314368", "751778427024314368")</f>
        <v>0</v>
      </c>
      <c r="B3064" s="2">
        <v>42560.5847106481</v>
      </c>
      <c r="C3064">
        <v>11</v>
      </c>
      <c r="D3064">
        <v>9</v>
      </c>
      <c r="E3064" t="s">
        <v>3022</v>
      </c>
    </row>
    <row r="3065" spans="1:5">
      <c r="A3065">
        <f>HYPERLINK("http://www.twitter.com/nyc311/status/751528925801619457", "751528925801619457")</f>
        <v>0</v>
      </c>
      <c r="B3065" s="2">
        <v>42559.8962152778</v>
      </c>
      <c r="C3065">
        <v>3</v>
      </c>
      <c r="D3065">
        <v>3</v>
      </c>
      <c r="E3065" t="s">
        <v>3023</v>
      </c>
    </row>
    <row r="3066" spans="1:5">
      <c r="A3066">
        <f>HYPERLINK("http://www.twitter.com/nyc311/status/751519766402170882", "751519766402170882")</f>
        <v>0</v>
      </c>
      <c r="B3066" s="2">
        <v>42559.8709375</v>
      </c>
      <c r="C3066">
        <v>0</v>
      </c>
      <c r="D3066">
        <v>0</v>
      </c>
      <c r="E3066" t="s">
        <v>3024</v>
      </c>
    </row>
    <row r="3067" spans="1:5">
      <c r="A3067">
        <f>HYPERLINK("http://www.twitter.com/nyc311/status/751519654305234944", "751519654305234944")</f>
        <v>0</v>
      </c>
      <c r="B3067" s="2">
        <v>42559.870625</v>
      </c>
      <c r="C3067">
        <v>0</v>
      </c>
      <c r="D3067">
        <v>0</v>
      </c>
      <c r="E3067" t="s">
        <v>3025</v>
      </c>
    </row>
    <row r="3068" spans="1:5">
      <c r="A3068">
        <f>HYPERLINK("http://www.twitter.com/nyc311/status/751507246085963776", "751507246085963776")</f>
        <v>0</v>
      </c>
      <c r="B3068" s="2">
        <v>42559.8363888889</v>
      </c>
      <c r="C3068">
        <v>0</v>
      </c>
      <c r="D3068">
        <v>0</v>
      </c>
      <c r="E3068" t="s">
        <v>3026</v>
      </c>
    </row>
    <row r="3069" spans="1:5">
      <c r="A3069">
        <f>HYPERLINK("http://www.twitter.com/nyc311/status/751507070478905344", "751507070478905344")</f>
        <v>0</v>
      </c>
      <c r="B3069" s="2">
        <v>42559.8359027778</v>
      </c>
      <c r="C3069">
        <v>1</v>
      </c>
      <c r="D3069">
        <v>0</v>
      </c>
      <c r="E3069" t="s">
        <v>3027</v>
      </c>
    </row>
    <row r="3070" spans="1:5">
      <c r="A3070">
        <f>HYPERLINK("http://www.twitter.com/nyc311/status/751506574087249921", "751506574087249921")</f>
        <v>0</v>
      </c>
      <c r="B3070" s="2">
        <v>42559.834537037</v>
      </c>
      <c r="C3070">
        <v>4</v>
      </c>
      <c r="D3070">
        <v>3</v>
      </c>
      <c r="E3070" t="s">
        <v>3028</v>
      </c>
    </row>
    <row r="3071" spans="1:5">
      <c r="A3071">
        <f>HYPERLINK("http://www.twitter.com/nyc311/status/751503226462167044", "751503226462167044")</f>
        <v>0</v>
      </c>
      <c r="B3071" s="2">
        <v>42559.8253009259</v>
      </c>
      <c r="C3071">
        <v>0</v>
      </c>
      <c r="D3071">
        <v>0</v>
      </c>
      <c r="E3071" t="s">
        <v>3029</v>
      </c>
    </row>
    <row r="3072" spans="1:5">
      <c r="A3072">
        <f>HYPERLINK("http://www.twitter.com/nyc311/status/751503086846443520", "751503086846443520")</f>
        <v>0</v>
      </c>
      <c r="B3072" s="2">
        <v>42559.8249074074</v>
      </c>
      <c r="C3072">
        <v>0</v>
      </c>
      <c r="D3072">
        <v>0</v>
      </c>
      <c r="E3072" t="s">
        <v>3030</v>
      </c>
    </row>
    <row r="3073" spans="1:5">
      <c r="A3073">
        <f>HYPERLINK("http://www.twitter.com/nyc311/status/751495942365384704", "751495942365384704")</f>
        <v>0</v>
      </c>
      <c r="B3073" s="2">
        <v>42559.8051967593</v>
      </c>
      <c r="C3073">
        <v>0</v>
      </c>
      <c r="D3073">
        <v>0</v>
      </c>
      <c r="E3073" t="s">
        <v>3031</v>
      </c>
    </row>
    <row r="3074" spans="1:5">
      <c r="A3074">
        <f>HYPERLINK("http://www.twitter.com/nyc311/status/751491588107464705", "751491588107464705")</f>
        <v>0</v>
      </c>
      <c r="B3074" s="2">
        <v>42559.7931828704</v>
      </c>
      <c r="C3074">
        <v>2</v>
      </c>
      <c r="D3074">
        <v>0</v>
      </c>
      <c r="E3074" t="s">
        <v>176</v>
      </c>
    </row>
    <row r="3075" spans="1:5">
      <c r="A3075">
        <f>HYPERLINK("http://www.twitter.com/nyc311/status/751476456904163328", "751476456904163328")</f>
        <v>0</v>
      </c>
      <c r="B3075" s="2">
        <v>42559.7514236111</v>
      </c>
      <c r="C3075">
        <v>4</v>
      </c>
      <c r="D3075">
        <v>1</v>
      </c>
      <c r="E3075" t="s">
        <v>3032</v>
      </c>
    </row>
    <row r="3076" spans="1:5">
      <c r="A3076">
        <f>HYPERLINK("http://www.twitter.com/nyc311/status/751475745306898436", "751475745306898436")</f>
        <v>0</v>
      </c>
      <c r="B3076" s="2">
        <v>42559.7494675926</v>
      </c>
      <c r="C3076">
        <v>0</v>
      </c>
      <c r="D3076">
        <v>0</v>
      </c>
      <c r="E3076" t="s">
        <v>3033</v>
      </c>
    </row>
    <row r="3077" spans="1:5">
      <c r="A3077">
        <f>HYPERLINK("http://www.twitter.com/nyc311/status/751475586959306752", "751475586959306752")</f>
        <v>0</v>
      </c>
      <c r="B3077" s="2">
        <v>42559.7490277778</v>
      </c>
      <c r="C3077">
        <v>0</v>
      </c>
      <c r="D3077">
        <v>0</v>
      </c>
      <c r="E3077" t="s">
        <v>3034</v>
      </c>
    </row>
    <row r="3078" spans="1:5">
      <c r="A3078">
        <f>HYPERLINK("http://www.twitter.com/nyc311/status/751475525693112320", "751475525693112320")</f>
        <v>0</v>
      </c>
      <c r="B3078" s="2">
        <v>42559.7488541667</v>
      </c>
      <c r="C3078">
        <v>0</v>
      </c>
      <c r="D3078">
        <v>0</v>
      </c>
      <c r="E3078" t="s">
        <v>3035</v>
      </c>
    </row>
    <row r="3079" spans="1:5">
      <c r="A3079">
        <f>HYPERLINK("http://www.twitter.com/nyc311/status/751469468317020160", "751469468317020160")</f>
        <v>0</v>
      </c>
      <c r="B3079" s="2">
        <v>42559.7321412037</v>
      </c>
      <c r="C3079">
        <v>0</v>
      </c>
      <c r="D3079">
        <v>0</v>
      </c>
      <c r="E3079" t="s">
        <v>3036</v>
      </c>
    </row>
    <row r="3080" spans="1:5">
      <c r="A3080">
        <f>HYPERLINK("http://www.twitter.com/nyc311/status/751469460016533505", "751469460016533505")</f>
        <v>0</v>
      </c>
      <c r="B3080" s="2">
        <v>42559.7321180556</v>
      </c>
      <c r="C3080">
        <v>0</v>
      </c>
      <c r="D3080">
        <v>0</v>
      </c>
      <c r="E3080" t="s">
        <v>3037</v>
      </c>
    </row>
    <row r="3081" spans="1:5">
      <c r="A3081">
        <f>HYPERLINK("http://www.twitter.com/nyc311/status/751461421406453760", "751461421406453760")</f>
        <v>0</v>
      </c>
      <c r="B3081" s="2">
        <v>42559.7099305556</v>
      </c>
      <c r="C3081">
        <v>5</v>
      </c>
      <c r="D3081">
        <v>1</v>
      </c>
      <c r="E3081" t="s">
        <v>3038</v>
      </c>
    </row>
    <row r="3082" spans="1:5">
      <c r="A3082">
        <f>HYPERLINK("http://www.twitter.com/nyc311/status/751446142496505857", "751446142496505857")</f>
        <v>0</v>
      </c>
      <c r="B3082" s="2">
        <v>42559.6677777778</v>
      </c>
      <c r="C3082">
        <v>3</v>
      </c>
      <c r="D3082">
        <v>9</v>
      </c>
      <c r="E3082" t="s">
        <v>2923</v>
      </c>
    </row>
    <row r="3083" spans="1:5">
      <c r="A3083">
        <f>HYPERLINK("http://www.twitter.com/nyc311/status/751435326133039104", "751435326133039104")</f>
        <v>0</v>
      </c>
      <c r="B3083" s="2">
        <v>42559.6379282407</v>
      </c>
      <c r="C3083">
        <v>0</v>
      </c>
      <c r="D3083">
        <v>0</v>
      </c>
      <c r="E3083" t="s">
        <v>3039</v>
      </c>
    </row>
    <row r="3084" spans="1:5">
      <c r="A3084">
        <f>HYPERLINK("http://www.twitter.com/nyc311/status/751433585165529088", "751433585165529088")</f>
        <v>0</v>
      </c>
      <c r="B3084" s="2">
        <v>42559.633125</v>
      </c>
      <c r="C3084">
        <v>0</v>
      </c>
      <c r="D3084">
        <v>0</v>
      </c>
      <c r="E3084" t="s">
        <v>3040</v>
      </c>
    </row>
    <row r="3085" spans="1:5">
      <c r="A3085">
        <f>HYPERLINK("http://www.twitter.com/nyc311/status/751431266797576192", "751431266797576192")</f>
        <v>0</v>
      </c>
      <c r="B3085" s="2">
        <v>42559.626724537</v>
      </c>
      <c r="C3085">
        <v>5</v>
      </c>
      <c r="D3085">
        <v>1</v>
      </c>
      <c r="E3085" t="s">
        <v>3041</v>
      </c>
    </row>
    <row r="3086" spans="1:5">
      <c r="A3086">
        <f>HYPERLINK("http://www.twitter.com/nyc311/status/751430319350382592", "751430319350382592")</f>
        <v>0</v>
      </c>
      <c r="B3086" s="2">
        <v>42559.6241087963</v>
      </c>
      <c r="C3086">
        <v>0</v>
      </c>
      <c r="D3086">
        <v>0</v>
      </c>
      <c r="E3086" t="s">
        <v>3042</v>
      </c>
    </row>
    <row r="3087" spans="1:5">
      <c r="A3087">
        <f>HYPERLINK("http://www.twitter.com/nyc311/status/751428505552949249", "751428505552949249")</f>
        <v>0</v>
      </c>
      <c r="B3087" s="2">
        <v>42559.6191087963</v>
      </c>
      <c r="C3087">
        <v>0</v>
      </c>
      <c r="D3087">
        <v>0</v>
      </c>
      <c r="E3087" t="s">
        <v>3043</v>
      </c>
    </row>
    <row r="3088" spans="1:5">
      <c r="A3088">
        <f>HYPERLINK("http://www.twitter.com/nyc311/status/751428489841115136", "751428489841115136")</f>
        <v>0</v>
      </c>
      <c r="B3088" s="2">
        <v>42559.6190625</v>
      </c>
      <c r="C3088">
        <v>0</v>
      </c>
      <c r="D3088">
        <v>0</v>
      </c>
      <c r="E3088" t="s">
        <v>3044</v>
      </c>
    </row>
    <row r="3089" spans="1:5">
      <c r="A3089">
        <f>HYPERLINK("http://www.twitter.com/nyc311/status/751421810516819968", "751421810516819968")</f>
        <v>0</v>
      </c>
      <c r="B3089" s="2">
        <v>42559.6006365741</v>
      </c>
      <c r="C3089">
        <v>0</v>
      </c>
      <c r="D3089">
        <v>0</v>
      </c>
      <c r="E3089" t="s">
        <v>3045</v>
      </c>
    </row>
    <row r="3090" spans="1:5">
      <c r="A3090">
        <f>HYPERLINK("http://www.twitter.com/nyc311/status/751416475941036032", "751416475941036032")</f>
        <v>0</v>
      </c>
      <c r="B3090" s="2">
        <v>42559.5859143519</v>
      </c>
      <c r="C3090">
        <v>1</v>
      </c>
      <c r="D3090">
        <v>0</v>
      </c>
      <c r="E3090" t="s">
        <v>3046</v>
      </c>
    </row>
    <row r="3091" spans="1:5">
      <c r="A3091">
        <f>HYPERLINK("http://www.twitter.com/nyc311/status/751415861160869888", "751415861160869888")</f>
        <v>0</v>
      </c>
      <c r="B3091" s="2">
        <v>42559.584212963</v>
      </c>
      <c r="C3091">
        <v>4</v>
      </c>
      <c r="D3091">
        <v>8</v>
      </c>
      <c r="E3091" t="s">
        <v>3047</v>
      </c>
    </row>
    <row r="3092" spans="1:5">
      <c r="A3092">
        <f>HYPERLINK("http://www.twitter.com/nyc311/status/751158934141034496", "751158934141034496")</f>
        <v>0</v>
      </c>
      <c r="B3092" s="2">
        <v>42558.8752314815</v>
      </c>
      <c r="C3092">
        <v>4</v>
      </c>
      <c r="D3092">
        <v>5</v>
      </c>
      <c r="E3092" t="s">
        <v>3048</v>
      </c>
    </row>
    <row r="3093" spans="1:5">
      <c r="A3093">
        <f>HYPERLINK("http://www.twitter.com/nyc311/status/751146004406239232", "751146004406239232")</f>
        <v>0</v>
      </c>
      <c r="B3093" s="2">
        <v>42558.8395486111</v>
      </c>
      <c r="C3093">
        <v>0</v>
      </c>
      <c r="D3093">
        <v>0</v>
      </c>
      <c r="E3093" t="s">
        <v>3049</v>
      </c>
    </row>
    <row r="3094" spans="1:5">
      <c r="A3094">
        <f>HYPERLINK("http://www.twitter.com/nyc311/status/751145565606535169", "751145565606535169")</f>
        <v>0</v>
      </c>
      <c r="B3094" s="2">
        <v>42558.8383449074</v>
      </c>
      <c r="C3094">
        <v>0</v>
      </c>
      <c r="D3094">
        <v>0</v>
      </c>
      <c r="E3094" t="s">
        <v>3050</v>
      </c>
    </row>
    <row r="3095" spans="1:5">
      <c r="A3095">
        <f>HYPERLINK("http://www.twitter.com/nyc311/status/751144178646745088", "751144178646745088")</f>
        <v>0</v>
      </c>
      <c r="B3095" s="2">
        <v>42558.8345138889</v>
      </c>
      <c r="C3095">
        <v>1</v>
      </c>
      <c r="D3095">
        <v>1</v>
      </c>
      <c r="E3095" t="s">
        <v>3051</v>
      </c>
    </row>
    <row r="3096" spans="1:5">
      <c r="A3096">
        <f>HYPERLINK("http://www.twitter.com/nyc311/status/751137387435200514", "751137387435200514")</f>
        <v>0</v>
      </c>
      <c r="B3096" s="2">
        <v>42558.815775463</v>
      </c>
      <c r="C3096">
        <v>6</v>
      </c>
      <c r="D3096">
        <v>11</v>
      </c>
      <c r="E3096" t="s">
        <v>3052</v>
      </c>
    </row>
    <row r="3097" spans="1:5">
      <c r="A3097">
        <f>HYPERLINK("http://www.twitter.com/nyc311/status/751113926335729664", "751113926335729664")</f>
        <v>0</v>
      </c>
      <c r="B3097" s="2">
        <v>42558.7510300926</v>
      </c>
      <c r="C3097">
        <v>3</v>
      </c>
      <c r="D3097">
        <v>2</v>
      </c>
      <c r="E3097" t="s">
        <v>3053</v>
      </c>
    </row>
    <row r="3098" spans="1:5">
      <c r="A3098">
        <f>HYPERLINK("http://www.twitter.com/nyc311/status/751104943545876480", "751104943545876480")</f>
        <v>0</v>
      </c>
      <c r="B3098" s="2">
        <v>42558.72625</v>
      </c>
      <c r="C3098">
        <v>4</v>
      </c>
      <c r="D3098">
        <v>5</v>
      </c>
      <c r="E3098" t="s">
        <v>3054</v>
      </c>
    </row>
    <row r="3099" spans="1:5">
      <c r="A3099">
        <f>HYPERLINK("http://www.twitter.com/nyc311/status/751101350491160576", "751101350491160576")</f>
        <v>0</v>
      </c>
      <c r="B3099" s="2">
        <v>42558.7163310185</v>
      </c>
      <c r="C3099">
        <v>0</v>
      </c>
      <c r="D3099">
        <v>0</v>
      </c>
      <c r="E3099" t="s">
        <v>3055</v>
      </c>
    </row>
    <row r="3100" spans="1:5">
      <c r="A3100">
        <f>HYPERLINK("http://www.twitter.com/nyc311/status/751100288480739328", "751100288480739328")</f>
        <v>0</v>
      </c>
      <c r="B3100" s="2">
        <v>42558.7134027778</v>
      </c>
      <c r="C3100">
        <v>0</v>
      </c>
      <c r="D3100">
        <v>0</v>
      </c>
      <c r="E3100" t="s">
        <v>3056</v>
      </c>
    </row>
    <row r="3101" spans="1:5">
      <c r="A3101">
        <f>HYPERLINK("http://www.twitter.com/nyc311/status/751099888872587268", "751099888872587268")</f>
        <v>0</v>
      </c>
      <c r="B3101" s="2">
        <v>42558.7122916667</v>
      </c>
      <c r="C3101">
        <v>0</v>
      </c>
      <c r="D3101">
        <v>0</v>
      </c>
      <c r="E3101" t="s">
        <v>3057</v>
      </c>
    </row>
    <row r="3102" spans="1:5">
      <c r="A3102">
        <f>HYPERLINK("http://www.twitter.com/nyc311/status/751098598671212544", "751098598671212544")</f>
        <v>0</v>
      </c>
      <c r="B3102" s="2">
        <v>42558.7087384259</v>
      </c>
      <c r="C3102">
        <v>17</v>
      </c>
      <c r="D3102">
        <v>12</v>
      </c>
      <c r="E3102" t="s">
        <v>3058</v>
      </c>
    </row>
    <row r="3103" spans="1:5">
      <c r="A3103">
        <f>HYPERLINK("http://www.twitter.com/nyc311/status/751083565572653058", "751083565572653058")</f>
        <v>0</v>
      </c>
      <c r="B3103" s="2">
        <v>42558.6672569444</v>
      </c>
      <c r="C3103">
        <v>17</v>
      </c>
      <c r="D3103">
        <v>21</v>
      </c>
      <c r="E3103" t="s">
        <v>3059</v>
      </c>
    </row>
    <row r="3104" spans="1:5">
      <c r="A3104">
        <f>HYPERLINK("http://www.twitter.com/nyc311/status/751079542417137664", "751079542417137664")</f>
        <v>0</v>
      </c>
      <c r="B3104" s="2">
        <v>42558.6561458333</v>
      </c>
      <c r="C3104">
        <v>0</v>
      </c>
      <c r="D3104">
        <v>0</v>
      </c>
      <c r="E3104" t="s">
        <v>3060</v>
      </c>
    </row>
    <row r="3105" spans="1:5">
      <c r="A3105">
        <f>HYPERLINK("http://www.twitter.com/nyc311/status/751079275382595584", "751079275382595584")</f>
        <v>0</v>
      </c>
      <c r="B3105" s="2">
        <v>42558.6554166667</v>
      </c>
      <c r="C3105">
        <v>0</v>
      </c>
      <c r="D3105">
        <v>0</v>
      </c>
      <c r="E3105" t="s">
        <v>3061</v>
      </c>
    </row>
    <row r="3106" spans="1:5">
      <c r="A3106">
        <f>HYPERLINK("http://www.twitter.com/nyc311/status/751078828982865920", "751078828982865920")</f>
        <v>0</v>
      </c>
      <c r="B3106" s="2">
        <v>42558.6541782407</v>
      </c>
      <c r="C3106">
        <v>0</v>
      </c>
      <c r="D3106">
        <v>0</v>
      </c>
      <c r="E3106" t="s">
        <v>3062</v>
      </c>
    </row>
    <row r="3107" spans="1:5">
      <c r="A3107">
        <f>HYPERLINK("http://www.twitter.com/nyc311/status/751072923427962880", "751072923427962880")</f>
        <v>0</v>
      </c>
      <c r="B3107" s="2">
        <v>42558.6378819444</v>
      </c>
      <c r="C3107">
        <v>0</v>
      </c>
      <c r="D3107">
        <v>0</v>
      </c>
      <c r="E3107" t="s">
        <v>3063</v>
      </c>
    </row>
    <row r="3108" spans="1:5">
      <c r="A3108">
        <f>HYPERLINK("http://www.twitter.com/nyc311/status/751070017891041280", "751070017891041280")</f>
        <v>0</v>
      </c>
      <c r="B3108" s="2">
        <v>42558.6298726852</v>
      </c>
      <c r="C3108">
        <v>0</v>
      </c>
      <c r="D3108">
        <v>0</v>
      </c>
      <c r="E3108" t="s">
        <v>3064</v>
      </c>
    </row>
    <row r="3109" spans="1:5">
      <c r="A3109">
        <f>HYPERLINK("http://www.twitter.com/nyc311/status/751069820045647873", "751069820045647873")</f>
        <v>0</v>
      </c>
      <c r="B3109" s="2">
        <v>42558.6293171296</v>
      </c>
      <c r="C3109">
        <v>0</v>
      </c>
      <c r="D3109">
        <v>0</v>
      </c>
      <c r="E3109" t="s">
        <v>3065</v>
      </c>
    </row>
    <row r="3110" spans="1:5">
      <c r="A3110">
        <f>HYPERLINK("http://www.twitter.com/nyc311/status/751069561995268097", "751069561995268097")</f>
        <v>0</v>
      </c>
      <c r="B3110" s="2">
        <v>42558.6286111111</v>
      </c>
      <c r="C3110">
        <v>0</v>
      </c>
      <c r="D3110">
        <v>0</v>
      </c>
      <c r="E3110" t="s">
        <v>3066</v>
      </c>
    </row>
    <row r="3111" spans="1:5">
      <c r="A3111">
        <f>HYPERLINK("http://www.twitter.com/nyc311/status/751068387728588804", "751068387728588804")</f>
        <v>0</v>
      </c>
      <c r="B3111" s="2">
        <v>42558.6253703704</v>
      </c>
      <c r="C3111">
        <v>3</v>
      </c>
      <c r="D3111">
        <v>5</v>
      </c>
      <c r="E3111" t="s">
        <v>3067</v>
      </c>
    </row>
    <row r="3112" spans="1:5">
      <c r="A3112">
        <f>HYPERLINK("http://www.twitter.com/nyc311/status/751061900318744576", "751061900318744576")</f>
        <v>0</v>
      </c>
      <c r="B3112" s="2">
        <v>42558.6074652778</v>
      </c>
      <c r="C3112">
        <v>1</v>
      </c>
      <c r="D3112">
        <v>0</v>
      </c>
      <c r="E3112" t="s">
        <v>3068</v>
      </c>
    </row>
    <row r="3113" spans="1:5">
      <c r="A3113">
        <f>HYPERLINK("http://www.twitter.com/nyc311/status/751061030260895744", "751061030260895744")</f>
        <v>0</v>
      </c>
      <c r="B3113" s="2">
        <v>42558.6050694444</v>
      </c>
      <c r="C3113">
        <v>0</v>
      </c>
      <c r="D3113">
        <v>0</v>
      </c>
      <c r="E3113" t="s">
        <v>3069</v>
      </c>
    </row>
    <row r="3114" spans="1:5">
      <c r="A3114">
        <f>HYPERLINK("http://www.twitter.com/nyc311/status/751060783447076865", "751060783447076865")</f>
        <v>0</v>
      </c>
      <c r="B3114" s="2">
        <v>42558.6043865741</v>
      </c>
      <c r="C3114">
        <v>0</v>
      </c>
      <c r="D3114">
        <v>0</v>
      </c>
      <c r="E3114" t="s">
        <v>3070</v>
      </c>
    </row>
    <row r="3115" spans="1:5">
      <c r="A3115">
        <f>HYPERLINK("http://www.twitter.com/nyc311/status/751058795342725121", "751058795342725121")</f>
        <v>0</v>
      </c>
      <c r="B3115" s="2">
        <v>42558.598900463</v>
      </c>
      <c r="C3115">
        <v>0</v>
      </c>
      <c r="D3115">
        <v>0</v>
      </c>
      <c r="E3115" t="s">
        <v>3071</v>
      </c>
    </row>
    <row r="3116" spans="1:5">
      <c r="A3116">
        <f>HYPERLINK("http://www.twitter.com/nyc311/status/751054573876412416", "751054573876412416")</f>
        <v>0</v>
      </c>
      <c r="B3116" s="2">
        <v>42558.5872453704</v>
      </c>
      <c r="C3116">
        <v>1</v>
      </c>
      <c r="D3116">
        <v>0</v>
      </c>
      <c r="E3116" t="s">
        <v>3072</v>
      </c>
    </row>
    <row r="3117" spans="1:5">
      <c r="A3117">
        <f>HYPERLINK("http://www.twitter.com/nyc311/status/751054218644029440", "751054218644029440")</f>
        <v>0</v>
      </c>
      <c r="B3117" s="2">
        <v>42558.5862731481</v>
      </c>
      <c r="C3117">
        <v>0</v>
      </c>
      <c r="D3117">
        <v>0</v>
      </c>
      <c r="E3117" t="s">
        <v>3073</v>
      </c>
    </row>
    <row r="3118" spans="1:5">
      <c r="A3118">
        <f>HYPERLINK("http://www.twitter.com/nyc311/status/751053375043694592", "751053375043694592")</f>
        <v>0</v>
      </c>
      <c r="B3118" s="2">
        <v>42558.5839467593</v>
      </c>
      <c r="C3118">
        <v>4</v>
      </c>
      <c r="D3118">
        <v>5</v>
      </c>
      <c r="E3118" t="s">
        <v>3074</v>
      </c>
    </row>
    <row r="3119" spans="1:5">
      <c r="A3119">
        <f>HYPERLINK("http://www.twitter.com/nyc311/status/751024298891022336", "751024298891022336")</f>
        <v>0</v>
      </c>
      <c r="B3119" s="2">
        <v>42558.5037037037</v>
      </c>
      <c r="C3119">
        <v>1</v>
      </c>
      <c r="D3119">
        <v>1</v>
      </c>
      <c r="E3119" t="s">
        <v>3075</v>
      </c>
    </row>
    <row r="3120" spans="1:5">
      <c r="A3120">
        <f>HYPERLINK("http://www.twitter.com/nyc311/status/751023467169013760", "751023467169013760")</f>
        <v>0</v>
      </c>
      <c r="B3120" s="2">
        <v>42558.501412037</v>
      </c>
      <c r="C3120">
        <v>1</v>
      </c>
      <c r="D3120">
        <v>3</v>
      </c>
      <c r="E3120" t="s">
        <v>3076</v>
      </c>
    </row>
    <row r="3121" spans="1:5">
      <c r="A3121">
        <f>HYPERLINK("http://www.twitter.com/nyc311/status/751015670935068673", "751015670935068673")</f>
        <v>0</v>
      </c>
      <c r="B3121" s="2">
        <v>42558.4798958333</v>
      </c>
      <c r="C3121">
        <v>4</v>
      </c>
      <c r="D3121">
        <v>4</v>
      </c>
      <c r="E3121" t="s">
        <v>3077</v>
      </c>
    </row>
    <row r="3122" spans="1:5">
      <c r="A3122">
        <f>HYPERLINK("http://www.twitter.com/nyc311/status/750811666468798464", "750811666468798464")</f>
        <v>0</v>
      </c>
      <c r="B3122" s="2">
        <v>42557.9169560185</v>
      </c>
      <c r="C3122">
        <v>5</v>
      </c>
      <c r="D3122">
        <v>5</v>
      </c>
      <c r="E3122" t="s">
        <v>2918</v>
      </c>
    </row>
    <row r="3123" spans="1:5">
      <c r="A3123">
        <f>HYPERLINK("http://www.twitter.com/nyc311/status/750811083779309570", "750811083779309570")</f>
        <v>0</v>
      </c>
      <c r="B3123" s="2">
        <v>42557.9153472222</v>
      </c>
      <c r="C3123">
        <v>0</v>
      </c>
      <c r="D3123">
        <v>0</v>
      </c>
      <c r="E3123" t="s">
        <v>3078</v>
      </c>
    </row>
    <row r="3124" spans="1:5">
      <c r="A3124">
        <f>HYPERLINK("http://www.twitter.com/nyc311/status/750791290321862657", "750791290321862657")</f>
        <v>0</v>
      </c>
      <c r="B3124" s="2">
        <v>42557.8607291667</v>
      </c>
      <c r="C3124">
        <v>0</v>
      </c>
      <c r="D3124">
        <v>0</v>
      </c>
      <c r="E3124" t="s">
        <v>3079</v>
      </c>
    </row>
    <row r="3125" spans="1:5">
      <c r="A3125">
        <f>HYPERLINK("http://www.twitter.com/nyc311/status/750788975342809088", "750788975342809088")</f>
        <v>0</v>
      </c>
      <c r="B3125" s="2">
        <v>42557.8543402778</v>
      </c>
      <c r="C3125">
        <v>11</v>
      </c>
      <c r="D3125">
        <v>8</v>
      </c>
      <c r="E3125" t="s">
        <v>3080</v>
      </c>
    </row>
    <row r="3126" spans="1:5">
      <c r="A3126">
        <f>HYPERLINK("http://www.twitter.com/nyc311/status/750786842530840576", "750786842530840576")</f>
        <v>0</v>
      </c>
      <c r="B3126" s="2">
        <v>42557.8484490741</v>
      </c>
      <c r="C3126">
        <v>0</v>
      </c>
      <c r="D3126">
        <v>0</v>
      </c>
      <c r="E3126" t="s">
        <v>3081</v>
      </c>
    </row>
    <row r="3127" spans="1:5">
      <c r="A3127">
        <f>HYPERLINK("http://www.twitter.com/nyc311/status/750781713568174080", "750781713568174080")</f>
        <v>0</v>
      </c>
      <c r="B3127" s="2">
        <v>42557.8343055556</v>
      </c>
      <c r="C3127">
        <v>0</v>
      </c>
      <c r="D3127">
        <v>1</v>
      </c>
      <c r="E3127" t="s">
        <v>3082</v>
      </c>
    </row>
    <row r="3128" spans="1:5">
      <c r="A3128">
        <f>HYPERLINK("http://www.twitter.com/nyc311/status/750773882072735745", "750773882072735745")</f>
        <v>0</v>
      </c>
      <c r="B3128" s="2">
        <v>42557.8126851852</v>
      </c>
      <c r="C3128">
        <v>2</v>
      </c>
      <c r="D3128">
        <v>4</v>
      </c>
      <c r="E3128" t="s">
        <v>3083</v>
      </c>
    </row>
    <row r="3129" spans="1:5">
      <c r="A3129">
        <f>HYPERLINK("http://www.twitter.com/nyc311/status/750758793466830849", "750758793466830849")</f>
        <v>0</v>
      </c>
      <c r="B3129" s="2">
        <v>42557.7710532407</v>
      </c>
      <c r="C3129">
        <v>1</v>
      </c>
      <c r="D3129">
        <v>6</v>
      </c>
      <c r="E3129" t="s">
        <v>3084</v>
      </c>
    </row>
    <row r="3130" spans="1:5">
      <c r="A3130">
        <f>HYPERLINK("http://www.twitter.com/nyc311/status/750751750919950336", "750751750919950336")</f>
        <v>0</v>
      </c>
      <c r="B3130" s="2">
        <v>42557.7516203704</v>
      </c>
      <c r="C3130">
        <v>3</v>
      </c>
      <c r="D3130">
        <v>4</v>
      </c>
      <c r="E3130" t="s">
        <v>3085</v>
      </c>
    </row>
    <row r="3131" spans="1:5">
      <c r="A3131">
        <f>HYPERLINK("http://www.twitter.com/nyc311/status/750744703524634626", "750744703524634626")</f>
        <v>0</v>
      </c>
      <c r="B3131" s="2">
        <v>42557.7321759259</v>
      </c>
      <c r="C3131">
        <v>0</v>
      </c>
      <c r="D3131">
        <v>0</v>
      </c>
      <c r="E3131" t="s">
        <v>3086</v>
      </c>
    </row>
    <row r="3132" spans="1:5">
      <c r="A3132">
        <f>HYPERLINK("http://www.twitter.com/nyc311/status/750744127432687616", "750744127432687616")</f>
        <v>0</v>
      </c>
      <c r="B3132" s="2">
        <v>42557.7305787037</v>
      </c>
      <c r="C3132">
        <v>0</v>
      </c>
      <c r="D3132">
        <v>0</v>
      </c>
      <c r="E3132" t="s">
        <v>3087</v>
      </c>
    </row>
    <row r="3133" spans="1:5">
      <c r="A3133">
        <f>HYPERLINK("http://www.twitter.com/nyc311/status/750743941394358277", "750743941394358277")</f>
        <v>0</v>
      </c>
      <c r="B3133" s="2">
        <v>42557.7300694444</v>
      </c>
      <c r="C3133">
        <v>0</v>
      </c>
      <c r="D3133">
        <v>0</v>
      </c>
      <c r="E3133" t="s">
        <v>3088</v>
      </c>
    </row>
    <row r="3134" spans="1:5">
      <c r="A3134">
        <f>HYPERLINK("http://www.twitter.com/nyc311/status/750743673160302592", "750743673160302592")</f>
        <v>0</v>
      </c>
      <c r="B3134" s="2">
        <v>42557.7293287037</v>
      </c>
      <c r="C3134">
        <v>3</v>
      </c>
      <c r="D3134">
        <v>3</v>
      </c>
      <c r="E3134" t="s">
        <v>3089</v>
      </c>
    </row>
    <row r="3135" spans="1:5">
      <c r="A3135">
        <f>HYPERLINK("http://www.twitter.com/nyc311/status/750738363183923200", "750738363183923200")</f>
        <v>0</v>
      </c>
      <c r="B3135" s="2">
        <v>42557.7146759259</v>
      </c>
      <c r="C3135">
        <v>1</v>
      </c>
      <c r="D3135">
        <v>6</v>
      </c>
      <c r="E3135" t="s">
        <v>3090</v>
      </c>
    </row>
    <row r="3136" spans="1:5">
      <c r="A3136">
        <f>HYPERLINK("http://www.twitter.com/nyc311/status/750721720982601728", "750721720982601728")</f>
        <v>0</v>
      </c>
      <c r="B3136" s="2">
        <v>42557.66875</v>
      </c>
      <c r="C3136">
        <v>2</v>
      </c>
      <c r="D3136">
        <v>1</v>
      </c>
      <c r="E3136" t="s">
        <v>3091</v>
      </c>
    </row>
    <row r="3137" spans="1:5">
      <c r="A3137">
        <f>HYPERLINK("http://www.twitter.com/nyc311/status/750718269632442368", "750718269632442368")</f>
        <v>0</v>
      </c>
      <c r="B3137" s="2">
        <v>42557.659224537</v>
      </c>
      <c r="C3137">
        <v>0</v>
      </c>
      <c r="D3137">
        <v>1</v>
      </c>
      <c r="E3137" t="s">
        <v>3092</v>
      </c>
    </row>
    <row r="3138" spans="1:5">
      <c r="A3138">
        <f>HYPERLINK("http://www.twitter.com/nyc311/status/750718130809409536", "750718130809409536")</f>
        <v>0</v>
      </c>
      <c r="B3138" s="2">
        <v>42557.6588425926</v>
      </c>
      <c r="C3138">
        <v>0</v>
      </c>
      <c r="D3138">
        <v>0</v>
      </c>
      <c r="E3138" t="s">
        <v>3093</v>
      </c>
    </row>
    <row r="3139" spans="1:5">
      <c r="A3139">
        <f>HYPERLINK("http://www.twitter.com/nyc311/status/750714119582576640", "750714119582576640")</f>
        <v>0</v>
      </c>
      <c r="B3139" s="2">
        <v>42557.6477777778</v>
      </c>
      <c r="C3139">
        <v>1</v>
      </c>
      <c r="D3139">
        <v>0</v>
      </c>
      <c r="E3139" t="s">
        <v>3094</v>
      </c>
    </row>
    <row r="3140" spans="1:5">
      <c r="A3140">
        <f>HYPERLINK("http://www.twitter.com/nyc311/status/750713374414139392", "750713374414139392")</f>
        <v>0</v>
      </c>
      <c r="B3140" s="2">
        <v>42557.6457175926</v>
      </c>
      <c r="C3140">
        <v>0</v>
      </c>
      <c r="D3140">
        <v>0</v>
      </c>
      <c r="E3140" t="s">
        <v>3095</v>
      </c>
    </row>
    <row r="3141" spans="1:5">
      <c r="A3141">
        <f>HYPERLINK("http://www.twitter.com/nyc311/status/750713275801829376", "750713275801829376")</f>
        <v>0</v>
      </c>
      <c r="B3141" s="2">
        <v>42557.6454513889</v>
      </c>
      <c r="C3141">
        <v>0</v>
      </c>
      <c r="D3141">
        <v>0</v>
      </c>
      <c r="E3141" t="s">
        <v>3096</v>
      </c>
    </row>
    <row r="3142" spans="1:5">
      <c r="A3142">
        <f>HYPERLINK("http://www.twitter.com/nyc311/status/750711786014408704", "750711786014408704")</f>
        <v>0</v>
      </c>
      <c r="B3142" s="2">
        <v>42557.6413310185</v>
      </c>
      <c r="C3142">
        <v>0</v>
      </c>
      <c r="D3142">
        <v>0</v>
      </c>
      <c r="E3142" t="s">
        <v>3097</v>
      </c>
    </row>
    <row r="3143" spans="1:5">
      <c r="A3143">
        <f>HYPERLINK("http://www.twitter.com/nyc311/status/750710641728614400", "750710641728614400")</f>
        <v>0</v>
      </c>
      <c r="B3143" s="2">
        <v>42557.6381828704</v>
      </c>
      <c r="C3143">
        <v>0</v>
      </c>
      <c r="D3143">
        <v>0</v>
      </c>
      <c r="E3143" t="s">
        <v>3098</v>
      </c>
    </row>
    <row r="3144" spans="1:5">
      <c r="A3144">
        <f>HYPERLINK("http://www.twitter.com/nyc311/status/750710402254790657", "750710402254790657")</f>
        <v>0</v>
      </c>
      <c r="B3144" s="2">
        <v>42557.6375231482</v>
      </c>
      <c r="C3144">
        <v>0</v>
      </c>
      <c r="D3144">
        <v>0</v>
      </c>
      <c r="E3144" t="s">
        <v>3099</v>
      </c>
    </row>
    <row r="3145" spans="1:5">
      <c r="A3145">
        <f>HYPERLINK("http://www.twitter.com/nyc311/status/750710309111865344", "750710309111865344")</f>
        <v>0</v>
      </c>
      <c r="B3145" s="2">
        <v>42557.6372569444</v>
      </c>
      <c r="C3145">
        <v>0</v>
      </c>
      <c r="D3145">
        <v>0</v>
      </c>
      <c r="E3145" t="s">
        <v>3100</v>
      </c>
    </row>
    <row r="3146" spans="1:5">
      <c r="A3146">
        <f>HYPERLINK("http://www.twitter.com/nyc311/status/750709900267950081", "750709900267950081")</f>
        <v>0</v>
      </c>
      <c r="B3146" s="2">
        <v>42557.6361342593</v>
      </c>
      <c r="C3146">
        <v>0</v>
      </c>
      <c r="D3146">
        <v>0</v>
      </c>
      <c r="E3146" t="s">
        <v>3101</v>
      </c>
    </row>
    <row r="3147" spans="1:5">
      <c r="A3147">
        <f>HYPERLINK("http://www.twitter.com/nyc311/status/750709134547415040", "750709134547415040")</f>
        <v>0</v>
      </c>
      <c r="B3147" s="2">
        <v>42557.6340162037</v>
      </c>
      <c r="C3147">
        <v>0</v>
      </c>
      <c r="D3147">
        <v>0</v>
      </c>
      <c r="E3147" t="s">
        <v>3102</v>
      </c>
    </row>
    <row r="3148" spans="1:5">
      <c r="A3148">
        <f>HYPERLINK("http://www.twitter.com/nyc311/status/750706304931467264", "750706304931467264")</f>
        <v>0</v>
      </c>
      <c r="B3148" s="2">
        <v>42557.6262152778</v>
      </c>
      <c r="C3148">
        <v>0</v>
      </c>
      <c r="D3148">
        <v>0</v>
      </c>
      <c r="E3148" t="s">
        <v>3103</v>
      </c>
    </row>
    <row r="3149" spans="1:5">
      <c r="A3149">
        <f>HYPERLINK("http://www.twitter.com/nyc311/status/750706238321790976", "750706238321790976")</f>
        <v>0</v>
      </c>
      <c r="B3149" s="2">
        <v>42557.6260300926</v>
      </c>
      <c r="C3149">
        <v>0</v>
      </c>
      <c r="D3149">
        <v>0</v>
      </c>
      <c r="E3149" t="s">
        <v>3104</v>
      </c>
    </row>
    <row r="3150" spans="1:5">
      <c r="A3150">
        <f>HYPERLINK("http://www.twitter.com/nyc311/status/750706221267689473", "750706221267689473")</f>
        <v>0</v>
      </c>
      <c r="B3150" s="2">
        <v>42557.6259837963</v>
      </c>
      <c r="C3150">
        <v>20</v>
      </c>
      <c r="D3150">
        <v>14</v>
      </c>
      <c r="E3150" t="s">
        <v>3105</v>
      </c>
    </row>
    <row r="3151" spans="1:5">
      <c r="A3151">
        <f>HYPERLINK("http://www.twitter.com/nyc311/status/750705782455406592", "750705782455406592")</f>
        <v>0</v>
      </c>
      <c r="B3151" s="2">
        <v>42557.6247685185</v>
      </c>
      <c r="C3151">
        <v>0</v>
      </c>
      <c r="D3151">
        <v>0</v>
      </c>
      <c r="E3151" t="s">
        <v>3106</v>
      </c>
    </row>
    <row r="3152" spans="1:5">
      <c r="A3152">
        <f>HYPERLINK("http://www.twitter.com/nyc311/status/750697902712823809", "750697902712823809")</f>
        <v>0</v>
      </c>
      <c r="B3152" s="2">
        <v>42557.6030208333</v>
      </c>
      <c r="C3152">
        <v>0</v>
      </c>
      <c r="D3152">
        <v>0</v>
      </c>
      <c r="E3152" t="s">
        <v>3107</v>
      </c>
    </row>
    <row r="3153" spans="1:5">
      <c r="A3153">
        <f>HYPERLINK("http://www.twitter.com/nyc311/status/750694405070290944", "750694405070290944")</f>
        <v>0</v>
      </c>
      <c r="B3153" s="2">
        <v>42557.5933796296</v>
      </c>
      <c r="C3153">
        <v>1</v>
      </c>
      <c r="D3153">
        <v>0</v>
      </c>
      <c r="E3153" t="s">
        <v>3108</v>
      </c>
    </row>
    <row r="3154" spans="1:5">
      <c r="A3154">
        <f>HYPERLINK("http://www.twitter.com/nyc311/status/750691445657468928", "750691445657468928")</f>
        <v>0</v>
      </c>
      <c r="B3154" s="2">
        <v>42557.5852083333</v>
      </c>
      <c r="C3154">
        <v>2</v>
      </c>
      <c r="D3154">
        <v>2</v>
      </c>
      <c r="E3154" t="s">
        <v>3109</v>
      </c>
    </row>
    <row r="3155" spans="1:5">
      <c r="A3155">
        <f>HYPERLINK("http://www.twitter.com/nyc311/status/750683674211913728", "750683674211913728")</f>
        <v>0</v>
      </c>
      <c r="B3155" s="2">
        <v>42557.5637615741</v>
      </c>
      <c r="C3155">
        <v>0</v>
      </c>
      <c r="D3155">
        <v>0</v>
      </c>
      <c r="E3155" t="s">
        <v>3110</v>
      </c>
    </row>
    <row r="3156" spans="1:5">
      <c r="A3156">
        <f>HYPERLINK("http://www.twitter.com/nyc311/status/750683118462525440", "750683118462525440")</f>
        <v>0</v>
      </c>
      <c r="B3156" s="2">
        <v>42557.5622337963</v>
      </c>
      <c r="C3156">
        <v>0</v>
      </c>
      <c r="D3156">
        <v>0</v>
      </c>
      <c r="E3156" t="s">
        <v>3111</v>
      </c>
    </row>
    <row r="3157" spans="1:5">
      <c r="A3157">
        <f>HYPERLINK("http://www.twitter.com/nyc311/status/750653270285312000", "750653270285312000")</f>
        <v>0</v>
      </c>
      <c r="B3157" s="2">
        <v>42557.4798611111</v>
      </c>
      <c r="C3157">
        <v>8</v>
      </c>
      <c r="D3157">
        <v>5</v>
      </c>
      <c r="E3157" t="s">
        <v>3112</v>
      </c>
    </row>
    <row r="3158" spans="1:5">
      <c r="A3158">
        <f>HYPERLINK("http://www.twitter.com/nyc311/status/750449245371699200", "750449245371699200")</f>
        <v>0</v>
      </c>
      <c r="B3158" s="2">
        <v>42556.9168634259</v>
      </c>
      <c r="C3158">
        <v>2</v>
      </c>
      <c r="D3158">
        <v>2</v>
      </c>
      <c r="E3158" t="s">
        <v>3113</v>
      </c>
    </row>
    <row r="3159" spans="1:5">
      <c r="A3159">
        <f>HYPERLINK("http://www.twitter.com/nyc311/status/750434220649119744", "750434220649119744")</f>
        <v>0</v>
      </c>
      <c r="B3159" s="2">
        <v>42556.8754050926</v>
      </c>
      <c r="C3159">
        <v>0</v>
      </c>
      <c r="D3159">
        <v>1</v>
      </c>
      <c r="E3159" t="s">
        <v>3114</v>
      </c>
    </row>
    <row r="3160" spans="1:5">
      <c r="A3160">
        <f>HYPERLINK("http://www.twitter.com/nyc311/status/750431344711335937", "750431344711335937")</f>
        <v>0</v>
      </c>
      <c r="B3160" s="2">
        <v>42556.8674652778</v>
      </c>
      <c r="C3160">
        <v>0</v>
      </c>
      <c r="D3160">
        <v>0</v>
      </c>
      <c r="E3160" t="s">
        <v>3115</v>
      </c>
    </row>
    <row r="3161" spans="1:5">
      <c r="A3161">
        <f>HYPERLINK("http://www.twitter.com/nyc311/status/750420326346067968", "750420326346067968")</f>
        <v>0</v>
      </c>
      <c r="B3161" s="2">
        <v>42556.8370601852</v>
      </c>
      <c r="C3161">
        <v>1</v>
      </c>
      <c r="D3161">
        <v>0</v>
      </c>
      <c r="E3161" t="s">
        <v>3116</v>
      </c>
    </row>
    <row r="3162" spans="1:5">
      <c r="A3162">
        <f>HYPERLINK("http://www.twitter.com/nyc311/status/750419526416728064", "750419526416728064")</f>
        <v>0</v>
      </c>
      <c r="B3162" s="2">
        <v>42556.834849537</v>
      </c>
      <c r="C3162">
        <v>0</v>
      </c>
      <c r="D3162">
        <v>0</v>
      </c>
      <c r="E3162" t="s">
        <v>3117</v>
      </c>
    </row>
    <row r="3163" spans="1:5">
      <c r="A3163">
        <f>HYPERLINK("http://www.twitter.com/nyc311/status/750419078771253248", "750419078771253248")</f>
        <v>0</v>
      </c>
      <c r="B3163" s="2">
        <v>42556.8336226852</v>
      </c>
      <c r="C3163">
        <v>2</v>
      </c>
      <c r="D3163">
        <v>0</v>
      </c>
      <c r="E3163" t="s">
        <v>3118</v>
      </c>
    </row>
    <row r="3164" spans="1:5">
      <c r="A3164">
        <f>HYPERLINK("http://www.twitter.com/nyc311/status/750410277930274816", "750410277930274816")</f>
        <v>0</v>
      </c>
      <c r="B3164" s="2">
        <v>42556.8093287037</v>
      </c>
      <c r="C3164">
        <v>0</v>
      </c>
      <c r="D3164">
        <v>0</v>
      </c>
      <c r="E3164" t="s">
        <v>3119</v>
      </c>
    </row>
    <row r="3165" spans="1:5">
      <c r="A3165">
        <f>HYPERLINK("http://www.twitter.com/nyc311/status/750410254513569792", "750410254513569792")</f>
        <v>0</v>
      </c>
      <c r="B3165" s="2">
        <v>42556.8092708333</v>
      </c>
      <c r="C3165">
        <v>0</v>
      </c>
      <c r="D3165">
        <v>0</v>
      </c>
      <c r="E3165" t="s">
        <v>3120</v>
      </c>
    </row>
    <row r="3166" spans="1:5">
      <c r="A3166">
        <f>HYPERLINK("http://www.twitter.com/nyc311/status/750389345178222593", "750389345178222593")</f>
        <v>0</v>
      </c>
      <c r="B3166" s="2">
        <v>42556.7515740741</v>
      </c>
      <c r="C3166">
        <v>7</v>
      </c>
      <c r="D3166">
        <v>3</v>
      </c>
      <c r="E3166" t="s">
        <v>3121</v>
      </c>
    </row>
    <row r="3167" spans="1:5">
      <c r="A3167">
        <f>HYPERLINK("http://www.twitter.com/nyc311/status/750383461853265920", "750383461853265920")</f>
        <v>0</v>
      </c>
      <c r="B3167" s="2">
        <v>42556.7353356481</v>
      </c>
      <c r="C3167">
        <v>0</v>
      </c>
      <c r="D3167">
        <v>0</v>
      </c>
      <c r="E3167" t="s">
        <v>3122</v>
      </c>
    </row>
    <row r="3168" spans="1:5">
      <c r="A3168">
        <f>HYPERLINK("http://www.twitter.com/nyc311/status/750383363660386304", "750383363660386304")</f>
        <v>0</v>
      </c>
      <c r="B3168" s="2">
        <v>42556.7350694444</v>
      </c>
      <c r="C3168">
        <v>0</v>
      </c>
      <c r="D3168">
        <v>0</v>
      </c>
      <c r="E3168" t="s">
        <v>3123</v>
      </c>
    </row>
    <row r="3169" spans="1:5">
      <c r="A3169">
        <f>HYPERLINK("http://www.twitter.com/nyc311/status/750383307330875392", "750383307330875392")</f>
        <v>0</v>
      </c>
      <c r="B3169" s="2">
        <v>42556.7349074074</v>
      </c>
      <c r="C3169">
        <v>0</v>
      </c>
      <c r="D3169">
        <v>0</v>
      </c>
      <c r="E3169" t="s">
        <v>3124</v>
      </c>
    </row>
    <row r="3170" spans="1:5">
      <c r="A3170">
        <f>HYPERLINK("http://www.twitter.com/nyc311/status/750382538380673025", "750382538380673025")</f>
        <v>0</v>
      </c>
      <c r="B3170" s="2">
        <v>42556.7327893519</v>
      </c>
      <c r="C3170">
        <v>0</v>
      </c>
      <c r="D3170">
        <v>0</v>
      </c>
      <c r="E3170" t="s">
        <v>3125</v>
      </c>
    </row>
    <row r="3171" spans="1:5">
      <c r="A3171">
        <f>HYPERLINK("http://www.twitter.com/nyc311/status/750374199387119616", "750374199387119616")</f>
        <v>0</v>
      </c>
      <c r="B3171" s="2">
        <v>42556.7097800926</v>
      </c>
      <c r="C3171">
        <v>0</v>
      </c>
      <c r="D3171">
        <v>0</v>
      </c>
      <c r="E3171" t="s">
        <v>3126</v>
      </c>
    </row>
    <row r="3172" spans="1:5">
      <c r="A3172">
        <f>HYPERLINK("http://www.twitter.com/nyc311/status/750373863591145474", "750373863591145474")</f>
        <v>0</v>
      </c>
      <c r="B3172" s="2">
        <v>42556.7088541667</v>
      </c>
      <c r="C3172">
        <v>0</v>
      </c>
      <c r="D3172">
        <v>0</v>
      </c>
      <c r="E3172" t="s">
        <v>3127</v>
      </c>
    </row>
    <row r="3173" spans="1:5">
      <c r="A3173">
        <f>HYPERLINK("http://www.twitter.com/nyc311/status/750372294065852416", "750372294065852416")</f>
        <v>0</v>
      </c>
      <c r="B3173" s="2">
        <v>42556.7045138889</v>
      </c>
      <c r="C3173">
        <v>1</v>
      </c>
      <c r="D3173">
        <v>0</v>
      </c>
      <c r="E3173" t="s">
        <v>3128</v>
      </c>
    </row>
    <row r="3174" spans="1:5">
      <c r="A3174">
        <f>HYPERLINK("http://www.twitter.com/nyc311/status/750370730886529024", "750370730886529024")</f>
        <v>0</v>
      </c>
      <c r="B3174" s="2">
        <v>42556.7002083333</v>
      </c>
      <c r="C3174">
        <v>0</v>
      </c>
      <c r="D3174">
        <v>0</v>
      </c>
      <c r="E3174" t="s">
        <v>3129</v>
      </c>
    </row>
    <row r="3175" spans="1:5">
      <c r="A3175">
        <f>HYPERLINK("http://www.twitter.com/nyc311/status/750370248264744960", "750370248264744960")</f>
        <v>0</v>
      </c>
      <c r="B3175" s="2">
        <v>42556.6988773148</v>
      </c>
      <c r="C3175">
        <v>0</v>
      </c>
      <c r="D3175">
        <v>0</v>
      </c>
      <c r="E3175" t="s">
        <v>3130</v>
      </c>
    </row>
    <row r="3176" spans="1:5">
      <c r="A3176">
        <f>HYPERLINK("http://www.twitter.com/nyc311/status/750370049878265856", "750370049878265856")</f>
        <v>0</v>
      </c>
      <c r="B3176" s="2">
        <v>42556.6983217593</v>
      </c>
      <c r="C3176">
        <v>0</v>
      </c>
      <c r="D3176">
        <v>0</v>
      </c>
      <c r="E3176" t="s">
        <v>3131</v>
      </c>
    </row>
    <row r="3177" spans="1:5">
      <c r="A3177">
        <f>HYPERLINK("http://www.twitter.com/nyc311/status/750369054754471936", "750369054754471936")</f>
        <v>0</v>
      </c>
      <c r="B3177" s="2">
        <v>42556.6955787037</v>
      </c>
      <c r="C3177">
        <v>0</v>
      </c>
      <c r="D3177">
        <v>0</v>
      </c>
      <c r="E3177" t="s">
        <v>3132</v>
      </c>
    </row>
    <row r="3178" spans="1:5">
      <c r="A3178">
        <f>HYPERLINK("http://www.twitter.com/nyc311/status/750362338360979456", "750362338360979456")</f>
        <v>0</v>
      </c>
      <c r="B3178" s="2">
        <v>42556.6770486111</v>
      </c>
      <c r="C3178">
        <v>0</v>
      </c>
      <c r="D3178">
        <v>0</v>
      </c>
      <c r="E3178" t="s">
        <v>3133</v>
      </c>
    </row>
    <row r="3179" spans="1:5">
      <c r="A3179">
        <f>HYPERLINK("http://www.twitter.com/nyc311/status/750360685712904192", "750360685712904192")</f>
        <v>0</v>
      </c>
      <c r="B3179" s="2">
        <v>42556.6724884259</v>
      </c>
      <c r="C3179">
        <v>3</v>
      </c>
      <c r="D3179">
        <v>4</v>
      </c>
      <c r="E3179" t="s">
        <v>3134</v>
      </c>
    </row>
    <row r="3180" spans="1:5">
      <c r="A3180">
        <f>HYPERLINK("http://www.twitter.com/nyc311/status/750354534480879616", "750354534480879616")</f>
        <v>0</v>
      </c>
      <c r="B3180" s="2">
        <v>42556.6555092593</v>
      </c>
      <c r="C3180">
        <v>0</v>
      </c>
      <c r="D3180">
        <v>0</v>
      </c>
      <c r="E3180" t="s">
        <v>3135</v>
      </c>
    </row>
    <row r="3181" spans="1:5">
      <c r="A3181">
        <f>HYPERLINK("http://www.twitter.com/nyc311/status/750354210659635201", "750354210659635201")</f>
        <v>0</v>
      </c>
      <c r="B3181" s="2">
        <v>42556.6546180556</v>
      </c>
      <c r="C3181">
        <v>0</v>
      </c>
      <c r="D3181">
        <v>0</v>
      </c>
      <c r="E3181" t="s">
        <v>3136</v>
      </c>
    </row>
    <row r="3182" spans="1:5">
      <c r="A3182">
        <f>HYPERLINK("http://www.twitter.com/nyc311/status/750353244464054272", "750353244464054272")</f>
        <v>0</v>
      </c>
      <c r="B3182" s="2">
        <v>42556.6519560185</v>
      </c>
      <c r="C3182">
        <v>0</v>
      </c>
      <c r="D3182">
        <v>0</v>
      </c>
      <c r="E3182" t="s">
        <v>3137</v>
      </c>
    </row>
    <row r="3183" spans="1:5">
      <c r="A3183">
        <f>HYPERLINK("http://www.twitter.com/nyc311/status/750353096807686144", "750353096807686144")</f>
        <v>0</v>
      </c>
      <c r="B3183" s="2">
        <v>42556.6515393518</v>
      </c>
      <c r="C3183">
        <v>0</v>
      </c>
      <c r="D3183">
        <v>0</v>
      </c>
      <c r="E3183" t="s">
        <v>3138</v>
      </c>
    </row>
    <row r="3184" spans="1:5">
      <c r="A3184">
        <f>HYPERLINK("http://www.twitter.com/nyc311/status/750353069041418240", "750353069041418240")</f>
        <v>0</v>
      </c>
      <c r="B3184" s="2">
        <v>42556.6514699074</v>
      </c>
      <c r="C3184">
        <v>0</v>
      </c>
      <c r="D3184">
        <v>0</v>
      </c>
      <c r="E3184" t="s">
        <v>3139</v>
      </c>
    </row>
    <row r="3185" spans="1:5">
      <c r="A3185">
        <f>HYPERLINK("http://www.twitter.com/nyc311/status/750351689530638336", "750351689530638336")</f>
        <v>0</v>
      </c>
      <c r="B3185" s="2">
        <v>42556.647662037</v>
      </c>
      <c r="C3185">
        <v>0</v>
      </c>
      <c r="D3185">
        <v>0</v>
      </c>
      <c r="E3185" t="s">
        <v>3140</v>
      </c>
    </row>
    <row r="3186" spans="1:5">
      <c r="A3186">
        <f>HYPERLINK("http://www.twitter.com/nyc311/status/750348009699962880", "750348009699962880")</f>
        <v>0</v>
      </c>
      <c r="B3186" s="2">
        <v>42556.6375</v>
      </c>
      <c r="C3186">
        <v>0</v>
      </c>
      <c r="D3186">
        <v>0</v>
      </c>
      <c r="E3186" t="s">
        <v>3141</v>
      </c>
    </row>
    <row r="3187" spans="1:5">
      <c r="A3187">
        <f>HYPERLINK("http://www.twitter.com/nyc311/status/750346329679863809", "750346329679863809")</f>
        <v>0</v>
      </c>
      <c r="B3187" s="2">
        <v>42556.6328703704</v>
      </c>
      <c r="C3187">
        <v>0</v>
      </c>
      <c r="D3187">
        <v>0</v>
      </c>
      <c r="E3187" t="s">
        <v>3142</v>
      </c>
    </row>
    <row r="3188" spans="1:5">
      <c r="A3188">
        <f>HYPERLINK("http://www.twitter.com/nyc311/status/750345102644707332", "750345102644707332")</f>
        <v>0</v>
      </c>
      <c r="B3188" s="2">
        <v>42556.6294791667</v>
      </c>
      <c r="C3188">
        <v>0</v>
      </c>
      <c r="D3188">
        <v>0</v>
      </c>
      <c r="E3188" t="s">
        <v>3143</v>
      </c>
    </row>
    <row r="3189" spans="1:5">
      <c r="A3189">
        <f>HYPERLINK("http://www.twitter.com/nyc311/status/750345012370673664", "750345012370673664")</f>
        <v>0</v>
      </c>
      <c r="B3189" s="2">
        <v>42556.6292361111</v>
      </c>
      <c r="C3189">
        <v>0</v>
      </c>
      <c r="D3189">
        <v>0</v>
      </c>
      <c r="E3189" t="s">
        <v>3144</v>
      </c>
    </row>
    <row r="3190" spans="1:5">
      <c r="A3190">
        <f>HYPERLINK("http://www.twitter.com/nyc311/status/750344920423071748", "750344920423071748")</f>
        <v>0</v>
      </c>
      <c r="B3190" s="2">
        <v>42556.6289814815</v>
      </c>
      <c r="C3190">
        <v>0</v>
      </c>
      <c r="D3190">
        <v>0</v>
      </c>
      <c r="E3190" t="s">
        <v>3145</v>
      </c>
    </row>
    <row r="3191" spans="1:5">
      <c r="A3191">
        <f>HYPERLINK("http://www.twitter.com/nyc311/status/750344089489514496", "750344089489514496")</f>
        <v>0</v>
      </c>
      <c r="B3191" s="2">
        <v>42556.6266898148</v>
      </c>
      <c r="C3191">
        <v>1</v>
      </c>
      <c r="D3191">
        <v>5</v>
      </c>
      <c r="E3191" t="s">
        <v>3146</v>
      </c>
    </row>
    <row r="3192" spans="1:5">
      <c r="A3192">
        <f>HYPERLINK("http://www.twitter.com/nyc311/status/750343485820133376", "750343485820133376")</f>
        <v>0</v>
      </c>
      <c r="B3192" s="2">
        <v>42556.6250231481</v>
      </c>
      <c r="C3192">
        <v>1</v>
      </c>
      <c r="D3192">
        <v>1</v>
      </c>
      <c r="E3192" t="s">
        <v>3147</v>
      </c>
    </row>
    <row r="3193" spans="1:5">
      <c r="A3193">
        <f>HYPERLINK("http://www.twitter.com/nyc311/status/750343362864091137", "750343362864091137")</f>
        <v>0</v>
      </c>
      <c r="B3193" s="2">
        <v>42556.6246875</v>
      </c>
      <c r="C3193">
        <v>0</v>
      </c>
      <c r="D3193">
        <v>0</v>
      </c>
      <c r="E3193" t="s">
        <v>3148</v>
      </c>
    </row>
    <row r="3194" spans="1:5">
      <c r="A3194">
        <f>HYPERLINK("http://www.twitter.com/nyc311/status/750342365664215040", "750342365664215040")</f>
        <v>0</v>
      </c>
      <c r="B3194" s="2">
        <v>42556.6219328704</v>
      </c>
      <c r="C3194">
        <v>0</v>
      </c>
      <c r="D3194">
        <v>0</v>
      </c>
      <c r="E3194" t="s">
        <v>3149</v>
      </c>
    </row>
    <row r="3195" spans="1:5">
      <c r="A3195">
        <f>HYPERLINK("http://www.twitter.com/nyc311/status/750341074179219456", "750341074179219456")</f>
        <v>0</v>
      </c>
      <c r="B3195" s="2">
        <v>42556.6183680556</v>
      </c>
      <c r="C3195">
        <v>0</v>
      </c>
      <c r="D3195">
        <v>0</v>
      </c>
      <c r="E3195" t="s">
        <v>3150</v>
      </c>
    </row>
    <row r="3196" spans="1:5">
      <c r="A3196">
        <f>HYPERLINK("http://www.twitter.com/nyc311/status/750340282340765696", "750340282340765696")</f>
        <v>0</v>
      </c>
      <c r="B3196" s="2">
        <v>42556.6161805556</v>
      </c>
      <c r="C3196">
        <v>0</v>
      </c>
      <c r="D3196">
        <v>0</v>
      </c>
      <c r="E3196" t="s">
        <v>3151</v>
      </c>
    </row>
    <row r="3197" spans="1:5">
      <c r="A3197">
        <f>HYPERLINK("http://www.twitter.com/nyc311/status/750338462243549184", "750338462243549184")</f>
        <v>0</v>
      </c>
      <c r="B3197" s="2">
        <v>42556.6111574074</v>
      </c>
      <c r="C3197">
        <v>1</v>
      </c>
      <c r="D3197">
        <v>0</v>
      </c>
      <c r="E3197" t="s">
        <v>3152</v>
      </c>
    </row>
    <row r="3198" spans="1:5">
      <c r="A3198">
        <f>HYPERLINK("http://www.twitter.com/nyc311/status/750337923258671104", "750337923258671104")</f>
        <v>0</v>
      </c>
      <c r="B3198" s="2">
        <v>42556.6096759259</v>
      </c>
      <c r="C3198">
        <v>0</v>
      </c>
      <c r="D3198">
        <v>0</v>
      </c>
      <c r="E3198" t="s">
        <v>3153</v>
      </c>
    </row>
    <row r="3199" spans="1:5">
      <c r="A3199">
        <f>HYPERLINK("http://www.twitter.com/nyc311/status/750337056866467840", "750337056866467840")</f>
        <v>0</v>
      </c>
      <c r="B3199" s="2">
        <v>42556.6072800926</v>
      </c>
      <c r="C3199">
        <v>0</v>
      </c>
      <c r="D3199">
        <v>0</v>
      </c>
      <c r="E3199" t="s">
        <v>3154</v>
      </c>
    </row>
    <row r="3200" spans="1:5">
      <c r="A3200">
        <f>HYPERLINK("http://www.twitter.com/nyc311/status/750336181469151232", "750336181469151232")</f>
        <v>0</v>
      </c>
      <c r="B3200" s="2">
        <v>42556.6048611111</v>
      </c>
      <c r="C3200">
        <v>0</v>
      </c>
      <c r="D3200">
        <v>0</v>
      </c>
      <c r="E3200" t="s">
        <v>3155</v>
      </c>
    </row>
    <row r="3201" spans="1:5">
      <c r="A3201">
        <f>HYPERLINK("http://www.twitter.com/nyc311/status/750328992339791872", "750328992339791872")</f>
        <v>0</v>
      </c>
      <c r="B3201" s="2">
        <v>42556.5850231481</v>
      </c>
      <c r="C3201">
        <v>5</v>
      </c>
      <c r="D3201">
        <v>2</v>
      </c>
      <c r="E3201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2016-12-12T19:17:24Z</dcterms:created>
  <dcterms:modified xsi:type="dcterms:W3CDTF">2016-12-12T19:17:24Z</dcterms:modified>
</cp:coreProperties>
</file>