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<sst xmlns="http://schemas.openxmlformats.org/spreadsheetml/2006/main" count="3205" uniqueCount="3193">
  <si>
    <t>link</t>
  </si>
  <si>
    <t>created_at</t>
  </si>
  <si>
    <t>fav</t>
  </si>
  <si>
    <t>rt</t>
  </si>
  <si>
    <t>text</t>
  </si>
  <si>
    <t>Get the Ready New York app and create an emergency plan right on your phone. Android: https://t.co/U8vRQnDQMX iOS:… https://t.co/NmtUh0FVxi</t>
  </si>
  <si>
    <t>It finally feels like winter today - make sure to stay bundled up and indoors as much as possible.… https://t.co/HsblHG11Tr</t>
  </si>
  <si>
    <t>Prevent the spread of Influenza - Germs on your hands can be passed easily, so always DAB when you sneeze to Destro… https://t.co/9HBrlDSQWK</t>
  </si>
  <si>
    <t>Some emergencies can happen without notice. Let's stay prepared together with PlanNowNYC. https://t.co/2DP2SDmrH7 https://t.co/LQ7LmvjTXY</t>
  </si>
  <si>
    <t>RT @NYPD108Pct: We remember and will #NeverForget the events that took place on Dec 7, 1941. Thank you for your service #PearlHarborRemembr…</t>
  </si>
  <si>
    <t>Next week is a symposium on preparedness for those with disabilities or access and functional needs. Register here:… https://t.co/gAc44nLRmS</t>
  </si>
  <si>
    <t>RT @NYCDisabilities: 12/14 join @nycoem &amp;amp; NYC citizen corp to learn about strengthening partnerships around emergency planning for #pwd htt…</t>
  </si>
  <si>
    <t>This week is National Influenza Vaccination Week. It's not too late in the season to #GetAFluVax! #NIVW2016 https://t.co/YdsH6JVsQt</t>
  </si>
  <si>
    <t>Congratulations to our happy Emergency Management Certificate Program graduates! https://t.co/iVUufbs05i</t>
  </si>
  <si>
    <t>Real New Yorkers like @MrMet have two emergency contacts - one close to home, and one in another state. https://t.co/6FoGX7YcAp</t>
  </si>
  <si>
    <t>High winds can be dangerous! If a Wind Advisory or High Wind Warning goes into effect, stay clear of flying debris.… https://t.co/uASjTS7seF</t>
  </si>
  <si>
    <t>RT @JoeEspoNYC: .@nycoem’s Interoperable Communications Vehicle is supporting #RockCenterXMAS tonight. Street closures for the tree lightin…</t>
  </si>
  <si>
    <t>The @rockcenternyc tree will be lit tonight! Keep your own tree safe by keeping it fresh and watered and unplugging… https://t.co/kZFU1bMpp2</t>
  </si>
  <si>
    <t>Get prepared for a wet and cold winter with these tips from @JoeEspoNYC ! https://t.co/NNFSFucyCX</t>
  </si>
  <si>
    <t>RT @UWSCERT: Nov 29, 6-8pm: Winter Weather Community Planning Workshop. Learn more and register here: https://t.co/Z9sK4tc9XP</t>
  </si>
  <si>
    <t>Cyber Monday is tomorrow. Stay cyber secure with these tricks from @DHSgov to stay safe and keep your info private: https://t.co/TYVowXnozt</t>
  </si>
  <si>
    <t>Interested in working for Emergency Management? We have openings for two internships in our Health &amp;amp; Medical unit: https://t.co/AZAWfKQGkK</t>
  </si>
  <si>
    <t>This holiday season, practice fire safety. If you cozy up by the fireplace or use candles for decorative or religio… https://t.co/u7AmQFLOuo</t>
  </si>
  <si>
    <t>Have a safe and happy Thanksgiving with your loved ones. Today we give thanks for all that we have. https://t.co/xlTNbBX6gl</t>
  </si>
  <si>
    <t>RT @NotifyNYC: #MacysParade: 11/24, 9AM - 12PM, road closures in midtown MN. Please see map: https://t.co/nUBxNsfM9X</t>
  </si>
  <si>
    <t>"Preparation through education is less costly than learning through tragedy." --Max Mayfield #wednesdaywisdom</t>
  </si>
  <si>
    <t>Prep your car for winter! Check your  battery, antifreeze, and thermostat, and add an emergency supply kit. More:… https://t.co/VZMAOxT9JB</t>
  </si>
  <si>
    <t>RT @HotDogFDNY: Stand by your pan! Cooking fires remain the leading cause of home fires and fire injuries. Head to https://t.co/V9lSXhYrCH…</t>
  </si>
  <si>
    <t>RAIN Gunhill Senior Center in the Bronx was named Ready New York Senior Center of the Year today. Congratulations! https://t.co/p73PzRTVsU</t>
  </si>
  <si>
    <t>Live now on Facebook. @NYCMayor  @cooperunion https://t.co/rWIVUHQsUu</t>
  </si>
  <si>
    <t>We met @MrMet this past weekend at the YMCA Welness Extravaganza Fair with CERT members! #ReadyNewYork https://t.co/PlRawG3ODv</t>
  </si>
  <si>
    <t>@NYCMayor will be speaking today at 11AM at @cooperunion  #AlwaysNewYork https://t.co/jsdV5jZ4zg</t>
  </si>
  <si>
    <t>Along with your Go-Bag, create an Emergency Supply Kit in case an emergency forces you to stay in your home. https://t.co/g2Et1LQF6c</t>
  </si>
  <si>
    <t>Sign up for @NotifyNYC to receive important alerts. Registration is free and simple. https://t.co/omD8WEIrrA https://t.co/qXlumYhYKH</t>
  </si>
  <si>
    <t>Thank you to CERT members from BK 13 for their Ready NY presentation in the West Brighton section of Coney Island!… https://t.co/TpBWvUyUqM</t>
  </si>
  <si>
    <t>“Better to have, and not need, than to need, and not have.” - Franz Kafka #ThursdayThoughts https://t.co/d6Q8pAxEAV</t>
  </si>
  <si>
    <t>RT @NYCMayorsOffice: NYC boaters be careful out there today! Keep an eye out for our underwater tourists 🐳🐳🐳🐳👀 https://t.co/xv0BGHQZcR</t>
  </si>
  <si>
    <t>RT @nycHealthy: Today is the #GreatAmericanSmokeout. New Yorkers: If you can quit for one day, you can quit for good! Tips: https://t.co/Tj…</t>
  </si>
  <si>
    <t>America’s critical infrastructure relies on you to help out. Find out how you can make a difference… https://t.co/YNOQEroaTY</t>
  </si>
  <si>
    <t>The GIS Team is featuring The Bronx today with an interactive exhibit! Games, puzzles, trivia and more! https://t.co/fhQzOymPHs</t>
  </si>
  <si>
    <t>It's flu season. The best way to protect you and your family is to get vaccinated. Find a location near you:… https://t.co/6ubtEroMlI</t>
  </si>
  <si>
    <t>Feel a chill? Winter is coming. Stay prepared with these tips from @NYIslanders https://t.co/a3vNv8U96i</t>
  </si>
  <si>
    <t>Make sure your Go-Bag and Emergency Kit are ready by checking this list of supplies: https://t.co/tZRwSSSPLW</t>
  </si>
  <si>
    <t>Today we commemorate our veterans for their service. Thank you for the sacrifices you made to protect us. https://t.co/gnReHCyU1v</t>
  </si>
  <si>
    <t>Ice T (@FINALLEVEL) has his emergency plan ready. Do you? Find resources here: https://t.co/2nT4m1DDab… https://t.co/QgXem7dXRp</t>
  </si>
  <si>
    <t>Doreen Garson was honored with a marching band last weekend for her 30+ years with CERT Brooklyn 15 and the Gerritt… https://t.co/lBB5Eelvrp</t>
  </si>
  <si>
    <t>Do you and your family have a plan for a disaster? Fill out our Emergency Plan to be prepared:… https://t.co/QNBJnNYUgp</t>
  </si>
  <si>
    <t>RT @NYCVotes: All eligible voters have the right to vote &amp;amp; access the ballot box TODAY! Know your rights: https://t.co/uyCNsIVE2o https://t…</t>
  </si>
  <si>
    <t>Did you enjoy your extra hour of sleep this weekend? Use your extra time to refresh and replace expired food and ba… https://t.co/pY29K4D9iy</t>
  </si>
  <si>
    <t>RT @NotifyNYC: Due to the election, expect lane closures in midtown MN from 10 AM Mon, 11/7 - 12AM Weds, 11/9. Allow additional travel time.</t>
  </si>
  <si>
    <t>Today is race day for NYC Marathon runners! Good luck to those participating! Check street closures: https://t.co/uO41h7Mp7a #NYCMarathon</t>
  </si>
  <si>
    <t>Don't forget to turn back your clocks one hour tonight! Daylight Savings is a great reminder to check your smoke &amp;amp; CO alarms #FDNYSmart</t>
  </si>
  <si>
    <t>RT @PrepareAthon: Since you have to reset your clocks this weekend anyway, test your smoke alarms and check their expiration date. #Dayligh…</t>
  </si>
  <si>
    <t>It may be beautiful in NYC today, but winter weather is coming sooner than you think. Keep these tips from… https://t.co/jGLsNu2bAg</t>
  </si>
  <si>
    <t>It's National Stress Awareness Day. Keep a mental check on your stress levels, check NYC Well for more resources: https://t.co/miImz6irRM</t>
  </si>
  <si>
    <t>Did you catch Ready Girl at the Gracie Mansion for Halloween? Read about her adventures with trick-or-treaters! https://t.co/qKYqO8kLo0</t>
  </si>
  <si>
    <t>Our new website, PlanNowNYC, has officially launched to help New Yorkers adequately prepare for acts of terror.… https://t.co/M4evHqrP69</t>
  </si>
  <si>
    <t>It's Winter Weather Awareness Week. Get prepared now before we're snowed in! https://t.co/Ds0iNieFID https://t.co/oAhcm9yFNz</t>
  </si>
  <si>
    <t>Halloween can be spooooooky! Stay aware to keep you and your children safe this holiday. #PreparedNotScared https://t.co/Aeighv9B8T</t>
  </si>
  <si>
    <t>Happy Diwali to all of our Hindu New Yorkers! Have a festive celebration just like @NYCMayor &amp;amp; @NYCFirstLady https://t.co/NEpXeSOQaa</t>
  </si>
  <si>
    <t>4 years ago today, Hurricane Sandy reached NYC, devastating some areas. Be ready for the next storm &amp;amp; #KnowYourZone… https://t.co/GtZRgrPWsX</t>
  </si>
  <si>
    <t>.@JoeEspoNYC was @BKLYNlibrary Coney Island unveiling a High Water Mark sign for the 4th anniversary of Sandy. Wate… https://t.co/aJcnTpZkoq</t>
  </si>
  <si>
    <t>#YourChoiceMatters - Let's highlight dusk and darkness safety! #VisionZero reminds us to slow down, not cut corners and look closely!</t>
  </si>
  <si>
    <t>RT @NotifyNYC: Following an earlier incident, #LaGuardia Airport has reopened to limited air traffic. Expect delays. Check with airline for…</t>
  </si>
  <si>
    <t>RT @NotifyNYC: Due to a plane skidding off the runway, #LaGuardia is currently closed until further notice. Check with your airline for add…</t>
  </si>
  <si>
    <t>112 years ago today, the first line of the NYC Subway opened. Thank you @MTA for always keeping New Yorkers connect… https://t.co/SMsYVMYEo0</t>
  </si>
  <si>
    <t>RT @UWSCERT: CERT Training at Randall's Island last weekend a success, drawing 70 participants. Thank you to all who came! https://t.co/pI5…</t>
  </si>
  <si>
    <t>Good luck all CERT volunteers starting the fall training cycle today to help their communities. Join the next cycle… https://t.co/8rJ802LSC6</t>
  </si>
  <si>
    <t>RT @JoeEspoNYC: Started the morning by getting my #flu shot today. Find out where you can get yours: https://t.co/JXwojgY5Yg https://t.co/l…</t>
  </si>
  <si>
    <t>A great initiative to provide mental health assistance via phone, text, and chat has been launched by @NYCFirstLady https://t.co/A3QqSE1IEG</t>
  </si>
  <si>
    <t>Is your pet ready for a disaster? Prepare an Emergency Plan for you and your pet so that you can stay safe together… https://t.co/DC7Qh3hlPT</t>
  </si>
  <si>
    <t>The Yellow Team is being evaluated following an emergency simulation. https://t.co/Z8AgiSsASh</t>
  </si>
  <si>
    <t>Deputy Chief Jim Brosi leads the Green Team for a disaster simulation at today's training. https://t.co/KOinpBBdSS</t>
  </si>
  <si>
    <t>The CERT Team is ready for the Randall's Island Exercise 2016! https://t.co/el5v80ATKH</t>
  </si>
  <si>
    <t>Cybercrime is on the rise. Stay #CyberAware to combat cybercrime at your job and in your home. Learn more here: https://t.co/VLVhIPOatp</t>
  </si>
  <si>
    <t>Thanks to all that participated in the #ShakeOut. Earthquakes do not hit NYC often, so it's important to practice! https://t.co/606VPoPIFM</t>
  </si>
  <si>
    <t>The annual #shakeout drill is in one hour at 10:20AM. Drop, cover, and hold on! https://t.co/eT3feYrkdo</t>
  </si>
  <si>
    <t>You can now view our agency's new strategic plan, which outlines our focus and goals for the next 5 years. https://t.co/OqXEgh9Ts5</t>
  </si>
  <si>
    <t>We had a blood drive in our offices today to benefit those affected by Hurricane Matthew. Find a donation location:… https://t.co/pvROHfoYPo</t>
  </si>
  <si>
    <t>24 hours until the Great Northeast ShakeOut! Wherever you are, participate in the drill and increase your earthquak… https://t.co/l6jAcUhTn6</t>
  </si>
  <si>
    <t>RT @NYCSanitation: Now Hiring: Become an emergency snow laborer this winter. Register at local DSNY garage weekdays, 7a-3p. Learn more: htt…</t>
  </si>
  <si>
    <t>For Infection Prevention Week, always remember to wash your hands frequently, and cover your mouth when you cough o… https://t.co/s5Pvmlac8A</t>
  </si>
  <si>
    <t>RT @NotifyNYC: In 3 days on 10/20, 10:20AM, NYC Emergency Management will be hosting the Great Northeast ShakeOut! Visit https://t.co/Tddkv…</t>
  </si>
  <si>
    <t>Ready Girl is going to be interviewed live on Cheddar! Watch now: https://t.co/fGA6CynwC0</t>
  </si>
  <si>
    <t>Don't get phished! Never give out your personal information to a suspicious offer or an unexpected email.… https://t.co/6POE55KunG</t>
  </si>
  <si>
    <t>We are at the Community, Culture, and Technology Fair at the Braille &amp;amp; Talking Book Library at 40 W 20 St. Manhattan all day. Come by!</t>
  </si>
  <si>
    <t>On 10/20 at 10:20 AM, we'll drop, cover and hold on to practice for earthquakes in the Great Northeast #ShakeOut! J… https://t.co/IhnWFg5Yvb</t>
  </si>
  <si>
    <t>Smoke alarms should be retired after 10 years. Don't wait. Check the date! Find out more at https://t.co/jCSuAL4lKg… https://t.co/2jq4BWqPqh</t>
  </si>
  <si>
    <t>Today is #IDDR2016  and the launch of @unisdr's  "Sendai Seven" campaign. Learn more: https://t.co/hSr1Sb0rXa… https://t.co/0p6YjuHLSU</t>
  </si>
  <si>
    <t>Ready Girl was interviewed at #NYCC2016 this past weekend. Check it out here: https://t.co/wjs0ZynAY9 https://t.co/DP3T6B99Xi</t>
  </si>
  <si>
    <t>RT @JoeEspoNYC: NY's Urban Search &amp;amp; Rescue Task Force 1 is continuing evacuation &amp;amp; rescue work in North Carolina today in areas devastated…</t>
  </si>
  <si>
    <t>Don't wait. Check the date! Learn how to stay safe this #FirePreventionWeek with @Sparky_Fire_Dog https://t.co/GZd3AWHNUF</t>
  </si>
  <si>
    <t>NYC Emergency Management would like to wish a wonderful Yom Kippur to all New Yorkers who observe!</t>
  </si>
  <si>
    <t>In a shared work environment, always be sure to lock your computer when you walk away in order to protect sensitive… https://t.co/8j6SPkBvAN</t>
  </si>
  <si>
    <t>RT @BilldeBlasio: If we want a fairer, better country, then we need the line at the voting booth to be as diverse as NYC's food truck scene…</t>
  </si>
  <si>
    <t>RT @NotifyNYC: .@LIRR restored limited service btwn Jamaica, QN &amp;amp; Hicksville, LI in both directions. Expect delays/check updates: https://t…</t>
  </si>
  <si>
    <t>#HurricaneMatthew reminds us all of the threat that storms can pose. Find your NYC evacuation center:… https://t.co/YsSi7jtkyd</t>
  </si>
  <si>
    <t>RT @NotifyNYC: Due to train derailment near New Hyde Park, LI, @LIRR service suspended btw Jamaica &amp;amp; Hicksville both directions. https://t.…</t>
  </si>
  <si>
    <t>RT @NYCMayorsOffice: Mayor @BilldeBlasio &amp;amp; First Lady @Chirlane McCray’s statement on #HurricaneMatthew. Donate to relief efforts at: https…</t>
  </si>
  <si>
    <t>Earthquakes may not occur often in NYC, but everyone should know how to protect themselves. Visit https://t.co/xadiJ9SzPa for more.</t>
  </si>
  <si>
    <t>Take a peek inside NYC's post-disaster housing model today from 11 AM to 1 PM, located at Cadman Plaza East &amp;amp; Red C… https://t.co/0MHA9mjnWh</t>
  </si>
  <si>
    <t>RT @JoeEspoNYC: NYC's Urban Search &amp;amp; Rescue team w/ @FDNY &amp;amp; @NYPDnews is heading to Georgia to assist following  Hurricane Matthew. https:/…</t>
  </si>
  <si>
    <t>Stay safe online as well as IRL with these online safety tips from @STOPTHNKCONNECT  #CyberAware https://t.co/okn1fMZgfO</t>
  </si>
  <si>
    <t>At #ComicCon today? @nycoem is here with Ready Girl! https://t.co/iBT3HocYAM</t>
  </si>
  <si>
    <t>RT @NotifyNYC: .@Amtrak Following a prior suspension, Amtrak Northeast Regional service has resumed btwn NY &amp;amp; New Rochelle.</t>
  </si>
  <si>
    <t>Get prepared with @MrMet &amp;amp; the rest of the @Mets before they beat the Giants in tonight's big #WildCard game! More:… https://t.co/0QJSWQ29DQ</t>
  </si>
  <si>
    <t>RT @NotifyNYC: .@Amtrak Due to a freight train derailment near Hell Gate Line, Amtrak Northeast Regional service is suspended btwn NY &amp;amp; New…</t>
  </si>
  <si>
    <t>Get tips on how to be prepared for hurricanes with help from the Ready New York: Hurricanes and New York City guide: https://t.co/YgZgKuhg0A</t>
  </si>
  <si>
    <t>Protect your personal info from theft for National #CyberAware Month by using 2-step verification:… https://t.co/6PG00YA8Sm</t>
  </si>
  <si>
    <t>Another month, another chance to win your very own FREE Go Bag from Ready New York. Try the quiz and enter here:… https://t.co/n7ObXnDGc1</t>
  </si>
  <si>
    <t>Shalom and salaam to our Jewish and Muslim New Yorkers, celebrating Rosh Hashanah and Islamic New Year!</t>
  </si>
  <si>
    <t>RT @ICEgov: October is National Cyber Security Awareness Month, an annual campaign to raise awareness about cybersecurity https://t.co/vsbo…</t>
  </si>
  <si>
    <t>Young New Yorkers should be ready for an emergency, too! Get Ready New York guides/resources for kids &amp;amp; tweens:… https://t.co/tfML1kCExc</t>
  </si>
  <si>
    <t>RT @NYCHousing: #NYCHeatSeason has started! Do you have heat? If not make sure to contact management and @nyc311 https://t.co/GQVLbg3L49 ht…</t>
  </si>
  <si>
    <t>Still not sure how to make a plan? Get started with the free #ReadyNYC app, available for smartphones &amp;amp; tablets.… https://t.co/5J6YJ1ikYv</t>
  </si>
  <si>
    <t>Even in the fall, hurricanes can still affect NYC. Keep these tips from Ready Girl in mind to stay alert &amp;amp; prepared… https://t.co/MoQ70I1BOv</t>
  </si>
  <si>
    <t>Happy PrepareAthon! Day. How are you participating? #PrepareAThon #NPM2016 https://t.co/4ALXvUyuua</t>
  </si>
  <si>
    <t>RT @NotifyNYC: NYC experiencing wind gusts in excess of 40MPH. Use caution walking/driving. Wind can cause flying debris https://t.co/VYE0s…</t>
  </si>
  <si>
    <t>.@nycoem is helping Roosevelt Island residents get prepared! #NPM2016 https://t.co/nVe6ynPFhk</t>
  </si>
  <si>
    <t>#NPM2016 may be ending tomorrow, but that's not stopping Ready New York at the One Brooklyn Resource Fair! https://t.co/VH73Hwsb2d</t>
  </si>
  <si>
    <t>Did you know? New York City’s flood risk is changing. Find out how --&amp;gt; https://t.co/v8YDk3pzED #NPM2016 cc: @NYClimate</t>
  </si>
  <si>
    <t>RT @NotifyNYC: .@PATHTrain Following a prior suspension, PATH train service in and out of #Hoboken Station, New Jersey has been restored. E…</t>
  </si>
  <si>
    <t>RT @NotifyNYC: .@NJTransit For info regarding this morning's NJ Transit train incident, call the NJ Transit Emergency Information Line at 8…</t>
  </si>
  <si>
    <t>RT @NYCMayorsOffice: .@FDNY deployed its Medical Evacuation Transport Unit (can carry 30+ patients) to Hoboken – @nycoem working w/ NJ coun…</t>
  </si>
  <si>
    <t>RT @NotifyNYC: .@NWSNewYorkNY has issued a Coastal Flood Advisory for South QN, until 10AM  today &amp;amp; 6P-10P, 9/29. For latest info: https://…</t>
  </si>
  <si>
    <t>@nycoem participating in a national virtual mutual aid exercise with its Big City Emergency Management partners.… https://t.co/X5TmzWdjRL</t>
  </si>
  <si>
    <t>During a flood, sewer backups can pose serious health risks. Make sure to pack fresh bottled water into your Go Bag… https://t.co/ag1KPzNTmS</t>
  </si>
  <si>
    <t>RT @NotifyNYC: .@FEMA Emergency Alert System (EAS) test will occur today at 2:20pm on radio/broadcast/cable TV. Only a test. https://t.co/V…</t>
  </si>
  <si>
    <t>It's National Good Neighbor Day! Connect with neighbors to help prepare for emergencies. Visit: https://t.co/ObM58wk6A7 for more. #NPM2016</t>
  </si>
  <si>
    <t>RT @Readygov: Today (9/28) the Emergency Alert System (EAS) 📡 will be tested nationwide on TV &amp;amp; radio. More info: https://t.co/3Oo90ON7TD h…</t>
  </si>
  <si>
    <t>@nycoem stands in solidarity with @FDNY &amp;amp; extends condolences to the family &amp;amp; colleagues of @FDNY Chief Michael J.… https://t.co/iaKV7NT3FG</t>
  </si>
  <si>
    <t>RT @JoeEspoNYC: My thoughts and prayers are with @FDNY and the family &amp;amp; friends of Battalion Chief Michael Fahy, tragically killed in the l…</t>
  </si>
  <si>
    <t>RT @NYPDnews: #HappeningSoon: Mayor @BilldeBlasio, @FDNY, @NYPDONeill &amp;amp; @nycoem update NYers on incident in #Bronx. WATCH: https://t.co/StY…</t>
  </si>
  <si>
    <t>Nothing to debate about here: hurricanes can &amp;amp; do affect New York City. This #NPM2016, make a plan &amp;amp; #knowyourzone.… https://t.co/yhLFYkjcv6</t>
  </si>
  <si>
    <t>It's the last week of #NPM2016. Be a part of the millions taking action &amp;amp; getting prepared for emergencies: https://t.co/kbLj1X2yCq.</t>
  </si>
  <si>
    <t>NYC is no stranger to the forces of nature, but natural &amp;amp; man-made hazards affect us differently. More:… https://t.co/NBP0ZLwIBJ</t>
  </si>
  <si>
    <t>Be sure that your home is prepared for natural disasters. Learn how to reduce your risk: https://t.co/yTlzwYjswL #NPM2016</t>
  </si>
  <si>
    <t>As the third week of #NPM2016 comes to a close, review how to make a plan that works best for you! https://t.co/0Dya63IjpW</t>
  </si>
  <si>
    <t>Tip: during an emergency, pets, emotional support and service animals can become stressed. Plan for his or her need… https://t.co/VlwimMazHm</t>
  </si>
  <si>
    <t>Putting a Go Bag &amp;amp; an emergency supply kit together? Include essentials like food/water, but consider adding these:_x000D_https://t.co/0Vv7q0TCrl</t>
  </si>
  <si>
    <t>Ready Girl encourages NYC kids to get involved with their communities this #NPM2016. Read --&amp;gt; https://t.co/cyMvJRjpdT</t>
  </si>
  <si>
    <t>Are you a care provider for people with disabilities/access &amp;amp; functional needs? Sign up for Advance Warning System: https://t.co/2C7xkjII3f</t>
  </si>
  <si>
    <t>Tip: need a way to get around NYC? Before an emergency, call @nyc311 to locate accessible transportation options. #NPM2016</t>
  </si>
  <si>
    <t>Tip: if you rely on electric-powered medical equipment, consider taking these steps before a disaster: https://t.co/TZvqvyzaoX #NPM2016</t>
  </si>
  <si>
    <t>Evacuations can take place in the event of an emergency. Coordinate with your loved ones on where to meet!… https://t.co/4pYWBXVRlI</t>
  </si>
  <si>
    <t>RT @NYCSmallBizSvcs: DYK? We work w/@nycoem + @nycgov agencies to assess impact of emergencies on #smallbiz &amp;amp; help restore operations https…</t>
  </si>
  <si>
    <t>Get emergency alerts the way you want to receive them, including American Sign Language video format &amp;amp; multiple lan… https://t.co/JkMAbvpLPh</t>
  </si>
  <si>
    <t>Don’t wait. Communicate. Talk with your support network about how you will help each other in an emergency: https://t.co/VEwK1yNtC6 #NPM2016</t>
  </si>
  <si>
    <t>RT @JoeEspoNYC: .@nycoem's Matt &amp;amp; Elizabeth had a great discussion about emergency preparedness with @HLAA yesterday. https://t.co/hwGti0Oc…</t>
  </si>
  <si>
    <t>RT @NotifyNYC: #Chelsea Explosion: Resident Service Ctr in NYCEM vehicle @ W 23 St &amp;amp; 7th Ave, now closed. For further assistance call 311.</t>
  </si>
  <si>
    <t>Make a plan that best suits your needs with the #ReadyNYC app, available for smartphones &amp;amp; tablets:… https://t.co/FvBjstM9GO</t>
  </si>
  <si>
    <t>Week 3 of National Preparedness Month focuses on how to make a plan that best suits your needs. Learn more: https://t.co/25m6V4Rc2j #NPM2016</t>
  </si>
  <si>
    <t>RT @NotifyNYC: Following police activity, W 23rd St btwn 6th/7th Aves  reopened to vehicular traffic. North side W 23rd St closed to pedest…</t>
  </si>
  <si>
    <t>RT @NYPDnews: "All NYers should feel secure that the NYPD will keep them safe &amp;amp; continue this investigation with our partners @NewYorkFBI,"…</t>
  </si>
  <si>
    <t>RT @NYPDnews: "A lot of technology involved, but also great old-fashioned police work by all cops, including the Joint Terrorism Task Force…</t>
  </si>
  <si>
    <t>RT @NYPDnews: "The work of 1st responders, law enforcement personnel &amp;amp; an engaged public have been outstanding," says @NewYorkFBI Assistant…</t>
  </si>
  <si>
    <t>RT @NYPDnews: "We will have a very strong presence of NYPD officers in NYC," Mayor @BilldeBlasio</t>
  </si>
  <si>
    <t>RT @NYPDnews: "We have every reason to believe that this was an act of terror," Mayor @BilldeBlasio on Chelsea bombing</t>
  </si>
  <si>
    <t>RT @NYPDnews: "Thanks to the brave officers of the Linden, NJ Police Department who captured this dangerous individual," @NYPDONeill https:…</t>
  </si>
  <si>
    <t>RT @NYPDnews: #HappeningNow: Mayor @BilldeBlasio &amp;amp; @NYPDONeill update NYers on Chelsea explosion &amp;amp; suspect. Watch LIVE https://t.co/BKA0Sa4…</t>
  </si>
  <si>
    <t>RT @nycHealthy: Stress after traumatic events like the Chelsea explosion is normal. There is no right or wrong way to react: https://t.co/f…</t>
  </si>
  <si>
    <t>RT @NotifyNYC: #alert #SeBusca: Ahmad Khan Rahami, 28 años, por la #explosión en Chelsea. Llame a 1-888-57PISTA. @NYCMayorsOffice https://t…</t>
  </si>
  <si>
    <t>RT @NotifyNYC: #alert The following individual is wanted in regards to the Chelsea explosion: Ahmad Khan Rahami, 28 year old male. https://…</t>
  </si>
  <si>
    <t>RT @NotifyNYC: #Chelsea Update: 1/E/F trains resumed normal service; n/b 6 Ave reopened @ 14 St; s/b 7 Ave reopened @ 34 St; crosstown traf…</t>
  </si>
  <si>
    <t>RT @NotifyNYC: #Chelsea Update: 1 Train service has resumed stops @ 23rd St &amp;amp; 28th St, MN. Other closures/disruptions remain in effect.</t>
  </si>
  <si>
    <t>RT @NotifyNYC: UN General Assembly: Expect traffic disruptions &amp;amp; security measures in NYC, 9/19-9/23. More info: https://t.co/Ppt9MtXC7Z.</t>
  </si>
  <si>
    <t>RT @JoeEspoNYC: Residents of Associated Blind Housing in Chelsea having dinner after yesterday's explosion w/ help from @redcrossny https:/…</t>
  </si>
  <si>
    <t>RT @NotifyNYC: #Chelsea Explosion: Resident Service Ctr open in @nycoem vehicle @ W 23 St &amp;amp; 7th Ave, MN, 8AM-9PM thru 9/20. Photo: https://…</t>
  </si>
  <si>
    <t>RT @NotifyNYC: #Chelsea Updated Closures: W 23rd St btw 5th &amp;amp; 7th Aves and 6th Ave btw W 14th St &amp;amp; W 25th St. All prior MTA disruptions rem…</t>
  </si>
  <si>
    <t>RT @NotifyNYC: .@NYPDnews controlled detonation activity is scheduled to occur today, 9/18, from 4:30 PM - 6:30 PM, near Rodman's Neck in T…</t>
  </si>
  <si>
    <t>RT @NYPDnews: Again, we urge and remind everyone, if you have any information on the Chelsea explosion share it by calling #800577TIPS</t>
  </si>
  <si>
    <t>RT @NYCMayorsOffice: Mayor @BilldeBlasio, @NYPDONeill, &amp;amp; @NewYorkFBI LIVE with updates on #ChelseaExplosion – https://t.co/k64rDETbwN</t>
  </si>
  <si>
    <t>RT @NotifyNYC: #Chelsea Update: Road closures, transit disruptions, &amp;amp; bus detours remain in effect. Residents/businesses bring ID to access…</t>
  </si>
  <si>
    <t>Get free, official emergency alerts by signing up for @NotifyNYC: visit https://t.co/GG33dFm8JN / call @nyc311 / follow @NotifyNYC.</t>
  </si>
  <si>
    <t>RT @NYPDONeill: We do think this was an intentional act. You can help your #NYPD. If you saw/heard something, please call 800-577-TIPS and/…</t>
  </si>
  <si>
    <t>RT @NotifyNYC: Crosstown traffic e/b &amp;amp; w/b is closed from W 14 St to W 32 St, from  5 Ave to 8 Ave (MN). These closure are in effect until…</t>
  </si>
  <si>
    <t>RT @notifynyc: .@NYPDnews UPDATE: The suspicious device on West 27th Street in Chelsea has been safely removed by the NYPD Bomb Squad.</t>
  </si>
  <si>
    <t>RT @NotifyNYC: #alert @NYPDnews: residents on W 27 St btw 6th Av/7th Av to  stay away from windows facing 27th St until they clear a suspic…</t>
  </si>
  <si>
    <t>RT @NYPDnews: Be advised all information to follow is preliminary</t>
  </si>
  <si>
    <t>RT @NYPDnews: Watch now https://t.co/FMsoGmM4uF also follow here for live updates.</t>
  </si>
  <si>
    <t>RT @NotifyNYC: Due to explosion, MTA disruptions F/1/2 Lines &amp;amp; traffic disruptions btwn 5-7th Ave btwn 14th St &amp;amp; 34th St, MN. Info: https:/…</t>
  </si>
  <si>
    <t>RT @NotifyNYC: @NYPDNews Due to explosion at 23rd St btw 6th &amp;amp; 7th Ave, MN, expect train service delays/cancellations, street closures, &amp;amp; t…</t>
  </si>
  <si>
    <t>Our Community Emergency Response Teams (CERTs) receive hands-on training to prepare for disasters. https://t.co/JpLwABOogf</t>
  </si>
  <si>
    <t>More than 2,000 volunteers support NYC’s first responders. Help your community today: https://t.co/mNCZBYVNtY https://t.co/uepPiujHNQ</t>
  </si>
  <si>
    <t>#NPM2016 is almost halfway through! Are you prepared for an emergency? Visit https://t.co/0Dya63IjpW for tips! https://t.co/iVBkHNFnzG</t>
  </si>
  <si>
    <t>NYC Citizen Corps encourages you to work with your local community to prepare for disasters: https://t.co/39x7JUFkDV https://t.co/llPMFPeMR2</t>
  </si>
  <si>
    <t>RT @HotDogFDNY: Learning how to keep our pets safe and ready for emergencies with @nycoem at Walt Whitman Park in BK! https://t.co/apGaSaPE…</t>
  </si>
  <si>
    <t>We're in Walt Whitman Park in BK until 2PM preparing your pets with @ASPCA @RedCross @NYCACC @HumaneSociety &amp;amp; more! https://t.co/gJkf9kpKSX</t>
  </si>
  <si>
    <t>The #SolomonFellowship is back for a new year, just in time for #NPM2016! https://t.co/rt1JN8sWkZ</t>
  </si>
  <si>
    <t>Tomorrow! Get your pets &amp;amp; service animals prepared this #NPM2016 at Brooklyn's Walt Whitman Park. https://t.co/SbKnW7u0n5</t>
  </si>
  <si>
    <t>Share your space! Your building can help your community prepare for or recover from an emergency. #NPM2016 https://t.co/0jvl1rMRSO</t>
  </si>
  <si>
    <t>.@nycoem recently dedicated its press briefing room to the late Richard J. Sheirer, agency director during 9/11/01. https://t.co/Guk6B0qxSR</t>
  </si>
  <si>
    <t>NYC Citizen Corps invites community &amp;amp; nonprofit leaders to learn how the City plans for coastal storms: https://t.co/5uW0lnXhOK #NPM2016</t>
  </si>
  <si>
    <t>Get your community safer, stronger &amp;amp; better prepared by joining NYC Citizen Corps: https://t.co/SXpWRadn3d #NPM2016 https://t.co/jA0mueiozg</t>
  </si>
  <si>
    <t>Want to prepare your pet/service animal for emergencies? Come by for a free event in Walt Whitman Park (BK) on 9/15! https://t.co/9VZ30cyQA4</t>
  </si>
  <si>
    <t>NYC CERTs support the efforts of first responders. Training is open to those who live/work in NYC! #NPM2016 https://t.co/IaOoBeKfUR</t>
  </si>
  <si>
    <t>Watch live as @NotifyNYC accepts the 2016 @FEMA Individual &amp;amp; Community Preparedness Award: https://t.co/93BiAFbTcU https://t.co/Q8KGhBM8Yl</t>
  </si>
  <si>
    <t>Support your neighborhood. Train to be part of a Community Emergency Response Team: https://t.co/B74xbq9m1k #NPM2016 https://t.co/6lvhLgFXJm</t>
  </si>
  <si>
    <t>RT @nycHealthy: The 1st human case of #WestNileVirus has been reported this season: https://t.co/e32vKESPho https://t.co/DmQB2HSI0c</t>
  </si>
  <si>
    <t>Want to win a Go Bag this National Preparedness Month? Take the latest Ready New York quiz! https://t.co/04ZoJmrNHv #NPM2016 #NatlPrep</t>
  </si>
  <si>
    <t>This week, find out how you can prepare your community/business/organization through service: https://t.co/7WbUZe4O5r #NPM2016 #NatlPrep</t>
  </si>
  <si>
    <t>On the  anniversary of the Sept. 11th attacks, we honor first responders who exemplify the true meaning of service. https://t.co/XVrcitwUkR</t>
  </si>
  <si>
    <t>National Grandparents Day is tomorrow! Consider the needs (&amp;amp; other elders in your life) when making a plan. #NPM2016 https://t.co/68WRPpPnJz</t>
  </si>
  <si>
    <t>Your Go Bag is one of the most important parts of your emergency plan. Pack thoroughly: https://t.co/QmGFgwsCXa https://t.co/068PIaYWGF</t>
  </si>
  <si>
    <t>Prepare your pets &amp;amp; service animals this #NPM2016! Join @nycoem &amp;amp; partners on 9/15 for a special event in Brooklyn. https://t.co/z2Nvz4rtZ7</t>
  </si>
  <si>
    <t>New Yorkers are always on the go. You may not be together during a disaster. Know where to meet. #NPM2016 #ReadyNYC https://t.co/gxrTQqTPHr</t>
  </si>
  <si>
    <t>Don’t wait. Communicate. Decide as a family who to contact during a disaster. #NPM2016 #ReadyNewYork #ReadyNYC https://t.co/kf07REKwo6</t>
  </si>
  <si>
    <t>Include your kids in your emergency plan, &amp;amp; teach how to get help &amp;amp; what to do in different situations: https://t.co/RAkHYTkn5v #NPM2016</t>
  </si>
  <si>
    <t>RT @NYCSmallBizSvcs: Learn to prep your #smallbiz for disasters at our workshop in #FarRockaway on 9/19: https://t.co/XREPUjjDCc</t>
  </si>
  <si>
    <t>Best of luck to students heading back to school! Be safe &amp;amp; prepared. #ReadyNYC #BacktoSchoolNYC @NYCSchools https://t.co/1wPuufGzek</t>
  </si>
  <si>
    <t>RT @NotifyNYC: Per @NYCparks, all advisories for NYC public beaches have been lifted. For more info, please visit: https://t.co/SpEWj6XpkA.</t>
  </si>
  <si>
    <t>RT @globalnyc: Thanks @nycoem for hosting fair for diplo &amp;amp; consular community to get important info about emergency preparedness! https://t…</t>
  </si>
  <si>
    <t>Your plan should include when to go (evacuate) &amp;amp; stay (shelter in place). Remember: practice makes perfect! #NPM2016 https://t.co/eoeCuMLHzq</t>
  </si>
  <si>
    <t>Hindsight is 20/20, but don’t let that stop you from preparing yourself &amp;amp; your family during #NPM2016: https://t.co/QNFDtxmqUQ</t>
  </si>
  <si>
    <t>RT @JoeEspoNYC: Thanks @Yankees for honoring #NatlPrep Month with us - it was an honor to throw out the first pitch tonight! https://t.co/P…</t>
  </si>
  <si>
    <t>Join @nycoem tomorrow at Dag Hammarskjold Plaza from 11 AM-2 PM to learn how to be prepared! #NPM2016 #NatlPrep https://t.co/bu8FBot02n</t>
  </si>
  <si>
    <t>Before an emergency, make copies of insurance cards, photo IDs, credit cards &amp;amp; more. #NPM2016 #NatlPrep https://t.co/Py0H5bYfA6</t>
  </si>
  <si>
    <t>RT @NHC_Atlantic: Key messages from NHC for Post Tropical Cyclone #Hermine at 11am EDT Tuesday. https://t.co/tW4KeGdBFb @NHCDirector https:…</t>
  </si>
  <si>
    <t>Don’t wait. Communicate. Know who to call, where to meet and what to pack. Get prepared: https://t.co/acpynoxUcF. #NPM2016 #NatlPrep</t>
  </si>
  <si>
    <t>RT @NotifyNYC: .@nycHealthy Aerial #mosquito larviciding SI, BK, QN, BX, 6AM-7PM 9/6-9/8. Info: https://t.co/deSCwov7td, https://t.co/lXkQD…</t>
  </si>
  <si>
    <t>RT @NotifyNYC: Due to #Hermine, @nycparks beaches will be closed to swimming/bathing/surfing on Tuesday, 9/6. Info: https://t.co/rts7z1iH8S…</t>
  </si>
  <si>
    <t>RT @JoeEspoNYC: Visit CERT and @nycoem today at the #WestIndianDayParade in Brooklyn, and have a safe &amp;amp; happy Labor Day! https://t.co/bPeHX…</t>
  </si>
  <si>
    <t>RT @NHC_Atlantic: Key messages from NHC for Post Tropical Cyclone #Hermine at 11am EDT Monday. https://t.co/tW4KeGdBFb @NHCDirector https:/…</t>
  </si>
  <si>
    <t>RT @NHC_Atlantic: Post-Tropical Cyclone #Hermine Intermediate advisory 32A issued. Hermine drifting northward off the mid-atlan... https://…</t>
  </si>
  <si>
    <t>RT @NWSNewYorkNY: The Tropical Storm Warning has been cancelled for New York City, with the warning still for eastern areas. #Hermine https…</t>
  </si>
  <si>
    <t>RT @NotifyNYC: Update #Hermine: Tropical Storm Warning still in effect citywide. Info: https://t.co/lTYnDmJu1X. ASL: https://t.co/CWQkS5R45…</t>
  </si>
  <si>
    <t>RT @NHC_Atlantic: Prototype StormSurge Watch #Hermine North Shore of Long Island east of
Flushing &amp;amp; South Shore east of Rockaway Inlet http…</t>
  </si>
  <si>
    <t>RT @NWSNewYorkNY: Here is the latest on Post-Tropical Storm Hermine with the 8pm intermediate advisory from NHC. #Hermine https://t.co/XUxU…</t>
  </si>
  <si>
    <t>Mayor @BilldeBlasio advises New Yorkers that NYC beaches remain closed Monday due to life-threatening rip currents: https://t.co/nJwDny730s</t>
  </si>
  <si>
    <t>RT @NWSNewYorkNY: Here is our latest update on Post-Tropical Storm Hermine. #Hermine https://t.co/NHOh1LuLrj</t>
  </si>
  <si>
    <t>RT @NHC_Atlantic: Key messages from NHC for Post Tropical Cyclone #Hermine at 5pm EDT Sunday. https://t.co/tW4KeFW0gB @NHCDirector https://…</t>
  </si>
  <si>
    <t>RT @NHC_Atlantic: Post-Tropical Cyclone #Hermine Intermediate advisory 29A issued. https://t.co/VqHn0uj6EM</t>
  </si>
  <si>
    <t>RT @NotifyNYC: Ahead of #Hermine, @nycparks beaches will be closed to swimming/bathing/surfing on Monday, 9/5. Info: https://t.co/rts7z1iH8…</t>
  </si>
  <si>
    <t>RT @NWSNewYorkNY: Post-Tropical Storm #Hermine has shifted further east than previously expected. https://t.co/87qnTvxLQH</t>
  </si>
  <si>
    <t>RT @NHC_Atlantic: NHC Key messages for Post Tropical Cyclone #Hermine issued at 11am EDT Sunday. https://t.co/tW4KeGdBFb @NHCDirector https…</t>
  </si>
  <si>
    <t>Being prepared means staying informed. Get free official emergency alerts. Sign up for @NotifyNYC. #Hermine #NPM2016 https://t.co/gol3eiDwcm</t>
  </si>
  <si>
    <t>RT @NHC_Atlantic: Post-Tropical Cyclone #Hermine advisory 28 issued. #Hermine expected to slow down and turn northward later today https://…</t>
  </si>
  <si>
    <t>RT @NotifyNYC: Tropical Storm Warning and Storm Surge Watch in effect citywide. Info: https://t.co/lTYnDmJu1X. ASL: https://t.co/CWQkS5R451.</t>
  </si>
  <si>
    <t>RT @NotifyNYC: Seastreak Ferry &amp;amp; SI Ferry may have service cancellations until Post-Trop. Cyclone Hermine passes. Info: https://t.co/Qsuq6k…</t>
  </si>
  <si>
    <t>RT @NotifyNYC: Tropical Storm Warning #Alert in effect citywide, today 9/3 starting at 11:00 AM. https://t.co/CWQkS5R451.</t>
  </si>
  <si>
    <t>RT @NWSNewYorkNY: A tropical storm warning is now in effect. Moderate to major coastal impacts are anticipated. https://t.co/1moFhpk2sv</t>
  </si>
  <si>
    <t>RT @NHC_Atlantic: Key messages from NHC for Tropical Storm #Hermine issued at 11 am EDT Saturday. https://t.co/tW4KeGdBFb @NHCDirector http…</t>
  </si>
  <si>
    <t>RT @NHC_Atlantic: Post-Tropical Cyclone #Hermine advisory 25 issued. #Hermine strengthens as it moves into the atlantic https://t.co/VqHn0u…</t>
  </si>
  <si>
    <t>Take time now to talk with your family about how you'll stay in touch in case of an emergency. #NPM2016 #Hermine https://t.co/pWfWi95Xob</t>
  </si>
  <si>
    <t>RT @NHC_Atlantic: Tropical Storm #Hermine Intermediate advisory 24A issued. https://t.co/VqHn0uj6EM</t>
  </si>
  <si>
    <t>RT @JoeEspoNYC: Thanks to @NHCDirector, @NWSNHC &amp;amp; @NWSNewYorkNY for keeping NYC informed w/ the latest forecasts for #Hermine https://t.co/…</t>
  </si>
  <si>
    <t>RT @NotifyNYC: Ahead of #Hermine, @nycparks beaches will be closed to swimming on Sunday, 9/4. For more, visit https://t.co/rts7z1iH8S or c…</t>
  </si>
  <si>
    <t>RT @NYC_Buildings: Severe Weather Advisory: NYC may experience flooding &amp;amp; high winds starting Saturday - secure work sites/properties. http…</t>
  </si>
  <si>
    <t>RT @NotifyNYC: #alert Tropical Storm Watch &amp;amp; Storm Surge Watch for NYC. Review emergency plans. https://t.co/t918yhlx8z. https://t.co/lqMH9…</t>
  </si>
  <si>
    <t>RT @NYC_DOT: Preparing for effects of #Hermine with @nycoem &amp;amp; partner agencies; DOT will monitor bridge, street, ferry conditions https://t…</t>
  </si>
  <si>
    <t>RT @NWSNewYorkNY: A Tropical Storm Watch is now in effect. Stay tuned to https://t.co/xrkkuob9Wl for the latest track on #Hermine https://t…</t>
  </si>
  <si>
    <t>"All New Yorkers need to remain vigilant [especially through Wednesday]." Watch live: https://t.co/2A6Y8RgXO5 #Hermine</t>
  </si>
  <si>
    <t>.@NYPDnews, @FDNY, @NYCSanitation &amp;amp; @NYC_DOT provide updates on how they're preparing NYC for #Hermine. Watch live: https://t.co/2A6Y8RgXO5.</t>
  </si>
  <si>
    <t>"We are taking many steps to make sure that we're fully prepared both ahead of the storm &amp;amp; for any impacts the city may face." -@JoeEspoNYC</t>
  </si>
  <si>
    <t>"We’re in constant communication w/ @NHC_Atlantic &amp;amp; @NWSNewYorkNY to get latest info on storm’s track, speed &amp;amp; intensity." -@JoeEspoNYC</t>
  </si>
  <si>
    <t>".@nycoem has been tracking Tropical Storm Hermine from before it became a named storm." -@JoeEspoNYC. Watch live: https://t.co/2A6Y8RgXO5</t>
  </si>
  <si>
    <t>Sign up for @NotifyNYC via @nyc311 or via our website:  https://t.co/wwHqON4Glc or follow @NotifyNYC on Twitter.</t>
  </si>
  <si>
    <t>"As always, check on friends, relatives, and neighbors. Especially seniors and those with medical conditions." More: https://t.co/2A6Y8RgXO5</t>
  </si>
  <si>
    <t>"Prepare for power outages. Charge cell phone batteries. Turn your fridge to colder settings to keep it cooler longer if power goes out."</t>
  </si>
  <si>
    <t>"Prepare for flooding. If you live in a flood-susceptible area." Watch live: https://t.co/2A6Y8RgXO5.</t>
  </si>
  <si>
    <t>"Prepare a Go Bag in case you need to leave your home quickly. You can find suggestions what to pack on [NYC. gov]."</t>
  </si>
  <si>
    <t>"The City's prepared. But as we always say in these situations, all New Yorkers have to be prepared, too." Live: https://t.co/2A6Y8RgXO5</t>
  </si>
  <si>
    <t>"We will be closing City beaches on Sunday... we likely will be closing these beaches [on Monday &amp;amp; beyond]." Watch: https://t.co/2A6Y8RgXO5</t>
  </si>
  <si>
    <t>Mayor @BilldeBlasio will deliver an update on Tropical Storm Hermine at @nycoem HQ. Watch live at https://t.co/2A6Y8RgXO5. #Hermine</t>
  </si>
  <si>
    <t>Tip: disasters don’t always occur when we’re with family &amp;amp; friends. Take time now to plan what to do in an emergency. #NPM2016 #NatlPrep</t>
  </si>
  <si>
    <t>RT @NHC_Atlantic: Join @NHCDirector live on Periscope at 9:30 a.m. EDT for the latest on #Hermine https://t.co/Bx7unjyCpr https://t.co/XigB…</t>
  </si>
  <si>
    <t>.@nycoem is closely monitoring #HurricaneHermine for potential impacts to NYC this weekend: https://t.co/bC2YT77XE5</t>
  </si>
  <si>
    <t>RT @NotifyNYC: Flood Advisory for Queens until 5:45 PM.  Minor flooding of low-lying and poor drainage areas possible. https://t.co/t918yhl…</t>
  </si>
  <si>
    <t>.@nhc_atlantic reports #Hermine is now a hurricane. Maximum sustained winds to near 75 mph. Info: https://t.co/WGzEJXQaqJ</t>
  </si>
  <si>
    <t>RT @femaregion2: #FEMARegion2 was proud to work with @NYCOEM at the Brooklyn Cyclones game to spread the word about #NatlPrep month. https:…</t>
  </si>
  <si>
    <t>It’s easy to become a Ready New Yorker. Check out the events being held throughout September: https://t.co/4h4GSJ6EY8 #NPM2016 #NatlPrep</t>
  </si>
  <si>
    <t>RT @NWSNHC: Join @NHCDirector live on Periscope around 9:15 am EDT/8:15 am CDT for the latest on #Hermine https://t.co/4NxlDwHrCg</t>
  </si>
  <si>
    <t>Happy National Preparedness Month! Don't wait. Become a Ready New Yorker: https://t.co/12qpUL5UuL #NPM2016 #NatlPrep https://t.co/o93UlqKj5W</t>
  </si>
  <si>
    <t>RT @NWSNewYorkNY: #TD9 is now Tropical Storm Hermine. Significant uncertainty remains with the track of this system. https://t.co/OEnmND62ty</t>
  </si>
  <si>
    <t>Planning for an emergency doesn't have to be a disaster. Take steps to be prepared today! #ReadyNYC https://t.co/w1nvJD8oF7</t>
  </si>
  <si>
    <t>RT @FDNY: Smoke alarms save lives. New Yorkers can #GetAlarmedNYC w/ @redcrossny by calling @nyc311 https://t.co/lRzEe8dwRK</t>
  </si>
  <si>
    <t>National Preparedness Month kicks off tomorrow! Are you prepared? #NPM2016 #NatlPrep https://t.co/dOMyJXUYBS</t>
  </si>
  <si>
    <t>Traveling this #LaborDay? Stay informed. Know before you go with alerts from @NotifyNYC:  https://t.co/GG33dFm8JN https://t.co/gVAUcop9Wj</t>
  </si>
  <si>
    <t>National Preparedness Month officially starts Thursday. Find out how you can be prepared all month long! https://t.co/12qpUL5UuL #NPM2016</t>
  </si>
  <si>
    <t>New Yorkers: you can now view @nycHealthy's mosquito surveillance &amp;amp; control activities across the five boroughs at https://t.co/kU3YTUy2PZ.</t>
  </si>
  <si>
    <t>Hurricanes can &amp;amp; do affect NYC. Make a plan before a storm arrives. https://t.co/BdwQJVJ3HB #knowyourzone https://t.co/shiXnjPj2R</t>
  </si>
  <si>
    <t>National Preparedness Month starts September 1! Get resources to get ready: https://t.co/12qpUL5UuL</t>
  </si>
  <si>
    <t>RT @NotifyNYC: MissingChild #Alert: Marc - Anthony Andrade, W/M/14, 5'9" tall &amp;amp; 195lbs, from BX,NY.  Seen? call 911. https://t.co/2eCfEbMvAU</t>
  </si>
  <si>
    <t>.@nycoem &amp;amp; @nycHealthy urge New Yorkers to take precautions during hot weather today: https://t.co/K0WxuEFX8N. Tips: https://t.co/1YlBqQIwK3</t>
  </si>
  <si>
    <t>Honor (wo)man's best friend &amp;amp; make a plan for your pet! #NationalDogDay https://t.co/hydl9aZjp4</t>
  </si>
  <si>
    <t>RT @nwsnewyorkny: Warming up again for tomorrow, before turning slightly cooler and less humid into the weekend. https://t.co/lVwz991nSm</t>
  </si>
  <si>
    <t>RT @JoeEspoNYC: Thanks to @cmenchaca for visiting @nycoem today for a great discussion about community outreach. https://t.co/l2uyZRCVgr</t>
  </si>
  <si>
    <t>Introducing the #SolomonFellowship's 2016-2017 class: https://t.co/Z1EbVopFvV https://t.co/JT6OmSeppB</t>
  </si>
  <si>
    <t>Congratulations to @NotifyNYC on earning Outstanding Inclusive Initiatives in Emergency Management award from @fema! https://t.co/2RZHqNSF0k</t>
  </si>
  <si>
    <t>TY @RosieMendez&amp;amp; Community Board 3's Susan Stetzer for supporting today's community preparedness fair! #EastVillage https://t.co/jUWi2AaA5g</t>
  </si>
  <si>
    <t>RT @FDNY: Take a FREE CPR class TODAY at @nycoem Emergency Preparedness Fair in #EastVillage until 2pm! E. 8 St &amp;amp; Lafayette https://t.co/NU…</t>
  </si>
  <si>
    <t>.@nycoem is at Astor Place until 2 PM in the #EastVillage teaching New Yorkers about how to be prepared. Come on by! https://t.co/OGA0lesSDc</t>
  </si>
  <si>
    <t>Join @nycoem &amp;amp; partners for an emergency preparedness fair in #EastVillage tomorrow from 11 AM to 2 PM! Details: https://t.co/DYHePVLiTd</t>
  </si>
  <si>
    <t>Earthquakes may not occur often in NYC, but you should know how to protect yourself. Watch: https://t.co/KyVbueXGuO via @ShakeOut</t>
  </si>
  <si>
    <t>Today, we remember the 2011 East Coast earthquake. What should you do if you feel the shake of a quake? https://t.co/pMX7I9hEkt</t>
  </si>
  <si>
    <t>RT @NotifyNYC: .@nycHealthy Ground #mosquito adulticide spraying BK/QN, 10 PM on 8/23-6 AM (8/24). https://t.co/VaHAvn6p6d, https://t.co/4o…</t>
  </si>
  <si>
    <t>Emergencies can strike at any time. Don't wait to make a plan. #MotivationMonday https://t.co/PQuugiKvR3</t>
  </si>
  <si>
    <t>Support your community by participating in the NYC Share Your Space Survey: https://t.co/JYPBel0gkK</t>
  </si>
  <si>
    <t>Per @NWSNewYorkNY: potential for scattered t-storms w/ heavy downpours this evening through midnight. For updates: https://t.co/f3GhoDNM8i</t>
  </si>
  <si>
    <t>RT @NWSNewYorkNY: 10:20 AM RADAR UPDATE
Some showers with occasionally heavy rain across northern sections for late this morning. https://t…</t>
  </si>
  <si>
    <t>RT @NWSNewYorkNY: More rain on the way for Sunday as a cold front approaches the area. Expect between a half to an inch of rain https://t.c…</t>
  </si>
  <si>
    <t>Know what to do to prepare for hurricanes in NYC. Take the first step &amp;amp; #knowyourzone. https://t.co/2vt4I1tBJK</t>
  </si>
  <si>
    <t>Everyone is susceptible to flood damage, whether from storms, water main breaks, or sewer backups. Prepare now: https://t.co/bDmNecpSXg</t>
  </si>
  <si>
    <t>Our thoughts with those affected by the #LAFlood. For information on how to volunteer/donate, visit https://t.co/6zHf7h8Wqb. @TheCityofBR</t>
  </si>
  <si>
    <t>.@NOAA says the Atlantic hurricane season is still expected to be the strongest since 2012. Be prepared! https://t.co/7djm5o1M7Y</t>
  </si>
  <si>
    <t>Want to help support @nycoem's Ready New York for Kids program? We are hiring presenters! https://t.co/bZ3skHTmS1 https://t.co/qN0LBkOoZf</t>
  </si>
  <si>
    <t>RT @JoeEspoNYC: Thanks to @dandonovan_ny, @RepKathleenRice &amp;amp; @RepSteveIsrael for visiting @nycoem &amp;amp; supporting NYC’s UASI funding. https://…</t>
  </si>
  <si>
    <t>You can protect your property from hazards. Check out the Ready New York: Reduce Your Risk guide for tips: https://t.co/w3sjJnkbcD</t>
  </si>
  <si>
    <t>Besides extreme heat, don't forget about other hazards that can affect NYC in the summer --&amp;gt; https://t.co/xZNPiE50oc https://t.co/H7mT5507Wq</t>
  </si>
  <si>
    <t>RT @NotifyNYC: .@nycHealthy Ground #mosquito  adulticide spraying in MN/QN, 10 PM (8/17)-6 AM (8/18). https://t.co/deSCwov7td https://t.co/…</t>
  </si>
  <si>
    <t>RT @ConEdison: Cool tip: For room ACs, close off the rooms not being used; for central AC, block  vents in un-used or vacant rooms. https:/…</t>
  </si>
  <si>
    <t>RT @NWSNewYorkNY: Much of our area is in a "Slight Risk" of Severe Thunderstorms for later this afternoon and this evening. https://t.co/3M…</t>
  </si>
  <si>
    <t>Extreme heat continues in NYC, but there are ways to #beattheheat! https://t.co/ooHmwMzWwB @NYCFC @nycHealthy</t>
  </si>
  <si>
    <t>Cooling centers are open today for those seeking relief from the heat. For locations/hours: https://t.co/mHBHJ4B4jf or call @nyc311.</t>
  </si>
  <si>
    <t>RT @NotifyNYC: Heat Advisory for NYC until 8PM tonight &amp;amp; from 12PM - 10PM on 8/16. Avoid strenuous activity. Cooling centers open. https://…</t>
  </si>
  <si>
    <t>RT @ConEdison: A COOL tip: A high efficiency AC along with a decrease in overall use can cut cooling costs by 20-50%. Inspect your cooling…</t>
  </si>
  <si>
    <t>RT @NWSNewYorkNY: 1 PM Heat index values. https://t.co/dNQ4PhI6k0</t>
  </si>
  <si>
    <t>Over the weekend, @nycoem staff braved the heat at the annual Big Apple ASL Festival in Coney Island. #ReadyNewYork https://t.co/LnlkKjsNgs</t>
  </si>
  <si>
    <t>RT @NWSNewYorkNY: Maximum heat index values expected today. High, but not as hot as past few days. https://t.co/JZ8vqwZkqm</t>
  </si>
  <si>
    <t>RT @NotifyNYC: .@NWSNewYorkNY Severe Thunderstorm Watch issued for NYC until 1:00 AM Sunday. Strong winds &amp;amp; heavy rain possible. https://t.…</t>
  </si>
  <si>
    <t>Extreme heat expected in NYC into next week. Cooling centers are open through Monday. Visit https://t.co/1YlBqQIwK3 or @nyc311 #BeatTheHeat</t>
  </si>
  <si>
    <t>Cooling centers are open this weekend. For locations, visit https://t.co/1YlBqQIwK3 or call @nyc311. #BeatTheHeat https://t.co/7sBDsT1DKV</t>
  </si>
  <si>
    <t>RT @NotifyNYC: Severe Thunderstorm Warning issued for QN, BX, MN until 7:45 PM. For updates: https://t.co/t918yhlx8z. ASL: https://t.co/Rlb…</t>
  </si>
  <si>
    <t>No A/C? Keep rooms well-ventilated, or go to a public pool, air-conditioned store, mall, movie theater, or cooling center. #BeatTheHeat</t>
  </si>
  <si>
    <t>"An oz. of prevention is worth a lb. of cure." - Mayor @BilldeBlasio on steps to reduce power usage &amp;amp; setting A/C to 78° F. #BeatTheHeat</t>
  </si>
  <si>
    <t>This [extreme heat event] marks the first excessive heat event since 2013. - Mayor @BilldeBlasio #BeatTheHeat</t>
  </si>
  <si>
    <t>.@FDNY Commissioner Nigro on open fire hydrants: improper opening of hydrants wastes gallons of water. Get a spray cap. #BeatTheHeat</t>
  </si>
  <si>
    <t>@PSafetyNews this is live on https://t.co/2A6Y8RgXO5.</t>
  </si>
  <si>
    <t>.@nycHealthy warns New Yorkers about heat illness &amp;amp; steps that can keep us cool &amp;amp; safe. #BeatTheHeat https://t.co/e7sl1X43ao</t>
  </si>
  <si>
    <t>"New Yorkers are encouraged to sign up for @NotifyNYC by calling 311 or visiting https://t.co/2A6Y8RgXO5." - @JoeEspoNYC #BeatTheHeat</t>
  </si>
  <si>
    <t>.@JoeEspoNYC: we are working with all of our partners, including @ConEdison &amp;amp; @PSEGLI. NYC's heat emergency plan is activated. #BeatTheHeat</t>
  </si>
  <si>
    <t>Commissioner @JoeEspoNYC shares how @nycoem is helping keep NYC safe during extreme heat. https://t.co/0DcNDPleTu</t>
  </si>
  <si>
    <t>Parents: never leave your child in a hot car. Pet owners: remember your pets are affected by extreme heat, too. - Mayor @BilldeBlasio</t>
  </si>
  <si>
    <t>Stay hydrated and check on your neighbors, especially those with disabilities. - Mayor @BilldeBlasio on extreme heat in NYC. #BeatTheHeat</t>
  </si>
  <si>
    <t>"Those seeking relief from the heat can visit one of NYC's 500 cooling centers." - Mayor @BilldeBlasio live at @nycoem. #BeatTheHeat</t>
  </si>
  <si>
    <t>"Use air-conditioning... this is a heat emergency. But set it at 78 degrees (which can help prevent power outages)." - Mayor @BilldeBlasio</t>
  </si>
  <si>
    <t>"If you don't need to be outdoors [through this weekend], don't do it." - Mayor @BilldeBlasio. #BeatTheHeat</t>
  </si>
  <si>
    <t>Mayor @BilldeBlasio live at @nycoem briefing New Yorkers about the extreme heat expected through the weekend. #BeatTheHeat</t>
  </si>
  <si>
    <t>Heat illness occurs when the body cannot cool down. Know the signs of heat illness: https://t.co/lcL3YHcLCQ #BeatTheHeat</t>
  </si>
  <si>
    <t>Check out the Ready New York: Beat the Heat guide for tips on how to stay healthy &amp;amp; cool &amp;amp; more! https://t.co/tr0lB4jBKY #BeatTheHeat</t>
  </si>
  <si>
    <t>With excessive heat expected in NYC through Sunday, make a special effort to check on your neighbors. #BeatTheHeat https://t.co/n6oCHBshNv</t>
  </si>
  <si>
    <t>RT @NotifyNYC: #BeatTheHeat Heat Advisory until 8AM, 8/13 &amp;amp;  Excessive Heat Watch 8AM 8/13-10PM 8/14. Cooling centers open. https://t.co/EF…</t>
  </si>
  <si>
    <t>Cooling centers will be open with extended hours Friday-Sunday. For locations, visit https://t.co/1YlBqQIwK3 or call @nyc311. #BeatTheHeat</t>
  </si>
  <si>
    <t>Mayor @BilldeBlasio urges New Yorkers to take steps to #BeatTheHeat this weekend as the heat index is expected to rise above 100 degrees.</t>
  </si>
  <si>
    <t>RT @NYC_Buildings: Owners and contractors should remove standing water from properties to stamp out mosquitoes. https://t.co/blx31hYmPX htt…</t>
  </si>
  <si>
    <t>What is the heat index? Find out the answer (&amp;amp; more terms you should know): https://t.co/BpJQHSOaPa #BeatTheHeat</t>
  </si>
  <si>
    <t>NYC cooling centers are open today. For more information, visit  https://t.co/1YlBqQIwK3 or call @nyc311. #BeatTheHeat</t>
  </si>
  <si>
    <t>RT @JoeEspoNYC: Thanks to @GreggBishopNYC for coming by today to talk about preparing small businesses for emergencies. https://t.co/cJ8rzW…</t>
  </si>
  <si>
    <t>NYC cooling centers are open today &amp;amp; Thursday. For more information, visit  https://t.co/1YlBqQIwK3 or call @nyc311. https://t.co/ZxaNFi60NG</t>
  </si>
  <si>
    <t>RT @NotifyNYC: #BeatTheHeat Heat Advisory: 2PM 8/10- 8PM 8/11. Cooling centers will be open. More info: https://t.co/EFB4wwOWWf or call 311.</t>
  </si>
  <si>
    <t>Need to make an emergency plan, but unsure where to start? There's an app for that --&amp;gt; https://t.co/XJhSBBq9IA https://t.co/AlAsZhqSwZ</t>
  </si>
  <si>
    <t>Be prepared, NYC! Stop by a Ready New York event near you: https://t.co/yIcMoY6Yxh #ReadyNewYork https://t.co/M7bKWhDwef</t>
  </si>
  <si>
    <t>Learn how to protect your property from tornadoes with help from the Ready New York: Reduce Your Risk guide --&amp;gt; https://t.co/w3sjJnkbcD</t>
  </si>
  <si>
    <t>Today,  @nycoem remembers the 2007 Brooklyn tornado. Know what to do if a tornado strikes: https://t.co/kRsyFv6JZl https://t.co/TVRrW5imv4</t>
  </si>
  <si>
    <t>#CitiSummerStreets returns this Sat 8/6 from 7am-1pm. Carfree #ParkAve full of fun FREE activities! @SummerStreets https://t.co/cNPlTpdxM7</t>
  </si>
  <si>
    <t>#FrankLoweDay fact: Frank was responsible for leading the creation of Ready New York's My Emergency Plan: https://t.co/PsypAXsziv</t>
  </si>
  <si>
    <t>#FlashbackFriday to summer 2015, when Frank Lowe shared sound advice on how to #BeatTheHeat: https://t.co/H65V4QEWeQ #FrankLoweDay</t>
  </si>
  <si>
    <t>Today, @nycoem celebrates Frank Lowe for his years of service: https://t.co/PDSR02bqOO  #FrankLoweDay https://t.co/WIIkneIXq7</t>
  </si>
  <si>
    <t>You may wait for a bus (or your laundry), but don't wait to #knowyourzone &amp;amp; make a plan: https://t.co/BdwQJVJ3HB. https://t.co/Ztvg1CzuVu</t>
  </si>
  <si>
    <t>It doesn't take a lot of time or money to be ready for an emergency. Stay informed for free; sign up for @NotifyNYC! https://t.co/YKASpIZkfP</t>
  </si>
  <si>
    <t>RT @NotifyNYC: Ground mosquito adulticide spraying in SI, BX,QN 10PM-6AM, 8-4- 8/5. https://t.co/deSCwodw4D, https://t.co/naPMtKVSKb.</t>
  </si>
  <si>
    <t>Tomorrow! Join NYC Citizen Corps for a Beat the Heat community planning session: https://t.co/lbDfetRhDk #BeatTheHeat</t>
  </si>
  <si>
    <t>Looking for a career in emergency management? @nycoem is hiring! 
-Jobs: https://t.co/GFm5WzMOfU
-Internships: https://t.co/AZAWfKQGkK</t>
  </si>
  <si>
    <t>Always ready to support our first responders. #Queens #SouthHarlem #nationalnightout #NYCCERT https://t.co/gtn3v4V9Ns</t>
  </si>
  <si>
    <t>All smiles from the greatest volunteers. #NYCCERT #nationalnightout https://t.co/dhHOf2eGYA</t>
  </si>
  <si>
    <t>So proud of NYC CERT members supporting #nationalnightout! #nyccert https://t.co/dBA9QFRv32</t>
  </si>
  <si>
    <t>RT @SouthHarlemCERT: Come by @NYPD32Pct @32PCC #NationalNightOut HAPPENING NOW! #NYCCERT @nycoem Free food, family fun and @JazzmobileNYC h…</t>
  </si>
  <si>
    <t>Special thanks to @nycHealthy, @FDNY, @NYCWater &amp;amp; @Salamancajr80 for making today's mobile office possible! https://t.co/CDWVTsSC4P</t>
  </si>
  <si>
    <t>.@nycoem's mobile office is in the #Bronx at 1070 Southern Blvd. until 2 PM! Stop by to learn how to be prepared. https://t.co/HBSOXa6HZO</t>
  </si>
  <si>
    <t>Not only does today mark the beginning of a new month, but also another chance to win a Go Bag from Ready New York! https://t.co/04ZoJmrNHv</t>
  </si>
  <si>
    <t>Wireless Emergency Alerts (also known as WEAs) are automatic texts sent to you in an emergency; no sign-up required: https://t.co/YtdDpis4Nx</t>
  </si>
  <si>
    <t>Historically, the greatest potential for hurricanes in NYC occurs from August through October. Do you #knowyourzone? https://t.co/o2vIoLlxDm</t>
  </si>
  <si>
    <t>RT @NotifyNYC: .@NWSNewYorkNY Flash Flood Warning BK, QN, MN, BX until 12:30 AM. Heavy rainfall causes highways/streetsflooding. https://t.…</t>
  </si>
  <si>
    <t>RT @nycHealthy: Pregnant/trying to conceive? Don’t risk your baby’s health. Birth defects are a real risk. https://t.co/CeTxekKLXk https://…</t>
  </si>
  <si>
    <t>You can be a Ready New Yorker in up to 13 languages! Access/request guides &amp;amp; resources --&amp;gt; https://t.co/2nT4m1DDab https://t.co/v02Y5kzhEH</t>
  </si>
  <si>
    <t>Forecast update: the Flash Flood Watch has been cancelled. For additional updates, visit https://t.co/f3GhoDwaJI.</t>
  </si>
  <si>
    <t>RT @NotifyNYC: .@NWSNewYorkNY Flash Flood Watch NYC 8 PM - Friday 7/29 afternoon. Heavy rainfall may cause flooding of roadways. https://t.…</t>
  </si>
  <si>
    <t>In addition to extreme heat, take steps to prepare for severe weather like thunderstorms &amp;amp; lightning: https://t.co/IpiRjTujw9</t>
  </si>
  <si>
    <t>NYC cooling centers are open today, &amp;amp; @NYCParks public pools &amp;amp; beaches are open, too! https://t.co/Y3OItIRidq https://t.co/bfupzBCXQM</t>
  </si>
  <si>
    <t>RT @NotifyNYC: .@nycHealthy Ground #mosquito adulticide spraying SI and QN 10PM-6AM, 7/28-7/29. https://t.co/deSCwov7td, https://t.co/RgNUO…</t>
  </si>
  <si>
    <t>Do you know your heat terms? https://t.co/XMNDnRmHwH #BeatTheHeat</t>
  </si>
  <si>
    <t>Reminder to New Yorkers looking to #BeatTheHeat: NYC cooling centers are open through Thursday. Info: https://t.co/1YlBqQIwK3 / call @nyc311</t>
  </si>
  <si>
    <t>NYC cooling centers will remain open until Thursday, July 28, for those seeking relief from the heat: https://t.co/Bf28BnIgkV #BeatTheHeat</t>
  </si>
  <si>
    <t>Pets are affected by extreme heat, too! Make sure you keep these family members safe. #BeatTheHeat https://t.co/sioJk3ZGR0</t>
  </si>
  <si>
    <t>RT @nycHealthy: The elderly and the very young are at greater risk of heat illness. How to prevent it: https://t.co/teXe1UboOO https://t.co…</t>
  </si>
  <si>
    <t>When temperatures rise, get inside! NYC cooling centers are open today. #BeatTheHeat https://t.co/Jk0WJjkoKm</t>
  </si>
  <si>
    <t>It's another hot day in NYC. Stay hydrated by drinking water (even if you do not feel thirsty). #BeatTheHeat https://t.co/c2bfRns0g8</t>
  </si>
  <si>
    <t>RT @nycHealthy: Learn what we're doing about #Zika at the next info session at @BCCcuny.
Date: 7/27/16
Time: 6:30pm - 8:30pm
FREE! https://…</t>
  </si>
  <si>
    <t>RT @NotifyNYC: Severe Thunderstorm Warning issued for NYC until 5:45 PM. For updates: https://t.co/t918yhlx8z. ASL: https://t.co/Rlbb8q1BoX.</t>
  </si>
  <si>
    <t>RT @NotifyNYC: .@NWSNewYorkNY Flash Flood Warning for QN, BK, SI until 8PM. Heavy rainfall will cause flooding of highways/streets. https:/…</t>
  </si>
  <si>
    <t>RT @NotifyNYC: Severe Thunderstorm Warning issued for MN, SI, &amp;amp; BK until 5:30 PM. For updates: https://t.co/t918yhlx8z. ASL: https://t.co/R…</t>
  </si>
  <si>
    <t>RT @NotifyNYC: Severe Thunderstorm Warning issued for SI until 5:15 PM. For updates: https://t.co/t918yhlx8z. ASL: https://t.co/Rlbb8q1BoX.</t>
  </si>
  <si>
    <t>RT @NotifyNYC: .@NWSNewYorkNY Severe Thunderstorm Warning for BX, QN, &amp;amp; BK until 5PM. For updates: https://t.co/t918yhlx8z. ASL: https://t.…</t>
  </si>
  <si>
    <t>NYC cooling centers will remain open through Tuesday as extreme heat continues to affect the city: https://t.co/clP6WW9bJD #BeatTheHeat</t>
  </si>
  <si>
    <t>Gathering emergency supplies? Add basics like food &amp;amp; water, plus items that best suit your needs: https://t.co/HjH2fUsEYg #inmyemergencykit</t>
  </si>
  <si>
    <t>RT @NotifyNYC: .@NWSNewYorkNY Severe Thunderstorm Watch issued for NYC until 8:00 PM tonight. Strong winds &amp;amp; heavy rain possible. https://t…</t>
  </si>
  <si>
    <t>RT @NotifyNYC: .@nycHealthy Aerial #mosquito larviciding SI, BK, QN, BX, 6AM-7PM 7/26-7/28. Info: https://t.co/deSCwov7td https://t.co/yxaa…</t>
  </si>
  <si>
    <t>NYC cooling centers are open today. Visit https://t.co/1YlBqQIwK3 or call @nyc311 for locations &amp;amp; hours of operation. #BeatTheHeat</t>
  </si>
  <si>
    <t>RT @NWSNewYorkNY: Correction to a previous tweet for Monday's date: it's 7/25, not 7/24 https://t.co/E4wnJBZh0P</t>
  </si>
  <si>
    <t>RT @NWSNewYorkNY: Heat Advisory in effect for Monday from 12pm-8pm for much of the Tri-state area! https://t.co/0dmuZNL6C2</t>
  </si>
  <si>
    <t>RT @NYCWater: #Beattheheat with a spray cap from @FDNY https://t.co/dyEx088sTM, and report illegally opened hydrants to @nyc311 https://t.c…</t>
  </si>
  <si>
    <t>RT @NWSNewYorkNY: Although not as hot as Saturday, temps will still be above normal today. Remember to stay hydrated! #water https://t.co/w…</t>
  </si>
  <si>
    <t>RT @NotifyNYC: Con Edison asking NE Staten Island customers to conserve energy while crews make repairs. Report outages: https://t.co/idMhR…</t>
  </si>
  <si>
    <t>As dangerously hot weather continues to affect NYC, NYC cooling centers will remain open through Monday, 7/25: https://t.co/dExdygWThl</t>
  </si>
  <si>
    <t>RT @NWSNewYorkNY: The Storm Prediction Center has placed our area in a Slight Risk of Severe Weather for late today and this evening. https…</t>
  </si>
  <si>
    <t>New Yorkers can #beattheheat by getting a spray cap from @FDNY firehouses: https://t.co/46UlpD5yXJ https://t.co/vdHWQLREc7</t>
  </si>
  <si>
    <t>Dangerously hot weather is forecast Fri &amp;amp; Sat. @nycoem &amp;amp; @nycHealthy urge New Yorkers to take steps to stay safe: https://t.co/0yuHbiiIIa</t>
  </si>
  <si>
    <t>.@nycoem's Public/Private Initiatives Team is happy to participate! https://t.co/yySdPNIhSB</t>
  </si>
  <si>
    <t>How can you be prepared for a hurricane? Make a plan! Use these tips. #knowyourzone #ReadyNewYork https://t.co/asCpozVHlD</t>
  </si>
  <si>
    <t>Hi, @AlexisKashar. Let us know who you are looking to contact so we can provide you with the right address. Thank you!</t>
  </si>
  <si>
    <t>Fact: hurricanes can &amp;amp; do affect NYC. Take the first step to be prepared &amp;amp; #knowyourzone! https://t.co/BdwQJVJ3HB https://t.co/52rmNIob73</t>
  </si>
  <si>
    <t>Psst! Your chance to win a Go Bag is right here: https://t.co/RTJMAysl18</t>
  </si>
  <si>
    <t>Even though we might embrace the warmer weather with open arms, extreme heat has its dangers. Be prepared: https://t.co/fZgdPOagOu</t>
  </si>
  <si>
    <t>Help your city by joining the #NYCCivicCorps team at @nycoem! https://t.co/2Jq5PW0osA</t>
  </si>
  <si>
    <t>Ahead of severe weather, sign up for @NotifyNYC: https://t.co/GG33dFm8JN or call @nyc311. https://t.co/cK0DbSTeLm</t>
  </si>
  <si>
    <t>Heavy rain &amp;amp; damaging winds accompanied by gusts up to 50 mph may impact NYC this afternoon &amp;amp; evening. For updates: https://t.co/f3GhoDNM8i.</t>
  </si>
  <si>
    <t>Last week, @rhookinitiative's Red Hook Local Leaders learned about getting prepared &amp;amp; involved w/ #NYCCitizenCorps. https://t.co/sdIBxzQq94</t>
  </si>
  <si>
    <t>NYC cooling centers are open today. Visit https://t.co/1YlBqQIwK3  or call @nyc311 for locations &amp;amp; hours of operation. #BeatTheHeat</t>
  </si>
  <si>
    <t>.@nycoem stands in solidarity with our partners in Baton Rouge during this tragic and difficult time. #BatonRouge</t>
  </si>
  <si>
    <t>Air Quality Health Advisory in effect through 11 PM today. https://t.co/NGNzmZtX6V</t>
  </si>
  <si>
    <t>RT @NotifyNYC: Heat Advisory Extended until 7PM, 7/16. Air Quality Health Alert until 11PM, 7/15. Cooling ctrs open. https://t.co/EFB4wwOWW…</t>
  </si>
  <si>
    <t>Be healthy &amp;amp; safe with these #beattheheat tips from @nycoem, @nychealthy &amp;amp; @nycfc: https://t.co/ooHmwMzWwB</t>
  </si>
  <si>
    <t>Extreme heat affects everyone. Make a special effort to check on your neighbors. #BeatTheHeat https://t.co/jPKlHOwOQQ</t>
  </si>
  <si>
    <t>RT @NotifyNYC: Air Quality Health Advisory from 10:00 AM to 11:00 PM. Info: https://t.co/5y9Lwzd2gQ. https://t.co/PefNUSKD4R.</t>
  </si>
  <si>
    <t>Cooling centers are open today. Visit https://t.co/1YlBqQIwK3 or call @nyc311 for locations and hours. #BeatTheHeat https://t.co/KK2x8ynUkW</t>
  </si>
  <si>
    <t>.@nycoem &amp;amp; @nycHealthy urge NYC to take precautions during hot weather tomorrow. Cooling centers open at 9 AM: https://t.co/6r2dhRXZn8</t>
  </si>
  <si>
    <t>RT @NotifyNYC: .@NWSNewYorkNY Severe Thunderstorm Warning issued for QN &amp;amp; BX until 5:15 PM. Info: https://t.co/t918yhlx8z. ASL: https://t.c…</t>
  </si>
  <si>
    <t>RT @NotifyNYC: .@NWSNewYorkNY Severe Thunderstorm Warning issued for NYC until 4:30 PM. For updates: https://t.co/t918yhlx8z. ASL: https://…</t>
  </si>
  <si>
    <t>RT @NotifyNYC: .@NWSNewYorkNY Severe Thunderstorm Watch for NYC until 7:00 PM tonight. Strong winds &amp;amp; heavy rain possible. https://t.co/t91…</t>
  </si>
  <si>
    <t>Heading to one of NYC's public beaches? Know before you go with alerts from @NotifyNYC:  https://t.co/GG33dFm8JN https://t.co/o1bl5cJitg</t>
  </si>
  <si>
    <t>In honor of #NYCCERT's summer training cycle (which kicked off this week), here's a look at volunteers' final test: https://t.co/RGuf6Md7m6</t>
  </si>
  <si>
    <t>You have the power to be prepared. Get the Ready NYC app &amp;amp; make your emergency plan today! https://t.co/XJhSBBq9IA https://t.co/0ZVkool9Vh</t>
  </si>
  <si>
    <t>RT @ConEdison: Alternating between air conditioners and fans can conserve up to 40% of #energy. More #tips https://t.co/FDJDLu6rXW https://…</t>
  </si>
  <si>
    <t>On the anniversary of the 1977 Blackout, be sure you know what to do if the power goes out: https://t.co/cvMQ7oLsR2. https://t.co/ceaMeYPQii</t>
  </si>
  <si>
    <t>Join @nycoem for @fema's webinar discussing effective communications w/ people w/ disabilities in emergencies: https://t.co/GOL0ZvKn0n</t>
  </si>
  <si>
    <t>Are you #ReadyNewYork? Prove it by entering this month's contestfor a chance to win a Go Bag: https://t.co/04ZoJmrNHv</t>
  </si>
  <si>
    <t>Support NYC in creating safer, stronger &amp;amp; better prepared communities. Get involved in the Share Your Space Survey: https://t.co/jk7p52ZxXh</t>
  </si>
  <si>
    <t>NYC Citizen Corps has released its 2015 Access and Functional Needs Symposium report. Read it online: https://t.co/Vwiv1XvIyS</t>
  </si>
  <si>
    <t>.@nycoem's NYC Citizen Corps encourages an inclusive approach to disaster planning. Learn how: https://t.co/WCQmmsFpEF</t>
  </si>
  <si>
    <t>.@nycoem staff, @JoeEspoNYC &amp;amp; CERT are proud to support @NYCDisabilities at #disabilitypride  in Union Square today. https://t.co/0gkfXmaX6Z</t>
  </si>
  <si>
    <t>Celebrate disability pride &amp;amp; preparedness 7/10 w/ @nycoem, @NYCDisabilities &amp;amp; more at NYC Disability Pride Parade! https://t.co/PCwdLsFK05</t>
  </si>
  <si>
    <t>RT @JoeEspoNYC: My thoughts and prayers are with the victims and families in Dallas today and our partners in @DallasPD and @DallasOEM.</t>
  </si>
  <si>
    <t>Need relief from the heat? NYC cooling centers are open today. Call @nyc311 or visit https://t.co/1YlBqQIwK3 for locations.</t>
  </si>
  <si>
    <t>.@nycoem is joining @NYCDisabilities &amp;amp; more for NYC's #DisabilityPrideParade! Join us --&amp;gt; https://t.co/CtmL6flnIO</t>
  </si>
  <si>
    <t>RT @NotifyNYC: Heat Advisory Extended: until 7PM, 7/8. Air Quality Health Alert 11AM-11PM, 7/8. Cooling centers open. https://t.co/EFB4wwOW…</t>
  </si>
  <si>
    <t>.@nycoem staff were joined by @fcabreraNY to help seniors #BeatTheHeat &amp;amp; learn how to be prepared! #ReadyNewYork https://t.co/KhMDe8ylY2</t>
  </si>
  <si>
    <t>.@NYCWater Water-on-the-Go fountains are available across all five boroughs. Schedules can be found at https://t.co/0x2e4piBsL.</t>
  </si>
  <si>
    <t>More than 500 cooling centers open across NYC today and Friday; call @nyc311 or visit https://t.co/1YlBqQIwK3 for locations.</t>
  </si>
  <si>
    <t>Remember: pets need relief from the heat, too! Make sure they are safe &amp;amp; hydrated. #BeatTheHeat https://t.co/ituuKyyanu</t>
  </si>
  <si>
    <t>@logainne @nycgov @NotifyNYC thank you for the heads up. The link should be working now. Stay cool &amp;amp; safe!</t>
  </si>
  <si>
    <t>We teamed up @nycfc to let New Yorkers know how to #BeatTheHeat this summer! Watch --&amp;gt; https://t.co/ooHmwMzWwB</t>
  </si>
  <si>
    <t>Fans alone aren’t enough in high heat &amp;amp; high humidity. Get inside in A/C or go to a public place like a cooling center to #BeatTheHeat.</t>
  </si>
  <si>
    <t>RT @NotifyNYC: .@NWSNewYorkNY Flash Flood Watch for NYC noon - 6:00 PM. Heavy rainfall may cause flooding of roadways &amp;amp; streets. https://t.…</t>
  </si>
  <si>
    <t>NYC cooling centers are open today for New Yorkers seeking relief from the heat: https://t.co/ZP4ngcPUOe #BeatTheHeat</t>
  </si>
  <si>
    <t>RT @NotifyNYC: #AirQuality Health Advisory for tomorrow, 7/7 11AM-11PM. Info: https://t.co/56U5UNk0We ASL: https://t.co/PefNUSKD4R</t>
  </si>
  <si>
    <t>NYC will open cooling centers today from 1 PM-8 PM, &amp;amp; beginning at 8 AM tomorrow. Visit https://t.co/1YlBqQIwK3 or call @nyc311 for info.</t>
  </si>
  <si>
    <t>With extreme heat in NYC, New Yorkers should take precautions today &amp;amp; Thursday as temperatures rise: https://t.co/jZUN3NCd8G. #beattheheat</t>
  </si>
  <si>
    <t>.@JoeEspoNYC &amp;amp; @nycHealthy's First Deputy Commissioner Barbot will hold media availability today at 1 PM @nycoem HQ.</t>
  </si>
  <si>
    <t>Together, we can #beattheheat, NYC! Watch our new PSA featuring @nychealthy &amp;amp; @nycfc: https://t.co/ooHmwMzWwB</t>
  </si>
  <si>
    <t>RT @NWSNewYorkNY: A heat advisory for NYC today! Temperatures and humidity will make it feel like 95°-99° during the afternoon hours. https…</t>
  </si>
  <si>
    <t>#AirQuality Health Advisory for today, 7/6 11AM-11PM. Info: https://t.co/F5FQ78kpPv  ASL: https://t.co/ENRDSKB8K3 @NotifyNYC</t>
  </si>
  <si>
    <t>As the summer heats up, make sure you have items like flashlights on hand in case of a power outage. #ReadyNewYork https://t.co/WAy0ocpgRE</t>
  </si>
  <si>
    <t>Shopping for summer get-togethers? Remember to add emergency meal supplies to your cart! https://t.co/cphVTQXfZm https://t.co/c3vzPedDev</t>
  </si>
  <si>
    <t>NYC Emergency Management wishes New Yorkers a safe and Happy Independence Day. https://t.co/QEaX2iXC1V</t>
  </si>
  <si>
    <t>RT @nyc311: #July4 is #IndependenceDay.  #NYCASP, parking meters, mail delivery &amp;amp; trash pickup will be suspended. Details: https://t.co/lHH…</t>
  </si>
  <si>
    <t>MT @nyc311: #July4 is Monday. All gov’t offices/DMV/courts/libraries/@NYCSchools will be closed. More info: https://t.co/54NZDord7K</t>
  </si>
  <si>
    <t>Potential for severe weather this evening. @NWSNewYorkNY issued a Tornado Watch for NYC until 10 PM. Press release: https://t.co/NZLUT9bdEB</t>
  </si>
  <si>
    <t>RT @NotifyNYC: .@NWSNewYorkNY Severe Thunderstorm Warning issued for Staten Island until 4:15 PM. https://t.co/t918yh3VJZ  ASL: https://t.c…</t>
  </si>
  <si>
    <t>RT @NotifyNYC: The NWS has issued a Tornado Watch for NYC area. Favorable conditions exist for a tornado to form.  https://t.co/t918yhlx8z</t>
  </si>
  <si>
    <t>RT @NWSNewYorkNY: The Storm Prediction Center has just placed parts of our area in a Tornado Watch valid until 10 pm. See the graphic! http…</t>
  </si>
  <si>
    <t>This July 4th weekend, leave the fireworks to the professionals. Check out safety tips from @FDNY: https://t.co/Upmw1u4P3c #FDNYSmart</t>
  </si>
  <si>
    <t>Thank you to NYC CERT 7/11 in Queens for supporting Fort Totten fireworks earlier this week! #NYCCERT https://t.co/retENwk1AW</t>
  </si>
  <si>
    <t>RT @NWSNewYorkNY: The highest risks of hazardous weather for today pertain to lightning, thunderstorm winds, and hail. https://t.co/nlqYkz4…</t>
  </si>
  <si>
    <t>It's the last day of June, but hurricane season is far from over. Be prepared. #knowyourzone https://t.co/BdwQJVJ3HB https://t.co/zOqLmVyqX5</t>
  </si>
  <si>
    <t>More than 400,000 New Yorkers get free emergency alerts from @NotifyNYC. Join them. https://t.co/E1TgtDcP36 @nyc311. https://t.co/KlpWnnqT7c</t>
  </si>
  <si>
    <t>NYC's post-disaster housing model (located at Cadman Plaza East &amp;amp; Red Cross Place) is open from 11 AM-1 PM Friday! https://t.co/DjUBIABaNv</t>
  </si>
  <si>
    <t>Ready New York helps prepare all New Yorkers (including these fuzzy friends!). Visit https://t.co/2A6Y8RgXO5 for… https://t.co/ZMBohvMo3m</t>
  </si>
  <si>
    <t>Keep cool in a @NYCParks pool! Find one open near you: https://t.co/u4nYsKC0E5</t>
  </si>
  <si>
    <t>RT @NotifyNYC: .@NWSNewYorkNY Severe Thunderstorm Warning for Staten Island until 10:15 PM. Updates: https://t.co/t918yhlx8z. ASL: https://…</t>
  </si>
  <si>
    <t>RT @NYC_Buildings: Weather Advisory to builders and property owners: NYC may experience wind gusts of up to 60mph this afternoon - secure p…</t>
  </si>
  <si>
    <t>Hurricanes aren't the only hazard that NYC can face in the summer. Find out what else you should be prepared for: https://t.co/xZNPiE50oc</t>
  </si>
  <si>
    <t>Visit https://t.co/BdwQJVJ3HB or call 311 to find out what to do to prepare for hurricanes in NYC. #knowyourzone https://t.co/0S0SKy7lth</t>
  </si>
  <si>
    <t>RT @NYCSchools: Today is the last day of school! https://t.co/KFDyqG61dV</t>
  </si>
  <si>
    <t>Two years ago this week, @nycoem welcomed @JoeEspoNYC as its new leader: https://t.co/rEzf8bAjIQ</t>
  </si>
  <si>
    <t>Summer's here... become a volunteer! Find ways you can help NYC during times of emergency: https://t.co/1i26fLrjO4 https://t.co/PKHy9FAkwp</t>
  </si>
  <si>
    <t>RT @NotifyNYC: #AirQuality Health Advisory for tomorrow, 6/26 11AM-11PM. Info: https://t.co/56U5UNk0We ASL: https://t.co/PefNUSKD4R.</t>
  </si>
  <si>
    <t>Know your zone? Show your zone with a virtual badge/request a window sticker: https://t.co/BdwQJVJ3HB. #knowyourzone https://t.co/W1VnK0ilNm</t>
  </si>
  <si>
    <t>RT @NWSNewYorkNY: Now that summer is here, we are also seeing our longest days of the year. Go out and enjoy it while you can https://t.co/…</t>
  </si>
  <si>
    <t>Poems, story books &amp;amp; comic books, oh my! Get Ready New York resources for kids of all ages: https://t.co/VbsIEh361P https://t.co/z3F9uurs3o</t>
  </si>
  <si>
    <t>When school is out for summer, kids shouldn't stop being prepared. What every child should know about emergencies: https://t.co/RAkHYTkn5v</t>
  </si>
  <si>
    <t>When school is out for summer, kids shouldn't being prepared. What every child should know about emergencies --&amp;gt; https://t.co/RAkHYTkn5v</t>
  </si>
  <si>
    <t>RT @NYCService: Serve a year in your City! Apply today to be an @americorps member in NYC. Learn more at https://t.co/sBKDwDNEmV https://t.…</t>
  </si>
  <si>
    <t>RT @nyc311: It's #mosquito season &amp;amp; @nychealthy #ZikaActionNYC.  Report standing water in private/public locations here: https://t.co/GwiqZ…</t>
  </si>
  <si>
    <t>RT @mayorsCAU: Jackson Heights: Get informed about Zika! ¡Informate sobre #Zika: https://t.co/XWppYTpGgq #ZikaActionNYC @nycHealthy https:/…</t>
  </si>
  <si>
    <t>.@nycoem's mobile office hours are under way in Washington Heights! #ZikaActionNYC https://t.co/miFSPwWIUb</t>
  </si>
  <si>
    <t>NYC CERT volunteers are also supporting #ZikaActionNYC. https://t.co/I52AYRXXtz</t>
  </si>
  <si>
    <t>RT @mayorsCAU: Sharing information about #ZikaVirus in #SunsetPark #Brooklyn with @Felixwortiz #ZikaActionNYC ! https://t.co/XOy4CtONFC</t>
  </si>
  <si>
    <t>RT @nycHealthy: Info on #Zika is available in 12 languages! Find it here→https://t.co/CeTxekKLXk or call @nyc311. #ZikaActionNYC https://t.…</t>
  </si>
  <si>
    <t>.@nycoem is supporting #ZikaActionNYC today! Visit La Plaza de las Americas in Washington Heights from 11 AM - 2 PM. https://t.co/lmPUkz5CLf</t>
  </si>
  <si>
    <t>RT @nycHealthy: #Zika causes birth defects. Pregnant women should avoid travel to Zika-affected areas. #ZikaActionNYC https://t.co/axxfKFr2…</t>
  </si>
  <si>
    <t>RT @nycHealthy: Most people don’t need to be tested for Zika. Do you? https://t.co/CeTxekKLXk #ZikaActionNYC https://t.co/xf1rfGHRGM</t>
  </si>
  <si>
    <t>RT @nycHealthy: We're reaching out to NYers to provide info on #Zika testing and mosquito prevention. Follow along → #ZikaActionNYC https:/…</t>
  </si>
  <si>
    <t>RT @nycHealthy: We're working every day to protect NYers from mosquito-borne illness. What we're doing: https://t.co/CeTxekKLXk https://t.c…</t>
  </si>
  <si>
    <t>Summer is here! Ready Girl shares how your family can stay safe &amp;amp; prepared this season: https://t.co/MJ2bEQ2V91 https://t.co/pNiHWJvZer</t>
  </si>
  <si>
    <t>Congratulations to NYC CERT's newest volunteers! Graduation ceremony photos: https://t.co/nVKG3s6SVx https://t.co/qiIiqSjEBx</t>
  </si>
  <si>
    <t>RT @NYPDauxiliary: Honored to be @nycoem CERT Graduation - ran into newly minted @NYPD113Pct Aux Offcr Gzifa who is also a CERTChief! https…</t>
  </si>
  <si>
    <t>RT @NYCImmigrants: This #WorldRefugeeDay, @NYCMayorsOffice shares the story of Hadi. #RefugeesWelcome WATCH: https://t.co/ZKC2mfxmSu https:…</t>
  </si>
  <si>
    <t>Have you checked up on your insurance lately? This hurricane season, ensure you're insured against flooding. https://t.co/8chfxk5Afg</t>
  </si>
  <si>
    <t>Summer is upon us. It's hurricane season, too. Do you #knowyourzone yet? https://t.co/BdwQJVrsj1 or call @nyc311 https://t.co/2IrefGs9Qk</t>
  </si>
  <si>
    <t>NYC Emergency Management wishes New Yorkers a safe and Happy Father’s Day.</t>
  </si>
  <si>
    <t>Your neighborhood could be hosting a free Ready New York preparedness event this month! https://t.co/0k0g6dvrnU https://t.co/YgLzi4XqJP</t>
  </si>
  <si>
    <t>Father’s Day is just around the corner. Get the dads in your life a gift of preparedness. This can get you started: https://t.co/HjH2fUsEYg</t>
  </si>
  <si>
    <t>Support your community before, during, and after an emergency. Join NYC Citizen Corps today! https://t.co/SXpWRadn3d https://t.co/NFwoeWxB73</t>
  </si>
  <si>
    <t>Thank you to all who made #NYCCitizenCorps' annual Disaster Volunteer Conference a successful event! Photos: https://t.co/z2Wez2T5Tm</t>
  </si>
  <si>
    <t>RT @NYCService: Volunteer Initiatives Director, Laura Rog moderates a community preparedness panel at Disaster Volunteer Conference https:/…</t>
  </si>
  <si>
    <t>First panel at NYC Citizen Corps' Disaster Volunteer Conference discuss creative disaster volunteer programs. https://t.co/EIgBhxGCtp</t>
  </si>
  <si>
    <t>RT @JoeEspoNYC: Excited to see &amp;amp; thank so many great  volunteers at the #NYCCitizenCorps conference tonight @ConEdison. https://t.co/u0hp0F…</t>
  </si>
  <si>
    <t>Take a photo of you &amp;amp; your pet in case you get separated during a disaster. More tips: https://t.co/EXJUUpImLG https://t.co/HgyU7Levp5</t>
  </si>
  <si>
    <t>Pets need an emergency plan, too! These small steps can go a long way: https://t.co/zBHVPLV6HC #PetPreparedness</t>
  </si>
  <si>
    <t>RT @nycHealthy: Stress after trauma is normal. There is no right or wrong way to react: https://t.co/fxLcGj0DFj #WeAreOrlando https://t.co/…</t>
  </si>
  <si>
    <t>Knowing your zone is one step to being prepared for hurricanes. #knowyourzone https://t.co/8xHuTxgK8R</t>
  </si>
  <si>
    <t>Get tips on how to be prepared for hurricane season with the Ready New York: Hurricanes and New York City guide: https://t.co/YgZgKuhg0A</t>
  </si>
  <si>
    <t>RT @NYCMayorsOffice: We are live now at the #WeAreOrlando vigil at @TheStonewallNYC. Watch with us here: https://t.co/42d0UwZ5z1</t>
  </si>
  <si>
    <t>Are you attending NYC Citizen Corps' annual Disaster Volunteer Conference? Here's why you should: https://t.co/ZJK2cTYR9w</t>
  </si>
  <si>
    <t>Ready New York helps organizations like @LESReadyNYC educate the public about preparedness. https://t.co/5NfEziC9RC</t>
  </si>
  <si>
    <t>RT @NYPDnews: Our prayers go out to those affected by the #Orlando shooting. The NYPD remains prepared to protect NYC. https://t.co/W0F05mH…</t>
  </si>
  <si>
    <t>See NYC's post-disaster housing model come to life: https://t.co/qrgLtjAuiY #FlashbackFriday</t>
  </si>
  <si>
    <t>RT @NotifyNYC: .@solarimpulse Flyover: Verrazano Bridge to Statue of Liberty to JFK Airport btw 2AM-3AM on 6/11. Aircraft photo: https://t.…</t>
  </si>
  <si>
    <t>Two years ago today, NYC debuted its first-ever post-disaster housing model. Learn more at https://t.co/WYSqyuKpeg. https://t.co/BSo2wFDOSV</t>
  </si>
  <si>
    <t>Looking for a free Ready New York event in your neighborhood? Check out the @nycgov calendar! https://t.co/E8ZtKyorjB</t>
  </si>
  <si>
    <t>No matter where you live/work in NYC, make sure you #knowyourzone: https://t.co/BdwQJVJ3HB or call @nyc311. https://t.co/hLVyAnAR8W</t>
  </si>
  <si>
    <t>Don't have a Go Bag? Enter for a chance to win one from Ready New York! Take this month's quiz: https://t.co/Xem9bw9vwn</t>
  </si>
  <si>
    <t>Parents &amp;amp; guardians: prepare your kids for emergencies with help from Ready Girl: https://t.co/1g00TPs52v https://t.co/cinUQOLig6</t>
  </si>
  <si>
    <t>Who are you going to call? During a disaster, call someone outside NYC as local lines may be busy. #ReadyNewYork https://t.co/mG5QWS5CAh</t>
  </si>
  <si>
    <t>NYC Citizen Corps' annual Disaster Volunteer Conference is just a week away! Make sure you register to attend: https://t.co/ZJK2cTYR9w</t>
  </si>
  <si>
    <t>Don't forget about Fido! This Pet Preparedness Month, learn how to get your pets ready: https://t.co/zBHVPLV6HC https://t.co/QAfZDrd4Rl</t>
  </si>
  <si>
    <t>Students from @UASEM_NYC visited @nycoem headquarters for a logistics workshop today. https://t.co/zSd6wPLKSx</t>
  </si>
  <si>
    <t>RT @JoeEspoNYC: Welcome @nycoem summer interns! We're happy to be working with such a great group over the next few months. https://t.co/Hu…</t>
  </si>
  <si>
    <t>Your family's needs change over time. Make sure you have what you need this hurricane season: https://t.co/cjH6R0QMSN #HurricanePrep</t>
  </si>
  <si>
    <t>Know what to do before a hurricane (or any disaster) strikes. Make a plan with Ready NYC: https://t.co/XJhSBBq9IA https://t.co/xPTKIINUOX</t>
  </si>
  <si>
    <t>RT @NotifyNYC: .@NWSNewYorkNY Severe Thunderstorm Warning issued for NYC until 7:15 PM. For updates: https://t.co/t918yhlx8z. ASL: https://…</t>
  </si>
  <si>
    <t>RT @NotifyNYC: .@NWSNewYorkNY Severe Thunderstorm Watch until 10PM. Dangerous lightning, strong winds &amp;amp; heavy rain possible. https://t.co/t…</t>
  </si>
  <si>
    <t>RT @NotifyNYC: NYCEM issues weather advisory for 6/5. Possible thunderstorms, hail, high wind gusts, &amp;amp; flooding. Use caution traveling.</t>
  </si>
  <si>
    <t>.@HowCitiesWork, feel free to DM us so we can discuss further. Thank you!</t>
  </si>
  <si>
    <t>Hindsight is 20/20, but don’t let that stop you from being prepared for a hurricane: https://t.co/tlZGRf3wXw #itonlytakesone</t>
  </si>
  <si>
    <t>Interested in a career in emergency management? @nycoem is hiring! Opportunities await: https://t.co/GFm5WzMOfU</t>
  </si>
  <si>
    <t>RT @NWSNewYorkNY: It is already June 2nd and there has already been two named storms. Here is the list of names for this year via NHC. http…</t>
  </si>
  <si>
    <t>NYC Citizen Corps' annual Disaster Volunteer Conference lets us say "thank you" to the disaster volunteer community: https://t.co/ZJK2cTYR9w</t>
  </si>
  <si>
    <t>NYC's Urban Search &amp;amp; Rescue Team -- New York Task Force 1 -- prepares by doing preseason checks on its assets today. https://t.co/dmRpSMeJpk</t>
  </si>
  <si>
    <t>Congrats to P.S. 90 in Queens, named 2016 Ready School of the Year for its commitment to preparedness! @NYCSchools https://t.co/jO4ZdHFzF8</t>
  </si>
  <si>
    <t>While NYC is most at risk for tropical storms &amp;amp; hurricanes Aug.-Oct., the time to be ready is now. #knowyourzone https://t.co/SSmUbe6oMa</t>
  </si>
  <si>
    <t>RT @JoeEspoNYC: Hurricane season starts today - I joined @fema #onStatenIsland to remind NYers to prepare. https://t.co/hB0pDYOSct https://…</t>
  </si>
  <si>
    <t>RT @nyc311: Deaf &amp;amp; need non-emergency NYC info? Text us at 311-692, use Video Relay Service at (212) 639-9675 or TTY/Text Telephone at (212…</t>
  </si>
  <si>
    <t>RT @fema: Hurricane season's here
1 thing we want to make clear
Storms could be plenty or none
But it only takes 1
Be sure your kit's full…</t>
  </si>
  <si>
    <t>New initiatives help New Yorkers understand coastal storm risks &amp;amp; encourage them to stay safe &amp;amp; prepared. #onStatenIsland #knowyourzone</t>
  </si>
  <si>
    <t>.@nycoem &amp;amp; @fema also unveil a high water mark sign in Midland Beach: https://t.co/YGOoHy041X. #onStatenIsland https://t.co/o3x3rN2Gd4</t>
  </si>
  <si>
    <t>Officials unveil new coastal storm evacuation route signs throughout Staten Island. New signs better adapt to NYC's coastal street grid.</t>
  </si>
  <si>
    <t>.@nycoem is #onStatenIsland to announce new safety initiatives to mark the beginning of Atlantic hurricane season. https://t.co/e0ZZZTVpuB</t>
  </si>
  <si>
    <t>Knowing your zone is important &amp;amp; easier than you think. Visit https://t.co/BdwQJVJ3HB or @nyc311. #knowyourzone https://t.co/JeNeBKVxcm</t>
  </si>
  <si>
    <t>Atlantic hurricane season starts today. Be ready &amp;amp; safe with superhero tips from Ready Girl: https://t.co/Y8gMeBjp5h #knowyourzone</t>
  </si>
  <si>
    <t>RT .@nycoem’s Jonathan talks about Hurricane Sandy at the Internat'l Emergency Response &amp;amp; Disaster Mgmt Symposium. https://t.co/w2dEYui06Y</t>
  </si>
  <si>
    <t>RT @NOAA: VIDEO: Dr. Gerry Bell discusses NOAA's 2016 #Atlantic #HurricaneSeason Outlook issued today https://t.co/1DVHp0KlgK @NWS</t>
  </si>
  <si>
    <t>RT @NOAA: Breaking: Near-normal Atlantic #HurricaneSeason is likely this year - https://t.co/a8AwD7oOis
#HurricaneOutlook https://t.co/bYLX…</t>
  </si>
  <si>
    <t>Extreme heat can affect your health. Get tips on how to prevent heat illness from @nychealthy: https://t.co/lcL3YHcLCQ</t>
  </si>
  <si>
    <t>Heat index = an estimate of how it feels when air temperature &amp;amp; humidity are combined. More terms: https://t.co/XMNDnRmHwH #HeatAwarenessDay</t>
  </si>
  <si>
    <t>Make sure you're prepared &amp;amp; take steps to beat the heat this season! https://t.co/1YlBqQIwK3 #HeatAwarenessDay https://t.co/V7oGGRa0Tq</t>
  </si>
  <si>
    <t>RT @NWSNewYorkNY: Heading to an Atlantic facing Beach today? There is a moderate rip current risk. https://t.co/R6B14qiIkL</t>
  </si>
  <si>
    <t>RT @NotifyNYC: .#AirQualityHealthAdvisory for NYC on 5/27 from 11AM to 11PM. Advisory for today remains in effect until 11PM. Info: https:/…</t>
  </si>
  <si>
    <t>RT @ConEdison: #ConEdison customers can expect lower #summer bills! https://t.co/fV9HjqT3tJ</t>
  </si>
  <si>
    <t>NYC Citizen Corps invites you to its 2016 Disaster Volunteer Conference -- Sharing Our Stories. Details: https://t.co/38ACEw83CV</t>
  </si>
  <si>
    <t>RT @JoeEspoNYC: .@nycoem's procurement team &amp;amp; @GreggBishopNYC met with local businesses at NYC's Procurement Fair this week. https://t.co/8…</t>
  </si>
  <si>
    <t>It's more than a word to spell; it's a way to be ready! #spellingbee https://t.co/LMGWuBhhBM</t>
  </si>
  <si>
    <t>RT @notifynyc: Air Quality Health Advisory for NYC on 5/26 from 11AM to 11PM. Info: https://t.co/F5FQ78kpPv</t>
  </si>
  <si>
    <t>Today is going to be the warmest day of the year (so far). Be cool and take time to review your emergency plan: https://t.co/acpynoxUcF</t>
  </si>
  <si>
    <t>Training, drills &amp;amp; exercises improve NYC's capability to respond to emergencies. Explore @nycoem's digital archive: https://t.co/eqehBxgckM</t>
  </si>
  <si>
    <t>RT @NotifyNYC: #AirQualityAdvisory on 5/25/2016 from 11AM until 11PMt. Info: https://t.co/56U5UNk0We ASL: https://t.co/ofvFOV1s5w</t>
  </si>
  <si>
    <t>MT @CDCemergency: Emergency Operations Centers can be big or small, complex or simple, in rural or urban settings: https://t.co/OhWuOLdlBy</t>
  </si>
  <si>
    <t>Enter for a chance to win a Go Bag from #ReadyNewYork! Take this month's quiz: https://t.co/Xem9bw9vwn</t>
  </si>
  <si>
    <t>Atlantic hurricane season starts next week! Be prepared &amp;amp; #knowyourzone: https://t.co/BdwQJVJ3HB https://t.co/RRTXrbaKvT</t>
  </si>
  <si>
    <t>Being prepared means having a well-planned escape: https://t.co/zYif7gY7tf</t>
  </si>
  <si>
    <t>Don't go through an emergency alone. Create a support network so you can help each other during emergencies. https://t.co/mx2oBYVxEJ</t>
  </si>
  <si>
    <t>Ready Girl wants you to develop a plan in the event of a hurricane: https://t.co/Y8gMeBjp5h #knowyourzone https://t.co/Xo0CMwdRLh</t>
  </si>
  <si>
    <t>Create &amp;amp; share your plan with Ready NYC (available for iOS &amp;amp; Android): https://t.co/XJhSBBq9IA #HurricanePrep https://t.co/lpqGB0UPR1</t>
  </si>
  <si>
    <t>The time to make a plan is now. Don't wait. #HurricanePrep https://t.co/WnrXLFtWdU</t>
  </si>
  <si>
    <t>RT @JoeEspoNYC: Thanks @ResortsWorldNYC for partnering to help Qns communities recover after a hurricane - https://t.co/mXRtc30pkK https://…</t>
  </si>
  <si>
    <t>Ready Girl &amp;amp; @Marvel's  The Avengers star in a new comic book to prepare New Yorkers: https://t.co/Vxs7o56FNG https://t.co/pmWwlxNXIf</t>
  </si>
  <si>
    <t>Find out how @nycoem's new partnership with @ResortsWorldNYC will help NYC after a hurricane &amp;amp; other emergencies: https://t.co/KvROdjmNon</t>
  </si>
  <si>
    <t>.@NOAA's @NHC_Atlantic is your official source for Atlantic hurricane information: https://t.co/B5HdWR7Rrw. #HurricanePrep</t>
  </si>
  <si>
    <t>Before a hurricane, sign up for @NotifyNYC, NYC's official emergency communications program. #HurricanePrep https://t.co/zqyY93NyIL</t>
  </si>
  <si>
    <t>.@nycoem works with partners to provide a unified, accurate &amp;amp; timely message to the public: https://t.co/W5yiQ0yBXO #HurricanePrep</t>
  </si>
  <si>
    <t>A key step to being prepared is staying informed. Only use trusted sources for the latest hurricane information. #HurricanePrep</t>
  </si>
  <si>
    <t>Tip: before a storm, move valuable items from basements to upper floors. (Basements are vulnerable to flooding.) #HurricanePrep</t>
  </si>
  <si>
    <t>Bring inside loose, lightweight objects &amp;amp; anchor objects that will be unsafe to bring inside, like gas grills/propane tanks. #HurricanePrep</t>
  </si>
  <si>
    <t>Hurricanes can also affect your property. Take steps to reduce your risk: https://t.co/w3sjJnkbcD #HurricanePrep https://t.co/wHrpouMXts</t>
  </si>
  <si>
    <t>Students are going home with their own autographed copy of the new @marvel comic book! #hurricaneprep https://t.co/HEGHCRkorh</t>
  </si>
  <si>
    <t>Ready Girl tell students about a new comic book with @marvel's The Avengers: https://t.co/G28YefkHxc https://t.co/nvz332P15l</t>
  </si>
  <si>
    <t>Ready Girl shows students the 6 hurricane evacuation zones in NYC. #knowyourzone #hurricaneprep https://t.co/ilszPF0ePN</t>
  </si>
  <si>
    <t>Ready Girl is meeting with students at PS 39 in Brooklyn to teach them about hurricanes. #HurricanePrep https://t.co/6cnT40hDh2</t>
  </si>
  <si>
    <t>RT @NWSNewYorkNY: If a hurricane strikes, you’re going to need supplies, not just to get through the storm but after as well. https://t.co/…</t>
  </si>
  <si>
    <t>Emergency supplies should meet your family members' needs, including kids, pets, seniors &amp;amp; those with disabilities: https://t.co/tZRwSSSPLW</t>
  </si>
  <si>
    <t>Make sure that you have enough additional supplies for potential service outages. #HurricanePrep https://t.co/osNiviraYM</t>
  </si>
  <si>
    <t>You may need to shelter in place during &amp;amp; after a hurricane. Keep enough supplies for up to 7 days: https://t.co/cqqaUvcBPZ #HurricanePrep</t>
  </si>
  <si>
    <t>Before a hurricane, make sure you gather the right supplies: https://t.co/tZRwSSSPLW #HurricanePrep https://t.co/Fu1NAeRvhw</t>
  </si>
  <si>
    <t>FEMA's flood zones are NOT hurricane evacuation zones: they are used to set flood insurance rates &amp;amp; building regulations. #HurricanePrep</t>
  </si>
  <si>
    <t>MT @NWSNewYorkNY: Are you insured for a hurricane? Find coverage at https://t.co/Bckjn5P3fu #HurricanePrep https://t.co/YJ5chVvZMq</t>
  </si>
  <si>
    <t>Hurricane season starts June 1. Do you have the right insurance protecting your property? #HurricanePrep https://t.co/5EXReBcYp6</t>
  </si>
  <si>
    <t>The City will communicate specific instructions about which areas should evacuate, including through @NotifyNYC: https://t.co/ZkVJjhxO3U</t>
  </si>
  <si>
    <t>Tip: if the City issues an evacuation order for your area, do so as directed. More info: https://t.co/5cPOkNyVie #HurricanePrep</t>
  </si>
  <si>
    <t>Know where to *before* a hurricane strikes. Have an evacuation plan: https://t.co/5cPOkNyVie #HurricanePrep</t>
  </si>
  <si>
    <t>NYC has 6 hurricane evacuation zones. Which zone do you live in? Visit https://t.co/BdwQJVJ3HB to find out! #knowyouzone</t>
  </si>
  <si>
    <t>Find out if you live in a hurricane evacuation zone. Visit https://t.co/BdwQJVJ3HB or call 311. #HurricanePrep https://t.co/GFdTjdjtR4</t>
  </si>
  <si>
    <t>It's not just a sign, it's a message! Get your emergency plan in place. https://t.co/z5BwLmFjMA https://t.co/yVyac7yLDD</t>
  </si>
  <si>
    <t>RT @NWSNewYorkNY: Hurricane Preparedness Week is your time to prepare for a hurricane. 
https://t.co/INDZ0sisfw #HurricanePrep https://t.co…</t>
  </si>
  <si>
    <t>RT @NotifyNYC: .@NYPDNews DRILL: 5/15 6AM-11AM Kingsborough Community College, Manhattan Beach, BK. Expect emergency personnel (including a…</t>
  </si>
  <si>
    <t>.@nycoem is helping people prepare for emergencies at the #AFAConceptsNY w/ @alzfdn at the midtown Hilton until 3 PM https://t.co/d349s4Ck5j</t>
  </si>
  <si>
    <t>There is nothing like rolling into spring with some safety tips from Ready Girl! 
https://t.co/79TYpXjKz2 https://t.co/JhMF2r7c6P</t>
  </si>
  <si>
    <t>Take time to enroll in .@NotifyNYC  for emergency information events happening in NYC! https://t.co/eycjbFKKBu https://t.co/LAwjjdLRBl</t>
  </si>
  <si>
    <t>Fun Fact: Over four years, the #SolomonFellowship has had 30 fellows that have worked with 13 different agencies, for over 14,000 hrs.</t>
  </si>
  <si>
    <t>"Just two simple words for everyone in this room: thank you." - Jim Solomon
#SolomonFellowship</t>
  </si>
  <si>
    <t>Shannon MacColl .@NYPDauxiliary fellow is set out to leave the city better than when she found it #SolomonFellowship https://t.co/bRCbQ9Ua4a</t>
  </si>
  <si>
    <t>"I have no doubt that the future looks bright" - Uikki O'Bryant from .@redcrossny just said that about the fellowship program.</t>
  </si>
  <si>
    <t>Congratulations Gianna, on your graduating from the John D. Solomon Fellowship! https://t.co/saviNwZydm</t>
  </si>
  <si>
    <t>Commissioner @JoeEspoNYC welcomes guests and thanks the fellows for their hard work. #SolomonFellowship https://t.co/BrBLM9MN9U</t>
  </si>
  <si>
    <t>A group photo of .@nycoem Commissioner @JoeEspoNYC with the 2015-2016 fellows. #SolomonFellowship https://t.co/ujEJD9f0Pq</t>
  </si>
  <si>
    <t>Today at .@BarnardCollege we celebrate our 2015-2016 John D. Solomon Fellows. #Solomonfellowship #Graduation</t>
  </si>
  <si>
    <t>RT @nycgov: No matter what language you speak or where you live, #nycdigital is for you. https://t.co/eZVa1H0eSt https://t.co/XzC722yuHz</t>
  </si>
  <si>
    <t>Remind mom that you have a plan in place in the event of an emergency. Happy Mother's Day! https://t.co/0Dya63IjpW https://t.co/fCZvQls5Ek</t>
  </si>
  <si>
    <t>RT @NotifyNYC: .@NWSNewYorkNY Coastal Flood Advisory BK, SI &amp;amp; Southern QN: 5/7, 8PM-1AM, 5/8. Tides 1 ft above normal expected. https://t.c…</t>
  </si>
  <si>
    <t>Recently over 70 school administrators participated in .@nycoem 's planning workshop. https://t.co/Mbj284CS0k https://t.co/2Z0ZtE6SPX</t>
  </si>
  <si>
    <t>RT @NotifyNYC: .@NWSNewYorkNY Coastal Flood Warning for BK, S QN: 5/6, 7-11PM. Tides 1-1.5 ft above normal expected. https://t.co/t918yhlx8…</t>
  </si>
  <si>
    <t>RT @NotifyNYC: .@ConEdison is responding to a power outage in QN, ZIPs 11378 &amp;amp; 11379.  Report service loss: 1-800-75-CONED. https://t.co/Ep…</t>
  </si>
  <si>
    <t>If you own a home or business, have a plan in place. Happy Cinco de Mayo! https://t.co/Zb11TfSxvU https://t.co/h3Ha9Wz2gC</t>
  </si>
  <si>
    <t>RT .@nycoem's Ops staff joined two dozen metro-area agencies for a communications drill in Suffolk County today. https://t.co/m70h3c2byk</t>
  </si>
  <si>
    <t>When you have an emergency plan in place, you hold the power. May the fourth be with you! https://t.co/0Dya63IjpW https://t.co/VWTXMNvxGn</t>
  </si>
  <si>
    <t>Be the Jedi your family &amp;amp; friends look to in the event of an emergency. May the 4th be with! https://t.co/Il8Y3gmrzZ https://t.co/FBVFXb8853</t>
  </si>
  <si>
    <t>Even seniors should have two people in their network. Don't go through an emergency alone. https://t.co/fmIHYW58Ug https://t.co/tLueELi0vK</t>
  </si>
  <si>
    <t>RT @JoeEspoNYC: .@NotifyNYC is now reaching more New Yorkers with a new feature offering emergency messages in 13 languages &amp;amp; ASL: https://…</t>
  </si>
  <si>
    <t>Over the weekend, @nycoem and CERT members participated in a World Tai Chi Day event. https://t.co/kx3bKHR9Nz</t>
  </si>
  <si>
    <t>Get tips on how to protect your property against severe weather: https://t.co/w3sjJnkbcD https://t.co/P77VFryHvN</t>
  </si>
  <si>
    <t>RT @NYClimate: #DYK property owners NOT in a flood zone could be at risk too? Understand your flood risk and visit https://t.co/NpD51UKrNW…</t>
  </si>
  <si>
    <t>RT @NYCMayorsOffice: We're investing now in coastal flood protection system to keep NYC safe for years to come. #NYCBudget #OneNYC https://…</t>
  </si>
  <si>
    <t>High winds are commonly associated with severe thunderstorms, hurricanes, nor'easters, &amp;amp; differences in air pressures. #SevereWxFacts</t>
  </si>
  <si>
    <t>RT @NWSNewYorkNY: Did you know that it only takes 6" of moving water to knock over and carry away an adult? https://t.co/YUmLH5kYsX</t>
  </si>
  <si>
    <t>Per @NOAA's storm events database (https://t.co/RSPw6tQHFs), 13 tornado events have occurred in NYC since 1950. The most recent was in 2012.</t>
  </si>
  <si>
    <t>It's true: tornadoes can happen (&amp;amp; have!) in NYC. Find out what to do prepare: https://t.co/kRsyFv6JZl #SevereWx https://t.co/tdj2qChPRI</t>
  </si>
  <si>
    <t>Happy #NationalSuperheroDay to NYC's 1st responders, &amp;amp; Ready Girl, who teaches NYC kids how to prepare for disaster! https://t.co/e6TBQ3qvtv</t>
  </si>
  <si>
    <t>Stop by the Amtrak Rotunda from 10 AM - 2 PM today learn about how to be prepared for emergencies! https://t.co/6XGao6pyb4 @PrepareAthon</t>
  </si>
  <si>
    <t>RT @NWSNewYorkNY: We will host our first Q&amp;amp;A tomorrow, Thurs, April 28 @ 11AM. Send us your weather related questions using #askNWSNY. http…</t>
  </si>
  <si>
    <t>Make sure your emergency plan is ready before severe weather strikes. Get prepared: https://t.co/0Dya63IjpW https://t.co/C93DQ6jsfG</t>
  </si>
  <si>
    <t>Whether it's flash or coastal flooding, every community is subject to floods. Get prepared: https://t.co/bDmNecpSXg https://t.co/ifqpV0kiks</t>
  </si>
  <si>
    <t>Get ready, New York. @nycoem is participating in @PrepareAthon and Ready Girl hopes you can join us: https://t.co/ESTKHzzJl8</t>
  </si>
  <si>
    <t>RT @NWSNewYorkNY: Isolated severe t-storms possible this afternoon, primarily NYC south &amp;amp; west. Be sure to watch the latest forecasts! http…</t>
  </si>
  <si>
    <t>RT @NWSNewYorkNY: Today's Severe Weather Awareness Week topic is severe thunderstorms. Do you know what makes a thunderstorm severe? https:…</t>
  </si>
  <si>
    <t>.@nycoem's NYC Severe Weather website informs New Yorkers when severe weather emergencies are affecting NYC: https://t.co/kLUimeSGuN</t>
  </si>
  <si>
    <t>Don't be caught off-guard by severe weather. Stay informed by signing up for @NotifyNYC: https://t.co/GG33dFm8JN https://t.co/ZSauz85QPK</t>
  </si>
  <si>
    <t>RT @NWSNewYorkNY: Severe Weather Awareness Week continues. Today's topic is: Severe Weather Impacts &amp;amp; Definitions.  Be prepared! https://t.…</t>
  </si>
  <si>
    <t>RT @NWSNewYorkNY: Since this is Severe Weather Awareness Week, here's an educational post about how hail forms differently from sleet. http…</t>
  </si>
  <si>
    <t>RT @NWSNewYorkNY: This week is Severe Weather Awareness Week! The goal of this campaign is to further educate the public in severe wx. http…</t>
  </si>
  <si>
    <t>RT @JoeEspoNYC: As #Passover begins tonight, best wishes for a happy, safe holiday to all who celebrate.</t>
  </si>
  <si>
    <t>Fact: All NYC CERT members have trained for 10 weeks learning response skills for disasters. https://t.co/fmbKUf9gGO https://t.co/fg78nzH3pP</t>
  </si>
  <si>
    <t>Plant a tree in NYC to help reduce flooding. https://t.co/R1oVTOUiyo #EarthDay @MillionTreesNYC @NYCParks @NYCWater https://t.co/X0JHhuOTVc</t>
  </si>
  <si>
    <t>“We Are New York: The Storm” teaches English-language learners about emergency preparedness: https://t.co/TidsJhoyN9 #IHW2016 @nycimmigrants</t>
  </si>
  <si>
    <t>RT @NYCMayorsFund: Are you looking to support the victims of #TerremotoEcuador or #JapaneseEarthquake? Here's how you can help: https://t.c…</t>
  </si>
  <si>
    <t>From the archives: Urban Search &amp;amp; Rescue's canine training &amp;amp; certification exercise: https://t.co/TUAkrtc2Oc #tbt https://t.co/oXHGEChwn2</t>
  </si>
  <si>
    <t>RT @JoeEspoNYC: .@nycoem's Fayola is talking about the importance of after action reports at this year's public health @prepsummit. https:/…</t>
  </si>
  <si>
    <t>.@nycoem staff &amp;amp; #NYCCERT volunteers are participating in a multi-agency exercise at Fort Hamilton. https://t.co/uCtgdQQuBo</t>
  </si>
  <si>
    <t>Setting up meeting places for you &amp;amp; your loved ones to find each other is an important part of your emergency plan. https://t.co/s7uYyKmEtB</t>
  </si>
  <si>
    <t>What does @NYCSchools have to do with emergency management? A lot, as this fellow learned: https://t.co/ByUI1otWU2 #SolomonFellowship</t>
  </si>
  <si>
    <t>RT @JoeEspoNYC: .@nycoem's Youth Council volunteers came to visit today to learn more about how we prepare for emergencies in NYC. https://…</t>
  </si>
  <si>
    <t>Before you head to the polls, get your emergency plan in place. https://t.co/cWMynHopDc</t>
  </si>
  <si>
    <t>RT @NotifyNYC: Due to a fire in New Jersey, residents of New York City may see or smell smoke.</t>
  </si>
  <si>
    <t>Be ready in any language with Ready New York presentations &amp;amp; resources: https://t.co/oCGr7Kj7oX #IHW2016</t>
  </si>
  <si>
    <t>RT @NotifyNYC: .@NWSNewYorkNY Red Flag Warning: 4/19, 12PM-8PM due to dry conditions/strong winds which increase brush fire risk.</t>
  </si>
  <si>
    <t>Happy Immigrant Heritage Week! Check out @NYCImmigrants website for a list of special events: https://t.co/o2GNeCnCmR #IHW2016</t>
  </si>
  <si>
    <t>RT @nycHealthy: Mosquitoes breed in standing water. By removing and reporting standing water, we can prevent mosquito-borne viruses.
https:…</t>
  </si>
  <si>
    <t>Our thoughts are with those affected by #EcuadorEarthquake. You can help survivors of this disaster: https://t.co/HYDOWzki6s (via @UNOCHA)</t>
  </si>
  <si>
    <t>Are your finances ready for a disaster? Prepare this #TaxDay. https://t.co/ZOAbzpkumr</t>
  </si>
  <si>
    <t>Volunteering is finding ways to help others (CPR included!). #NVW2016 https://t.co/pbyupcP7HC</t>
  </si>
  <si>
    <t>RT @JoeEspoNYC: Enjoyed meeting @BOENYC Executive Director Mike Ryan to discuss how our agencies can work more closely together. https://t.…</t>
  </si>
  <si>
    <t>Getting yourself prepared is a snap/ All you need to do / Download the Ready NYC app: https://t.co/XJhSBBq9IA #PoetweetNYC</t>
  </si>
  <si>
    <t>#NYCMPD2016 is this Saturday, April 16. For help finding a loved one, call 212-323-1201 to schedule an appointment. https://t.co/gnzn244PBQ</t>
  </si>
  <si>
    <t>Get info on preparedness initiatives, resources &amp;amp; local events through NYC Citizen Corps’ Communications Network: https://t.co/gSxXsYtal2</t>
  </si>
  <si>
    <t>When disaster strikes, it takes a city of volunteers to help: https://t.co/VC8HiWYLW9 #tbt #NVW2016</t>
  </si>
  <si>
    <t>@nycoem Asst. Commissioner Herman Schaffer discusses the importance of volunteering at @redcrossny. #DRIYoungLeaders https://t.co/icEzWakAxn</t>
  </si>
  <si>
    <t>NYC is hosting an event to connect loved ones of missing persons to help &amp;amp; resources: https://t.co/8TDgcSYFDF https://t.co/UUvxJA57dO</t>
  </si>
  <si>
    <t>This #NVW2016, register your space to support emergency operations or be used for community outreach events: https://t.co/mvyoeXRfXV</t>
  </si>
  <si>
    <t>RT @NWS: BEGINNING ON MAY 11, @NOAA’S NATIONAL WEATHER SERVICE FORECASTS WILL STOP YELLING AT YOU. https://t.co/4YjdvUdWxj https://t.co/SAg…</t>
  </si>
  <si>
    <t>You can promote disaster preparedness in your community through NYC Citizen Corps: https://t.co/SXpWRadn3d. #NVW2016 https://t.co/j0bu5JHf8W</t>
  </si>
  <si>
    <t>RT @NYPDMTN: PO Doran giving out water to residents of W58 Street.  Thanks to our partners @NYCOEM https://t.co/iNYrj1jxlE</t>
  </si>
  <si>
    <t>.@JoeEspoNYC gives Partners in Preparedness awards to @DisasterMusical stars &amp;amp; taught students how to pack Go Bags! https://t.co/Sqr8SX4Akv</t>
  </si>
  <si>
    <t>Stars from @DisasterMusical at @nycoem HQ to present the PSA to high school students &amp;amp; teach them how to be ready. https://t.co/Oaq7LQ1Bw6</t>
  </si>
  <si>
    <t>.@nycoem &amp;amp; @DisasterMusical teamed up for a public service announcement to #preparefordisaster! https://t.co/HhjPbf9Bpc</t>
  </si>
  <si>
    <t>Did you know? NYC CERTs help prepare communities for different types of disasters &amp;amp; support 1st responders. #NVW2016 https://t.co/3sOoQeVemF</t>
  </si>
  <si>
    <t>.@nycoem participating in social media for emergency preparedness &amp;amp; crisis response panel. #CL2G #digitaldiplomacy https://t.co/HkIf0pAI1X</t>
  </si>
  <si>
    <t>RT @globalnyc: Follow #CL2G and #DigitalDiplomacy for 2nite's convo: #SocialMedia 4 Emergency Prep &amp;amp; Crisis Response feat.@NYPDnews @NYCMay…</t>
  </si>
  <si>
    <t>RT @DisasterMusical: We're excited to announce a new partnership w. @DisasterMusical &amp;amp; @nycoem to help New Yorkers #PrepareForDisaster! htt…</t>
  </si>
  <si>
    <t>In honor of #NationalPetDay, make an emergency plan for these special family members! https://t.co/zBHVPLV6HC https://t.co/M7LQEjaZ7E</t>
  </si>
  <si>
    <t>Consider affiliating with the City or a disaster volunteer organization ahead of an emergency so you can help when help is needed. #NVW2016</t>
  </si>
  <si>
    <t>Happy National Volunteer Week! Celebrate service by getting involved: https://t.co/1i26fLrjO4 https://t.co/7W1dl9h5BV</t>
  </si>
  <si>
    <t>Learn how to prepare your pets for emergencies at #Adoptapalooza! https://t.co/dve77YcQSA @ASPCA @MayorsAlliance https://t.co/A0YzlwZm6K</t>
  </si>
  <si>
    <t>RT @MayorsAlliance: Learn to prepare yourself &amp;amp; pets for emergencies from @nycoem Sun 4/10 #Adoptapalooza #UnionSquare #NYC https://t.co/n4…</t>
  </si>
  <si>
    <t>In honor of @Mets #OpeningDay at CitiField, here's a look at @MrMet being a Ready New Yorker! https://t.co/ExM9mrscqL</t>
  </si>
  <si>
    <t>Check out the new website for New York City's first-ever post-disaster housing model! https://t.co/fC9ooC2xrd https://t.co/B6C3wFo7Z6</t>
  </si>
  <si>
    <t>Learn how to prepare for health emergencies from @nychealthy: https://t.co/Wg0KhOhvqX #WorldHealthDay</t>
  </si>
  <si>
    <t>On #WorldHealthDay, learn how the City plans for the evacuation of healthcare facilities ahead of a coastal storm: https://t.co/T7qMgxQGhI</t>
  </si>
  <si>
    <t>Tip: keep copies of prescriptions &amp;amp; medical information in case you need refills following an emergency. #NPHW</t>
  </si>
  <si>
    <t>This #NPHW, use the Ready NYC app to store health &amp;amp; life-saving information you might need in a disaster. https://t.co/HqcxHTTJTH</t>
  </si>
  <si>
    <t>RT @femaregion2: April is #FinancialLiteracy month! Follow @PrepareAthon on #Periscope 4/6 at 2 PM ET to learn how to financially prepare f…</t>
  </si>
  <si>
    <t>RT @NYCService: "There's no greater reward in life than helping &amp;amp; serving others" - @nycoem Commissioner @JoeEspoNYC #Mayor4Service https:/…</t>
  </si>
  <si>
    <t>Think you're an expert emergency planner? Test your skills with the NYC Readiness Challenge! https://t.co/N6qKhy3Nv7 https://t.co/jS7llFf7ca</t>
  </si>
  <si>
    <t>An inside look at Solomon Fellow Lindsay Lovel's role at NYC's Office of Digital Strategy: https://t.co/7QayYyqWgN https://t.co/DB7l6Ijvch</t>
  </si>
  <si>
    <t>RT @NYCService: April is #NationalVolunteerMonth! @NYCService is excited to recognize and celebrate our City's volunteers! https://t.co/cD2…</t>
  </si>
  <si>
    <t>RT @PublicHealth: It’s National Public Health Week! Join us as we work to create the healthiest nation! https://t.co/PhOOySuRQm #NPHW https…</t>
  </si>
  <si>
    <t>When an emergency strikes, what's your plan? Find out how you can be a Ready New Yorker: https://t.co/VEwK1yNtC6</t>
  </si>
  <si>
    <t>.@nycoem will be on hand at @CMMathieuEugene's community resource fair on 4/9 to talk about emergency preparedness! https://t.co/Q18ytGrfmw</t>
  </si>
  <si>
    <t>RT @NYCDCA: Tax Day (April 18) is fast approaching! If you earn $62k or less, use #FreeTaxPrep to file taxes before deadline https://t.co/O…</t>
  </si>
  <si>
    <t>RT @NotifyNYC: @ConEdison responding to power outage in SI ZIP 10301. Report service loss: 1-800-752-6633. ASL: https://t.co/EFp4Nxo9Mz.</t>
  </si>
  <si>
    <t>RT @NotifyNYC: For latest information on the derailment of Amtrak Train 89, call Hotline phone number 1-800-523-9101.</t>
  </si>
  <si>
    <t>RT @NotifyNYC: d/t tree on @MTA infrastructure, no 4 train in b/d btwn Burnside Ave/Woodlawn.  Use shuttle bus provided. Info: https://t.co…</t>
  </si>
  <si>
    <t>RT @NotifyNYC: d/t @AmtrakNEC Train 89 derailment, the NE Corridor service btwn NY and Philadelphia suspended. Updates: https://t.co/pm23a2…</t>
  </si>
  <si>
    <t>RT @NotifyNYC: d/t building collapse @ 4th Ave/14th St (BK), expect emergency personnel and vehicular/pedestrian street closures. Use cauti…</t>
  </si>
  <si>
    <t>Are you prepared for an emergency? If so, @nycoem challenges you to take the Ready New York quiz: https://t.co/04ZoJmrNHv</t>
  </si>
  <si>
    <t>RT @NotifyNYC: NWS issues High Wind Watch citywide from 12:00am-12:00pm 4/3. #bikenyc 25-40MPH winds, gusts up to 60MPH expected https://t.…</t>
  </si>
  <si>
    <t>Interested in working in emergency management? @nycoem is hiring! 
https://t.co/GFm5WzMOfU #NYCEM20Years</t>
  </si>
  <si>
    <t>Learn more about NYC Emergency Management's progress, accomplishments &amp;amp; completed projects: https://t.co/ssGQPKb5ub. #NYCEM20Years</t>
  </si>
  <si>
    <t>RT @PortAuthOEM: Congratulations to our friends at @nycoem, celebrating 20 years of service to New York City! #NYCEM20Years</t>
  </si>
  <si>
    <t>NYC Emergency Management operates under the Citywide Incident Management System. Learn more: https://t.co/3tshEz3pcb #NYCEM20Years</t>
  </si>
  <si>
    <t>With @nycoem celebrating is 20th anniversary, take a look back at its history as an agency: https://t.co/Jywc4ev3zI #NYCEM20Years</t>
  </si>
  <si>
    <t>No April Fool's joke here: NYC Emergency Management turns 20 today! https://t.co/z5BwLmFjMA #NYCEM20Years https://t.co/96bzgx0RHj</t>
  </si>
  <si>
    <t>RT @NYCSanitation: 1st SAFE Disposal event is Sun. @prospect_park 10a-4p. Get rid of harmful household products https://t.co/WhSdGCY61X</t>
  </si>
  <si>
    <t>Tip: take time to make copies of all of your important documents &amp;amp; save them 
in a waterproof, fireproof container. https://t.co/huHmBp4f8W</t>
  </si>
  <si>
    <t>Last chance to submit your application for the City's first graduate student fellowship in emergency management! https://t.co/TFfxeuCUZQ</t>
  </si>
  <si>
    <t>RT @PrepareAthon: Be sure to tune in next week on 4/6 at 2 PM ET for our first #Periscope on financial preparedness. #SafetyFacts</t>
  </si>
  <si>
    <t>Thank you @PrepareAthon for hosting today's #SafetyFacts Twitter chat! For more tips on how to be ready, visit https://t.co/oCGr7Kj7oX.</t>
  </si>
  <si>
    <t>RT @PrepareAthon: Thank you for everyone who joined today’s Twitter chat. #SafetyFacts</t>
  </si>
  <si>
    <t>FACT: NYC's outer-borough grasslands face an increased risk of brush fires when vegetation is dry. https://t.co/0d5s6xqlaM #SafetyFacts</t>
  </si>
  <si>
    <t>FACT: Fans work best at night (bringing in cooler air from outside). Know how to #BeatTheHeat in NYC: https://t.co/1YlBqQIwK3 #SafetyFacts</t>
  </si>
  <si>
    <t>FACT: If the City issues an evacuation order for your area during a hurricane, do so as directed. https://t.co/BdwQJVJ3HB #SafetyFacts</t>
  </si>
  <si>
    <t>FACT: New Yorkers need to be prepared for a hurricane. #KnowYourZone and know to do. https://t.co/BdwQJVJ3HB #SafetyFacts</t>
  </si>
  <si>
    <t>RT @ShakeOut: FACT: #DropCoverHoldOn! Avoid projectiles and protect your vital organs: https://t.co/jTTN4FuR1U #SafetyFacts https://t.co/rZ…</t>
  </si>
  <si>
    <t>FACT: To stay safe during an earthquake: drop, cover &amp;amp; hold on. More from @ShakeOut: https://t.co/Bf6e316sUY</t>
  </si>
  <si>
    <t>Know what to do before, during &amp;amp; after a flood. Get the facts --&amp;gt; https://t.co/bDudKje6Ai. #SafetyFacts</t>
  </si>
  <si>
    <t>FACT: When outside, avoid walking &amp;amp; driving through flooded areas. As few as 6 inches of moving water can knock a person over. #SafetyFacts</t>
  </si>
  <si>
    <t>FACT: More tips on how to be prepared for a tornado (they have occurred in NYC): https://t.co/cQ5qxbTFEY #SafetyFacts</t>
  </si>
  <si>
    <t>FACT: Go to your basement or the lowest point of your residence if a tornado occurs. Don't get your tornado facts twisted! #SafetyFacts</t>
  </si>
  <si>
    <t>A4 FACT: Having supplies is a great way to be prepared, but that's just 1 step! Know who to call, where to meet &amp;amp; what to pack. #SafetyFacts</t>
  </si>
  <si>
    <t>A3 FACT:Join your local Community Emergency Response Team to support first responders in a disaster. https://t.co/B74xbq9m1k. #SafetyFacts</t>
  </si>
  <si>
    <t>A3 FACT: Emergencies affect everyone; we all need to know what to do when disaster strikes -- not just 1st responders! #SafetyFacts</t>
  </si>
  <si>
    <t>A2: Homeowners insurance DOES NOT cover all impacts from a disaster. Review your policies so you know what is covered. #SafetyFacts</t>
  </si>
  <si>
    <t>In fact, all of @nycoem's emergency preparedness materials (like #ReadyNewYork) are FREE! (2/2)</t>
  </si>
  <si>
    <t>.@PrepareAthon points out an all-too-common myth about preparedness. The truth: being ready doesn't cost a lot of time or money! (1/2)</t>
  </si>
  <si>
    <t>Join @nycoem now for the #SafetyFacts Twitter chat! Come join the conversation to learn more about preparedness facts (&amp;amp; myths).</t>
  </si>
  <si>
    <t>Learn the facts (vs. fiction) about preparedness! Follow the #SafetyFacts Twitter chat on today at 2 PM ET hosted by @PrepareAthon.</t>
  </si>
  <si>
    <t>RT @JoeEspoNYC: Thanks for coming to @nycoem - we enjoyed the meeting and look forward to working with you! https://t.co/4TnZkQfEil</t>
  </si>
  <si>
    <t>Tomorrow! Join @PrepareAthon,  @nycoem, &amp;amp; more as we debunk preparedness myths 3/30 at 2 PM ET. Follow #SafetyFacts https://t.co/2pXfoMDlHv</t>
  </si>
  <si>
    <t>Your kids can be emergency preparedness superheroes just like 
 Ready Girl! Get prepared: https://t.co/TwwoEPduVp https://t.co/MR3kLm5Saw</t>
  </si>
  <si>
    <t>Graduate students: the deadline to apply to become part of the 2016-2017 class is THURSDAY! https://t.co/TFfxeuCUZQ https://t.co/oRSB4yAGYe</t>
  </si>
  <si>
    <t>Become 1 of 10 graduate students in the NYC area to become a John D. Solomon Fellow. https://t.co/TFfxeuCUZQ https://t.co/yFXenSmXTu</t>
  </si>
  <si>
    <t>Learn how NYC Citizen Corps helps make NYC communities safer, stronger &amp;amp; better prepared: https://t.co/lZNOAMCBag https://t.co/u9RvlI0bGa</t>
  </si>
  <si>
    <t>RT @nycHealthy: As #mosquito season approaches, we're preparing for any impact #Zika could have on the City: https://t.co/CeTxekKLXk https:…</t>
  </si>
  <si>
    <t>Today, we remember the East Village building explosion and those affected by this tragedy.</t>
  </si>
  <si>
    <t>New York City is no stranger to natural &amp;amp; man-made hazards. Find out how you can plan ahead: https://t.co/xZNPiE50oc https://t.co/GQuJcsZMQH</t>
  </si>
  <si>
    <t>105th anniversary of Triangle Shirtwaist Factory Fire is a solemn reminder to be prepared no matter where you are: https://t.co/acpynoxUcF</t>
  </si>
  <si>
    <t>RT @PrepareAthon: Have you heard a preparedness myth? We will debunk them with #SafetyFacts on 3/30 at 2 PM ET. https://t.co/x9ZQrEDmAl</t>
  </si>
  <si>
    <t>Only 1 week left! Apply for NYC's first graduate student fellowship in emergency management: https://t.co/i8BgoHPGLn https://t.co/cR7PVD83hT</t>
  </si>
  <si>
    <t>Emergencies don't just happen at home. Find out how to be business ready: https://t.co/NSzjpZNmiz https://t.co/5mZCHSsHSm</t>
  </si>
  <si>
    <t>.@NYCSmallBizSvcs is holding a free workshop to prepare business owners for emergencies. https://t.co/Hm53m1NEBk https://t.co/pjgYpUrthU</t>
  </si>
  <si>
    <t>.@NYCSeniors fellow shares what personal preparedness means to her. #SolomonFellowship https://t.co/eM4A9wRzkj</t>
  </si>
  <si>
    <t>RT @BilldeBlasio: Sending strength to @CharlesMichel and the people of #Brussels. @NYPDnews on increased alert across NYC. We will not live…</t>
  </si>
  <si>
    <t>.@nycoem's Nancy discussing public information &amp;amp; Katie discussing Ready Girl at @nathurricanecon in Orlando. https://t.co/RVL6wDW2N5</t>
  </si>
  <si>
    <t>Want facts on common preparedness myths? Follow the #SafetyFacts Twitter chat on 3/30 at 2 PM ET featuring @nycoem. https://t.co/xJnpDEvh5F</t>
  </si>
  <si>
    <t>RT @NotifyNYC: Travel advisory in effect 3/20 &amp;amp; 3/21. ASP suspended Mon. Meters in effect. https://t.co/xLPtSTFQwr ASL: https://t.co/Uz7TqG…</t>
  </si>
  <si>
    <t>RT @NotifyNYC: Numerous street closures in MN Sun, 3/20 7:30AM-1PM, in support of 2016 NYRR NYC #HalfMarathon. Info: https://t.co/avJSpD6UQ…</t>
  </si>
  <si>
    <t>RT @NotifyNYC: Citywide Travel Advisory for Sun, 3/20, due to anticipated 2-4 inches of snow. Info: https://t.co/t918yhlx8z. ASL: https://t…</t>
  </si>
  <si>
    <t>RT @billdeblasio: Watch out for icy conditions and some snowfall this Sunday. Drive slowly and carefully. Follow at @NotifyNYC for more.</t>
  </si>
  <si>
    <t>RT @NWSNewYorkNY: 4PM update: Snow potential continues for Sunday-early Monday, with accumulating snow likely. Stay tuned for updates. http…</t>
  </si>
  <si>
    <t>Make sure you know what to do when a flood occurs: https://t.co/f9F3TLR2bu #FloodSafety https://t.co/5Px23Xubq7</t>
  </si>
  <si>
    <t>Stay informed by signing up for @NotifyNYC to receive alerts about severe weather events like flooding. #FloodSafety https://t.co/RBRZ6S04qG</t>
  </si>
  <si>
    <t>RT @NWSNewYorkNY: Understand the difference between a Flood Watch and a Flood Warning. Know when to be prepared and to take action. https:/…</t>
  </si>
  <si>
    <t>30: The number of days it takes for flood insurance to begin. Don’t wait until it’s too late! #SevereWxPrep</t>
  </si>
  <si>
    <t>Whether you rent or own your home, consider buying a flood insurance policy to protect your home. More info: https://t.co/TexxTdafGi</t>
  </si>
  <si>
    <t>Flood safety means protecting your home from damage. Take steps to reduce your risk: https://t.co/OsQdTNFD5u https://t.co/WMtRTgoH2G</t>
  </si>
  <si>
    <t>NYC CERT &amp;amp; NYC Citizen Corps representing @nycoem at the at #nycvolunteersummit with @newyorkcares and @NYCService! https://t.co/BXINo7il9h</t>
  </si>
  <si>
    <t>What you need to know about storm surge &amp;amp; flooding: https://t.co/L1n79hqqS6 #FloodSafety https://t.co/92mqw5kjrA</t>
  </si>
  <si>
    <t>Blocked catch basins can lead to flooding. Help @nycwater by reporting issues to @nyc311: https://t.co/DH9BbiDWR4 https://t.co/ukyL04Bmco</t>
  </si>
  <si>
    <t>RT @NWSNewYorkNY: Flood Safety Awareness Week: Today's topic is flooding and related phenomena. Never underestimate the force of water http…</t>
  </si>
  <si>
    <t>Beware the #IdesOfMarch... there's only 2 weeks left to apply for the #SolomonFellowship! https://t.co/i8BgoHPGLn https://t.co/QPHxOuPpR8</t>
  </si>
  <si>
    <t>RT @NWSNewYorkNY: More than half of all flood related deaths result from vehicles being swept downstream. Turn around, don't drown! https:/…</t>
  </si>
  <si>
    <t>Flash, coastal, tidal, riverine -- oh my! Find out the differences between these types of flooding (&amp;amp; their causes): https://t.co/bDmNecpSXg</t>
  </si>
  <si>
    <t>Take steps to be prepared before a flood: https://t.co/RaAdRS0aqw #FloodSafety https://t.co/CZZ9iKMd1B</t>
  </si>
  <si>
    <t>RT @JoeEspoNYC: .@UASEM_NYC students stopped by @nycoem today to talk preparedness &amp;amp; tour our interim disaster housing unit. https://t.co/t…</t>
  </si>
  <si>
    <t>Do the math this #PiDay: making an emergency plan is easy with the Ready NYC app: https://t.co/XJhSBBq9IA https://t.co/dte2KlHVWI</t>
  </si>
  <si>
    <t>Flooding can happen in a flash. Be in the know with Wireless Emergency Alerts: https://t.co/He8F8lvN7d (via @NWS)</t>
  </si>
  <si>
    <t>RT @nyc311: Tomorrow, March 15 is the last day to apply for HEAP. Learn about the HEAP program &amp;amp; apply: https://t.co/6hkDYgJwy8</t>
  </si>
  <si>
    <t>Did you know? @NWS' Advanced Hydrologic Prediction Services provide more specific &amp;amp; timely info on fast-rising floods. #FloodSafety</t>
  </si>
  <si>
    <t>RT @NWSNewYorkNY: This is Flood Awareness Week. Today's topic is Advanced Hydrologic Prediction System (AHPS). https://t.co/3MA4TnROLg</t>
  </si>
  <si>
    <t>Today marks Flood Safety Awareness Week, and important reminder to protect yourself, your family &amp;amp; your home. https://t.co/bDmNecpSXg</t>
  </si>
  <si>
    <t>Take the time to make sure you're prepared! #daylightsavingtime #springahead https://t.co/joKSEyOTLC</t>
  </si>
  <si>
    <t>Today, we remember the East Harlem building explosion and those affected by this tragedy.</t>
  </si>
  <si>
    <t>.@nycoem's Iskra Gencheva is participating in @fema's webinar on Individual &amp;amp; Community Preparedness Awards! Info: https://t.co/khDCvtJfWX</t>
  </si>
  <si>
    <t>RT @PrepareAthon: Join @FEMA for how the #preparedness awards can benefit your community webinar on 3/15 @2PM EDT https://t.co/khDCvtJfWX</t>
  </si>
  <si>
    <t>RT @SouthHarlemCERT: We're here @WeAreTouro TouroCOM's Spring Into Health Fair until 2pm! #preparedness #NYCCERT @nycoem https://t.co/1AMhs…</t>
  </si>
  <si>
    <t>Don't wait. Make your emergency plan today. https://t.co/rCVckLnKx4
No espere. Haga su plan de emergencia hoy. https://t.co/jd6EYYLXHU</t>
  </si>
  <si>
    <t>RT @nyc311: #HappyBirthday #NYC311! In 13 years we’ve expanded from 24/7 Call Center to Online, App, Chat, Text &amp;amp; SM: https://t.co/LzCzcGtK…</t>
  </si>
  <si>
    <t>RT @nyc311: Guess what day it is? It’s #NYC311 Birthday! NYC’s one-stop shop for all gov. info &amp;amp; non-emergency services was born 13 years a…</t>
  </si>
  <si>
    <t>Tamar Trocki -- Solomon Fellow at @FDNY -- shares what personal preparedness means to her. #SolomonFellowship https://t.co/vw4FOE3Hvo</t>
  </si>
  <si>
    <t>Be a force of nature &amp;amp; make your emergency plan on your smartphone or tablet with Ready NYC: https://t.co/XJhSBBq9IA https://t.co/kLTonjEgNW</t>
  </si>
  <si>
    <t>Fellows in the John D. Solomon Fellowship for Public Service are making a difference in NYC: https://t.co/Z1EbVopFvV https://t.co/Jk1PGnaGrw</t>
  </si>
  <si>
    <t>TY @RachelLauter for meeting John D. Solomon Fellowship for Public Service fellows &amp;amp; mentors at City Hall yesterday! https://t.co/dnGit3GQya</t>
  </si>
  <si>
    <t>Did you know? Wireless Emergency Alerts are automatic texts sent to you in an emergency; no sign-up required: https://t.co/YtdDpis4Nx</t>
  </si>
  <si>
    <t>.@nycoem is at Brooklyn Borough Hall today. Stop by to learn how you can get prepared! https://t.co/bwo1HwB1Ez</t>
  </si>
  <si>
    <t>#NYCCERT training cycle 26 is under way! Each cycle is 10 weeks &amp;amp; ends with a disaster simulation exercise --&amp;gt; https://t.co/RGuf6Md7m6</t>
  </si>
  <si>
    <t>RT @PhilaOEM: Melissa Umberger of @nycoem talks of enacting plans and need to improvise during Hurricane Sandy #PhillyDRP2016 https://t.co/…</t>
  </si>
  <si>
    <t>RT @FDNY: Family of 5 saved from home with deadly CO levels by #FDNY #Engine326. Read more https://t.co/oZzwTuIJsH https://t.co/g3VpOME6H8</t>
  </si>
  <si>
    <t>RT @JoeEspoNYC: Thank you to the hardworking women of @nycoem on #InternationalWomensDay &amp;amp; every day for keeping NYC prepared. https://t.co…</t>
  </si>
  <si>
    <t>Take advantage of warmer weather by practicing how to get to your meeting places! https://t.co/acpynoxUcF https://t.co/6VfMahPRDV</t>
  </si>
  <si>
    <t>RT @nycgov: 2 DAYS LEFT to apply to #preKforAll: https://t.co/8ZM4gAKuQy https://t.co/PjsuSmUKRa</t>
  </si>
  <si>
    <t>Did you know that Ready New York guides are available in audio format? Get prepared and take a listen: https://t.co/2nT4m1DDab</t>
  </si>
  <si>
    <t>The clock is ticking, graduate students! Don't miss out on this NYC fellowship opportunity: https://t.co/TFfxeuCUZQ https://t.co/AgYnb8OgYK</t>
  </si>
  <si>
    <t>Join @NYPDnews, @fdny &amp;amp; @nycoem at today’s outreach event with the Deaf and Hard of Hearing Community! Details: https://t.co/o8smD9c0RH</t>
  </si>
  <si>
    <t>Whether March's weather is like a lion or a lamb, make sure you're prepared. Visit https://t.co/o4asORLlHT for tips! https://t.co/dYNgQ58vi0</t>
  </si>
  <si>
    <t>.@nycoem will be on hand at @nypdnews' outreach event with the Deaf and Hard of Hearing Community this weekend! https://t.co/rSAgvxdogm</t>
  </si>
  <si>
    <t>RT @NYCService: Interested in emergency management? Serve with #ReadyNY and #CERT @nycoem as a #CityServiceCorps member Apply at https://t.…</t>
  </si>
  <si>
    <t>RT @NotifyNYC: .@nycHealthy DRILL 3/4-3/5 10PM-6AM 455 1st Ave &amp;amp; Grand Central, MN. Expect emergency personnel wearing protective gear.</t>
  </si>
  <si>
    <t>.@NYCDCA's #FreeTaxPrep map lets you find sites where preparers speak your language: https://t.co/gBzCxKDFI3 https://t.co/bkQQKegIZo</t>
  </si>
  <si>
    <t>What does public service mean to you? https://t.co/i8BgoHPGLn #SolomonFellowship https://t.co/YVZLH694gb</t>
  </si>
  <si>
    <t>RT @NotifyNYC: .@NYC_DOT @NYCASP Alternate Side Parking rules suspended 3/4. Meters in effect. Info https://t.co/xLPtSTFQwr. ASL https://t.…</t>
  </si>
  <si>
    <t>RT @FDNY: It's getting cold outside again NYers! If you’re using a space heater to stay warm, be #FDNYSmart &amp;amp; plug your heater directly int…</t>
  </si>
  <si>
    <t>RT @NWSNewYorkNY: Even though its March, it can still snow.  We are expecting a light snow, generally 1 to 2" late tonight into Fr am. http…</t>
  </si>
  <si>
    <t>RT @NYCSanitation: DSNY issues 'snow alert' for 10pm Thurs, 3/3. Salt spreaders will be ready. Drive carefully. https://t.co/u4BRBiHfdq htt…</t>
  </si>
  <si>
    <t>RT @NYCSchools: Good news! The #preKforAll application deadline has been extended until March 9: https://t.co/rT0uzIKHn2 https://t.co/PWSC2…</t>
  </si>
  <si>
    <t>MT @nwsnewyorkny: A Record Warm Winter (2015-16) in parts of our area: https://t.co/MArQwLRfhp</t>
  </si>
  <si>
    <t>From the archives: NYC Citizen Corps highlights heroic response efforts of volunteers in the aftermath of #Sandy: https://t.co/VC8HiWYLW9</t>
  </si>
  <si>
    <t>RT @NYCService: Highlights from @nycoem's Youth Leadership Council! #YouthVoiceCounts https://t.co/79EqIpz1pC</t>
  </si>
  <si>
    <t>It's Red Cross Month. Find out how you can get involved with @redcrossny or other disaster volunteer organizations: https://t.co/1i26fLrjO4</t>
  </si>
  <si>
    <t>Flu season isn't over yet! Find health tips (&amp;amp; where to get a flu shot) from @nychealthy: https://t.co/O7X8CFWdEq https://t.co/rEEVAJ4NV1</t>
  </si>
  <si>
    <t>A new month means a new Ready New York quiz! Enter for your chance to win a Go Bag: https://t.co/04ZoJmrNHv https://t.co/rhP8Y5JHxs</t>
  </si>
  <si>
    <t>Just one month left to apply for the John D. Solomon Fellowship for Public Service! https://t.co/TFfxeuCUZQ https://t.co/fgb2dr1XmO</t>
  </si>
  <si>
    <t>Include your children in planning for an emergency. What every child should know: https://t.co/bE0Wa5lrLA https://t.co/pMBGg60rbn</t>
  </si>
  <si>
    <t>Use #LeapYear as a day to make sure you're prepared! Take the extra time to review your emergency plan: https://t.co/GvOpQbpCSG</t>
  </si>
  <si>
    <t>RT @JoeEspoNYC: Thanks to @cmenchaca &amp;amp; @NydiaVelazquez for visiting the Ready New York team today! https://t.co/bg3VUeCeaf</t>
  </si>
  <si>
    <t>NYC Citizen Corps' Youth Preparedness Council learned about utility emergencies from @ConEdison's Anthony Natale. https://t.co/nHEeIVdeg4</t>
  </si>
  <si>
    <t>Take the time now to make your emergency plan. It's easy and free with Ready NYC! https://t.co/XJhSBBq9IA https://t.co/VSvEpupyOr</t>
  </si>
  <si>
    <t>Today marks the 23rd Anniversary of the #WTC1993 bombing. Learn more about that day from @Sept11Memorial: https://t.co/mjXGvnmUOD</t>
  </si>
  <si>
    <t>Today, we remember the 1993 World Trade Center bombing, which took the lives of six people and injured more than 1,000 others. #WTC1993</t>
  </si>
  <si>
    <t>The John D. Solomon Fellowship for Public Service was just the beginning. Check out what former fellows are up to: https://t.co/WCTRQBkrXR</t>
  </si>
  <si>
    <t>The next time severe weather strikes, make sure you're in the know. Sign up for @NotifyNYC: https://t.co/GG33dFm8JN https://t.co/GwwOBmABkz</t>
  </si>
  <si>
    <t>RT @NYCDoITT: The first #LinkNYC kiosks replacing payphones throughout the City are now fully functional. Find a Link near you: https://t.c…</t>
  </si>
  <si>
    <t>See fallen trees/branches in your neighborhood? Report it to @nyc311: https://t.co/neeuJyvRkF</t>
  </si>
  <si>
    <t>RT @NWSNewYorkNY: 7:57pm - Severe Thunderstorm Watch for the entire area until 2am Thursday. Greatest threat is for damaging winds. https:/…</t>
  </si>
  <si>
    <t>RT @NotifyNYC: .@NWSNewYorkNY has issued a Wind Advisory from 2/24 6 PM to 2/25 4 AM for NYC. For updates: https://t.co/t918yhlx8z #bikenyc</t>
  </si>
  <si>
    <t>Get info about preparedness initiatives, resources &amp;amp; local events from NYC Citizen Corps Communications Network: https://t.co/9wsVwaY2fN</t>
  </si>
  <si>
    <t>Interested in becoming a disaster volunteer? It's best to get involved *before* an emergency: https://t.co/1i26fLrjO4</t>
  </si>
  <si>
    <t>RT @NotifyNYC: Emergency notification system test will occur today at 2:20pm on radio, broadcast &amp;amp; cable TV. Only a test. https://t.co/4JWQ…</t>
  </si>
  <si>
    <t>Take time to talk with your family about how you will get in touch in an emergency: https://t.co/acpynoxUcF https://t.co/nblw8JDDJX</t>
  </si>
  <si>
    <t>RT @femaregion2: Have you made your community more resilient? You could win a 2016 @fema Indiv. &amp;amp; Community Preparedness Award. https://t.c…</t>
  </si>
  <si>
    <t>What's it like being a Solomon Fellow in @NYPDAuxiliary? Check out Shannon's story: https://t.co/PTEONYtH4u #SolomonFellowship</t>
  </si>
  <si>
    <t>Prepare your employees, services &amp;amp; facilities for emergencies with Partners in Preparedness: https://t.co/WeQ5dSiIrj https://t.co/rRUI75qkiS</t>
  </si>
  <si>
    <t>The John D. Solomon Fellowship for Public Service gives alumni resources to jump-start their professional careers: https://t.co/Moonv41jRR</t>
  </si>
  <si>
    <t>Graduate students: there's still time to apply for the City's first fellowship dedicated to emergency management --&amp;gt; https://t.co/TFfxeuCUZQ</t>
  </si>
  <si>
    <t>RT @NotifyNYC: .@NYCParks Aerial wildlife survey between 5:00 PM &amp;amp; 11:59PM today, 2/19. A single-engine plane over forested areas in Staten…</t>
  </si>
  <si>
    <t>.@nycoem is hiring! Find a role that's right for you: https://t.co/GFm5WzMOfU</t>
  </si>
  <si>
    <t>Parents, did you know Ready Girl has a blog? Check it out for tips to help kids be prepared: https://t.co/1g00TPs52v https://t.co/Hb3zLoP3Su</t>
  </si>
  <si>
    <t>Are you a graduate student interested in emergency management? Check out this exciting fellowship opportunity! https://t.co/jwI0qim28S</t>
  </si>
  <si>
    <t>Help make your kids Ready New Yorkers with help from resources made just for them! https://t.co/VbsIEh361P https://t.co/x9dl06z6mt</t>
  </si>
  <si>
    <t>Show your family that preparing can be fun with @nycoem's kid-created emergency preparedness cartoons: https://t.co/UHRzNPLpGY #ReadyNewYork</t>
  </si>
  <si>
    <t>Robert Bristol, Solomon Fellow at @nycschools, shares why he feels public service is important. #SolomonFellowship https://t.co/TlZppk0b4A</t>
  </si>
  <si>
    <t>The best time to talk with your family is now. Don’t wait. Communicate. Make your emergency plan today. https://t.co/rCVckLnKx4</t>
  </si>
  <si>
    <t>This week, take the time to talk with your kids about emergency preparedness. Get started: https://t.co/RAkHYTkn5v https://t.co/7AdRbsPTj6</t>
  </si>
  <si>
    <t>RT @nycHealthy: We're working w/ NYC health care providers to test people at risk for #Zika virus infection: https://t.co/CeTxekKLXk https:…</t>
  </si>
  <si>
    <t>The future of emergency management starts with you. Apply for the John D. Solomon Fellowship for Public Service: https://t.co/TFfxeuCUZQ</t>
  </si>
  <si>
    <t>RT @NotifyNYC: .@NWSNewYorkNY Severe Thunderstorm Warning issued for BX, BK, &amp;amp; QN until 3:15PM. https://t.co/t918yhlx8z  ASL: https://t.co/…</t>
  </si>
  <si>
    <t>Get flood smart. Learn about the National Flood Insurance Program and prepare today: https://t.co/P6CWwvbbWF #FloodSafety</t>
  </si>
  <si>
    <t>RT @NotifyNYC: .@NWSNewYorkNY Severe Thunderstorm Warning issued for Brooklyn &amp;amp; Queens until 3PM. https://t.co/t918yhlx8z ASL: https://t.co…</t>
  </si>
  <si>
    <t>Pets need a plan, too. Get a copy of the Ready New York: My Pet's Emergency Plan: https://t.co/EXJUUpImLG https://t.co/LoO7UckP7X</t>
  </si>
  <si>
    <t>Emergencies affect everyone, especially pets. Find out what you can do to prepare yours: https://t.co/zBHVPLV6HC https://t.co/55aGrsc2K0</t>
  </si>
  <si>
    <t>RT @NYCSanitation: More than 600 DSNY salt spreaders &amp;amp; other equipment out on NYC's 6,000 miles of streets &amp;amp; roads handling Presidents Day …</t>
  </si>
  <si>
    <t>Did you know? Cash donations allow relief agencies to make purchases that precisely meet survivors' needs. More: https://t.co/kXpfkEB7rH</t>
  </si>
  <si>
    <t>This President's Day, consider adding Washingtons &amp;amp; Lincolns to your Go Bag: https://t.co/HjH2fUsEYg https://t.co/Lk7ScFu2js</t>
  </si>
  <si>
    <t>RT @NYCSanitation: Reminder: No trash, organics or recycling collection Mon., Feb. 15 for Presidents' Day. Info:https://t.co/iWJHEvg2uS htt…</t>
  </si>
  <si>
    <t>RT @nwsnewyorkny: Here is our latest weather briefing on the storm heading our way. https://t.co/MXuysDtC02 https://t.co/aFBqjY7XgQ</t>
  </si>
  <si>
    <t>RT @NotifyNYC: .@NWSNewYorkNY Winter Weather Advisory/Travel Advisory 2/15-2/16: 1-4" snow, traces of ice, &amp;amp; rain/coastal flooding. https:/…</t>
  </si>
  <si>
    <t>RT @NYCSanitation: DSNY issues Snow Alert for Mon. 2/15 at 9am for possible snow/frozen precip. More: https://t.co/OVxFBB6Whm https://t.co/…</t>
  </si>
  <si>
    <t>Want to stay informed about emergencies? This Valentine's Day, fall in love with @NotifyNYC: https://t.co/GG33dFm8JN https://t.co/KMbr53Fxf4</t>
  </si>
  <si>
    <t>Report heat/hot water issues to @nyc311. If you are a @NYCHA resident, report heat/hot water issues with #MyNYCHA or call 718-707-7771.</t>
  </si>
  <si>
    <t>With cold temperatures continuing today, remember to practice safe home heating: https://t.co/Ki1WkqTqDY</t>
  </si>
  <si>
    <t>RT @FDNY: Roses are red. Violets are blue. Space heaters need space, keep pets away too #HappyValentinesDay https://t.co/oUUXjWsQsN</t>
  </si>
  <si>
    <t>RT @nwsnewyorkny: All six of our major climate sites either broke or tied a record this morning! #ArcticBlast https://t.co/VgSzYbAI5X</t>
  </si>
  <si>
    <t>RT @nyc311: Its #NYCHeatSeason. Report no heat w/ 311 app: https://t.co/4JDKq5BCFY or online: https://t.co/wVq7MQ1MTr https://t.co/8oZPvOLM…</t>
  </si>
  <si>
    <t>RT @NWSNewYorkNY: Records for today's date may fall as we approach midnight. https://t.co/h73VC23V2s</t>
  </si>
  <si>
    <t>Looking for ways to winterize your home? Check out @NYC_Buildings' tips: https://t.co/i1U6ndjdXv</t>
  </si>
  <si>
    <t>RT @NYCHA: Residents w/o adequate heat or hot water need to report it w/ #MyNYCHA or by calling the Customer Contact Center (CCC) at: (718)…</t>
  </si>
  <si>
    <t>RT @NYCHA: Residents: Report heat or hot water issues w/ a few clicks or swipes using #MyNYCHA at https://t.co/Jp6SqbMZp2 https://t.co/t9fW…</t>
  </si>
  <si>
    <t>NYC will experience historic cold temperatures &amp;amp; wind chills. Take steps to stay safe: https://t.co/2JWEYnPRB5. https://t.co/UESf2KBajC</t>
  </si>
  <si>
    <t>.@NYCDHS continues enhanced outreach to help homeless individuals. Watch: https://t.co/2A6Y8RgXO5.</t>
  </si>
  <si>
    <t>Mayor @billdeblasio urges New Yorkers to bring their pets inside &amp;amp; report heat &amp;amp; hot water issues to @nyc311. More: https://t.co/2A6Y8RgXO5.</t>
  </si>
  <si>
    <t>"Please look out for your neighbors... especially seniors &amp;amp; those w/ health conditions &amp;amp; disabilities." -@BilldeBlasio</t>
  </si>
  <si>
    <t>"All New York City residents should be monitoring the weather forecast." - @BilldeBlasio. Watch: https://t.co/2A6Y8RgXO5.</t>
  </si>
  <si>
    <t>"It's so important to take this seriously and stay indoors to the maximum extent possible." - @BilldeBlasio. More: https://t.co/2A6Y8RgXO5</t>
  </si>
  <si>
    <t>"All City agencies are on alert &amp;amp; working to address this challenge [of extreme cold]." - @BilldeBlasio. Watch: https://t.co/2A6Y8RgXO5</t>
  </si>
  <si>
    <t>Mayor @BilldeBlasio is hosting a press conference at @nycoem HQ regarding the extreme cold. Watch it live at https://t.co/2A6Y8RgXO5.</t>
  </si>
  <si>
    <t>RT @NotifyNYC: NYC is experiencing wind gusts in excess of 40MPH. Use caution when walking/driving. Wind causes flying debris. https://t.co…</t>
  </si>
  <si>
    <t>RT @NWSNewYorkNY: Here is our latest weather briefing on the frigid weather heading our way. Bundle up!
https://t.co/oKooRS1cTf https://t.c…</t>
  </si>
  <si>
    <t>RT @NotifyNYC: DOB advises property owners, crane operators &amp;amp; contractors that all cranes must be secured &amp;amp; crane operations cease on Satur…</t>
  </si>
  <si>
    <t>Be fire smart when it comes to safe home heating. Only use portable heating equipment approved for indoor use. #WinterSafety</t>
  </si>
  <si>
    <t>RT @NotifyNYC: Extremely cold temps this weekend, wind chills as low as 25 below. Stay indoors, report loss of heat or hot water to 311.</t>
  </si>
  <si>
    <t>Extreme cold affects everyone. Make a plan to check on your neighbors, friends &amp;amp; relatives. More: https://t.co/2JWEYnPRB5. #WinterSafety</t>
  </si>
  <si>
    <t>RT @NotifyNYC: .@NWSNewYorkNY NWS Wind Chill Advisory in effect 4PM, 2/13 - 12PM, 2/14.Stay indoors when possible, report loss of heat or h…</t>
  </si>
  <si>
    <t>RT @nyc311: Report no heat/hot water in your apt. w/ free #NYC311 App: https://t.co/WMVAfNql0B or online: https://t.co/eqAqNOu8CD</t>
  </si>
  <si>
    <t>What is wind chill &amp;amp; how is it calculated? Check out this graphic from @NWSNewYorkNY. More: https://t.co/Fl5xF4bdDm https://t.co/wOxMfKwoTN</t>
  </si>
  <si>
    <t>Be #ReadyNewYork for extreme cold: https://t.co/3eHEtqC6Xk</t>
  </si>
  <si>
    <t>RT @NWSNewYorkNY: Dangerously cold wind chills are expected Saturday night into Sunday. Values will be as low as 25 to 30 below zero https:…</t>
  </si>
  <si>
    <t>Keep your home cozy while saving energy, Check out @birdienyc's tips: https://t.co/MyyMOx2Vnw</t>
  </si>
  <si>
    <t>Want more tips about how to stay healthy &amp;amp; safe during periods of extreme cold? Check out https://t.co/2JWEYnPRB5.</t>
  </si>
  <si>
    <t>Be safe &amp;amp; smart when heating your home. NEVER use your stove or oven. More tips: https://t.co/2JWEYnPRB5 #WinterSafety cc: @FDNY</t>
  </si>
  <si>
    <t>RT @FDNY: It’s going to be a cold one tonight, New Yorkers! If you’re using a space heater, be #FDNYSmart and plug your heater directly int…</t>
  </si>
  <si>
    <t>Your pets feel winter's chill, too. Make sure you bring them indoors when temperatures drop. #WinterSafety</t>
  </si>
  <si>
    <t>RT @nyc311: It's #HeatSeason. Report no heat/hot water online: https://t.co/eqAqNOu8CD or with free 311 App: https://t.co/WMVAfNql0B</t>
  </si>
  <si>
    <t>Prepare for extreme cold by winterizing your emergency supplies for your home, Go Bag &amp;amp; car. https://t.co/Ds0iNieFID https://t.co/p4t3ABzfLG</t>
  </si>
  <si>
    <t>.@nycoem urges New Yorkers to prepare for extreme cold expected Thursday night through Monday. More: https://t.co/7mow6bhmkV</t>
  </si>
  <si>
    <t>Get ready for the unexpected with help from @nycoem's Ready New York guides &amp;amp; resources: https://t.co/2nT4m1DDab https://t.co/YrGSN4mtvc</t>
  </si>
  <si>
    <t>Emergencies like severe weather can affect your property. Take steps to prepare: https://t.co/ccG68NoE7U</t>
  </si>
  <si>
    <t>RT @NWSNewYorkNY: We have cancelled the winter weather advisory.  Snowfall forecast has been lowered through Wednesday morning. https://t.c…</t>
  </si>
  <si>
    <t>RT @NotifyNYC: Travel Advisory issued for Wed, 2/10, for 2-4" of snow. Allow extra travel time for AM &amp;amp; PM commutes. Info: https://t.co/APD…</t>
  </si>
  <si>
    <t>What's it like being a Solomon Fellow at @nycoem? Dustin shares his story: https://t.co/qGSyNBaOin https://t.co/k4iRIZzIDL</t>
  </si>
  <si>
    <t>Passionate about emergency management? This fellowship is for you: https://t.co/TFfxeuCUZQ https://t.co/2PuPxqwtjN</t>
  </si>
  <si>
    <t>RT @NWSNewYorkNY: Winter Weather Advisory beginning 6pm tonight. 3-6" of snow LI, NYC, much of NE NJ, less to the north. https://t.co/VK19O…</t>
  </si>
  <si>
    <t>RT @NotifyNYC: .@NWSNewYorkNY Coastal Flood Warnings &amp;amp; Advisories in effect for 2/8 &amp;amp; 2/9. Tides 2-2.5 ft above normal expected. https://t.…</t>
  </si>
  <si>
    <t>RT @NYCDHS: #HOPE2016 is tonight! Cheer on the volunteers by downloading one of our special avatars: https://t.co/qw6z6yETbJ https://t.co/c…</t>
  </si>
  <si>
    <t>RT @NYCMayorsOffice: Happy #LunarNewYear! We wish you prosperity, health and happiness in the Year of the Monkey! https://t.co/bSCHg5SMVT</t>
  </si>
  <si>
    <t>RT @NYCDHS: At #HOPE2016 tonight: Mayor @BilldeBlasio; @SecretaryCastro; DM @HerminiaPalacio; @NYCHRA, @NYCagainstabuse commissioners; Spkr…</t>
  </si>
  <si>
    <t>Regardless of how much snow is forecast, be winter ready. Here are tips to stay safe this season: https://t.co/3eHEtqC6Xk (cc: @nyislanders)</t>
  </si>
  <si>
    <t>RT @notifynyc: .@NWSNewYorkNY Coastal Flood Warning: The Bronx until 1pm this afternoon, 2/8. Info: https://t.co/f3GhoDNM8i.</t>
  </si>
  <si>
    <t>RT @NYCSanitation: 576 DSNY salt spreaders ready to be deployed around city to handle this morning's snow. Trash/recycling pickups will be …</t>
  </si>
  <si>
    <t>RT @NWSNewYorkNY: Winter Storm Warnings &amp;amp; Winter Weather Advisories have expanded west. Expect 4-8" in counties under the warning https://t…</t>
  </si>
  <si>
    <t>RT @NotifyNYC: Travel advisory issued for Monday, 2/8 – Wednesday, 2/10. Snow accumulations of 2-4" expected. https://t.co/I7edo5PZJw.</t>
  </si>
  <si>
    <t>RT @NWSNewYorkNY: Small correction to previous tweet: NE winds 10-25 mph with gusts 25-35 mph. https://t.co/25Q2NmnrZn</t>
  </si>
  <si>
    <t>RT @NWSNewYorkNY: Winter Storm Warnings and Winter Weather Advisories in effect from 3 am tonight through 6 pm Monday. https://t.co/dtS3rqG…</t>
  </si>
  <si>
    <t>Ahead of the #SuperBowl (or a disaster), tackle preparedness with the Ready NYC app: https://t.co/XJhSBBq9IA https://t.co/vRk6fhPu2C</t>
  </si>
  <si>
    <t>RT @nyc311: ASP is suspended tmrw, 2/8 for Asian Lunar New year. Meters remain in effect. Download 311 app for daily updates: https://t.co/…</t>
  </si>
  <si>
    <t>RT @NYCSanitation: DSNY issues equipment readiness 'snow alert' for Monday @ 3 am. Salt spreaders are loaded.Trash/recycling pickups on, we…</t>
  </si>
  <si>
    <t>RT @JoeEspoNYC: With our partners @FDNY &amp;amp; @NYPDnews, @nycoem continues to support the on-going response to today's crane collapse. https://…</t>
  </si>
  <si>
    <t>RT @NotifyNYC: As temps drop below freezing tonight, ice/black ice may cause dangerous conditions on 2/5 &amp;amp; 2/6. More info: https://t.co/vaI…</t>
  </si>
  <si>
    <t>RT @NotifyNYC: Following a previous incident, MTA 1,2&amp;amp;3 trains are no longer by passing Chambers St station and Franklin station in Manhatt…</t>
  </si>
  <si>
    <t>RT @NotifyNYC: UPDATE: @MTA 1 train bypassing Chambers &amp;amp; Franklin.Closed: Worth btw Church/Hudson, n/b Greenwich from Battery Pl, s/b W Bro…</t>
  </si>
  <si>
    <t>RT @notifynyc: Due to crane collapse, MTA 1 train bypassing Franklin station. Consider alternate routes and allow for additional travel time</t>
  </si>
  <si>
    <t>RT @NotifyNYC: Due to a construction accident, expect traffic delays &amp;amp; emergency personnel near West Broadway and Worth St in Manhattan.</t>
  </si>
  <si>
    <t>RT @NWSNewYorkNY: Visibility is down to a 1/4 mile in many locations, especially across Long Island in Moderate to Heavy Snow. https://t.co…</t>
  </si>
  <si>
    <t>RT @NYCASP: UPDATE: #NYCASP rules will be suspended on Fri, Feb. 5 to facilitate snow removal. Meters will remain in effect.</t>
  </si>
  <si>
    <t>NYC Emergency Management has issued a Travel Advisory for the Friday AM and PM rush. Full press release here: https://t.co/vTlFDmGxdL</t>
  </si>
  <si>
    <t>RT @NWSNewYorkNY: Winter Weather Advisory in effect for Fri morning. Rain changes to snow by daybreak, 2-3" NYC, 4-6" eastern LI &amp;amp; CT. http…</t>
  </si>
  <si>
    <t>RT @NYCSanitation: DSNY issues 'snow alert' for 12:00 a.m. Fri., Feb. 5 for possible snow conditions. More: https://t.co/4BBs87dhxj https:/…</t>
  </si>
  <si>
    <t>RT @NYCMayorsOffice: TONIGHT 7pm, Mayor @BilldeBlasio delivers the State of #OurCity. Watch it live: https://t.co/Xfq1N96VJu https://t.co/P…</t>
  </si>
  <si>
    <t>Did you know? The City’s Commodity Distribution Point plan helps get resources to the right place at the right time: https://t.co/c3XPS9s8yC</t>
  </si>
  <si>
    <t>Although spring is set start early this year, don’t look past winter just yet. Follow these health and safety tips. https://t.co/K3VVfA7fIb</t>
  </si>
  <si>
    <t>Take a look inside the City’s post-disaster housing model (Cadman Plaza East &amp;amp; Red Cross Place), open tomorrow 11-1! https://t.co/Y2A1VCxDLM</t>
  </si>
  <si>
    <t>RT @NYPDSpecialops: Congratulations to #ESU #K9 PO Barreto &amp;amp; "Bruno" passing @FEMA Canine Certification, now part of the #US&amp;amp;R NY-TF1 https…</t>
  </si>
  <si>
    <t>Thank you to the Consulate General of Georgia &amp;amp; Tbilisi City Municipal Assembly for visiting @nycoem HQ yesterday. https://t.co/SiTOevHnpw</t>
  </si>
  <si>
    <t>Using known community spaces is critical to assisting NYC during emergency &amp;amp; non-emergency times. Sign up your space https://t.co/B51R86YY6s</t>
  </si>
  <si>
    <t>10 graduate students. One exciting student fellowship. Learn more &amp;amp; apply: https://t.co/TFfxeuUvRo https://t.co/0mduLkuVEr</t>
  </si>
  <si>
    <t>RT @NWSNewYorkNY: Rain will overspread the area this afternoon and evening. Watch for heavy downpours and accumulations over an inch. https…</t>
  </si>
  <si>
    <t>Today, #SolomonFellowship met @HolocaustMuseum's Michael Abramowitz to discuss emergency preparedness &amp;amp; resiliency. https://t.co/GX72sdPUpQ</t>
  </si>
  <si>
    <t>RT @nycHealthy: Stay up to date on what NYC is doing about #Zika virus: https://t.co/CeTxekKLXk https://t.co/sfQc92t5xO</t>
  </si>
  <si>
    <t>Applications for the John D. Solomon Fellowship for Public Service are now being accepted! https://t.co/TFfxeuCUZQ https://t.co/LjyK2vzTcS</t>
  </si>
  <si>
    <t>Did you stick to your resolution to be more prepared? It's never too late! Get the Resolve to Be Ready calendar: https://t.co/nnpqop6uwD</t>
  </si>
  <si>
    <t>Whether you believe the #GroundhogDay weather outlook, make sure your emergency supplies are ready for all seasons. https://t.co/kyKP0RLi6v</t>
  </si>
  <si>
    <t>RT @NWSNewYorkNY: January featured both above average temps and quite a bit of snow. Check out the graphic below for more details. https://…</t>
  </si>
  <si>
    <t>Check out @nycoem staff and #NYCCERT #OnStatenIsland! https://t.co/RdBKB2ib2p</t>
  </si>
  <si>
    <t>Graduate students: your path to public service starts here: https://t.co/TFfxeuCUZQ https://t.co/9twr2NIeWO</t>
  </si>
  <si>
    <t>There's still time to enter the Ready New Yorker of the Month contest! Your chance to win a Go Bag --&amp;gt; https://t.co/04ZoJmrNHv</t>
  </si>
  <si>
    <t>RT @NWSNewYorkNY: Here is a look at the snow melt which has taken place in Central Park during this week. https://t.co/3BT2Dc3LCd</t>
  </si>
  <si>
    <t>Sign up for NYC Citizen Corps Communications Network for events, preparedness tools &amp;amp; recovery resources: https://t.co/9wsVwaY2fN</t>
  </si>
  <si>
    <t>2013: NYC Citizen Corps releases an English-as-a-Second-Language emergency preparedness video with @NYCImmigrants: https://t.co/Xp4iH6PzM4</t>
  </si>
  <si>
    <t>NYC Citizen Corps needs your help identifying spaces in NYC that could support the City’s emergency operations: https://t.co/B51R86YY6s</t>
  </si>
  <si>
    <t>NYC Citizen Corps is behind @nycoem's involvement in National Preparedness Month! https://t.co/12qpUL5UuL https://t.co/yXdqsd98vO</t>
  </si>
  <si>
    <t>NYC Citizen Corps offers volunteer resources like training &amp;amp; conferences, including a Disaster Volunteer Conference: https://t.co/VC8HiWYLW9</t>
  </si>
  <si>
    <t>Help promote preparedness at the local level. Get involved with NYC Citizen Corps: https://t.co/SXpWRadn3d https://t.co/VyrU7Kt82v</t>
  </si>
  <si>
    <t>Haven't made your emergency plan? Get started with the Ready NYC app: https://t.co/g2MNtVUVco https://t.co/hulqJlNdYT</t>
  </si>
  <si>
    <t>Check out photos from last night's NYC CERT graduation: https://t.co/iAJLJfoy1C. Thank you to our partners @FDNY &amp;amp; @NYPDAuxiliary! #NYCCERT</t>
  </si>
  <si>
    <t>RT @NotifyNYC: Previously reported "earthquake activity" now confirmed to be a sonic boom from an aircraft by US Geological Survey. NOT an …</t>
  </si>
  <si>
    <t>RT @NotifyNYC: Unconfirmed reports of an earthquake in NYC/NJ area. No earthquake activity identified by US Geological Survey. No reports o…</t>
  </si>
  <si>
    <t>Check out photos from last night's NYC CERT graduation: https://t.co/iAJLJfG9qc. Thank you to our partners @FDNY &amp;amp; @NYPDAuxillary! #NYCCERT</t>
  </si>
  <si>
    <t>Thank you for coming by! https://t.co/z05xmkgnSX</t>
  </si>
  <si>
    <t>NYC CERTs welcomed 78 new volunteers yesterday. Be part of the next training cycle: https://t.co/B74xbq9m1k #NYCCERT https://t.co/plx2GY1G6z</t>
  </si>
  <si>
    <t>"We're lucky to have a team of volunteers who are so dedicated to helping others." - @JoeEspoNYC about NYC CERT: https://t.co/nM02LfddbL</t>
  </si>
  <si>
    <t>.@robins718 please contact @nyc311 to report snow/ice in front of public property, such as bus stop shelters, park paths, or schools.</t>
  </si>
  <si>
    <t>NYCEM teamed up w/ @alliedimnyc to promote emergency preparedness &amp;amp; give away Go Bags at #TheFinestHours screening. https://t.co/ctCk97b0Qv</t>
  </si>
  <si>
    <t>RT @NotifyNYC: .@BilldeBlasio Travel Advisory issued until 1/29. Nightly freezing temps may create black ice/slippery conditions. https://t…</t>
  </si>
  <si>
    <t>Contact @nyc311 to report a snow-abandoned vehicle: https://t.co/Baf5UqC85d (2/2)</t>
  </si>
  <si>
    <t>Contact @nyc311 to report snow or ice on roadway online here: https://t.co/6gaddtFxio or sidewalks here: https://t.co/ZIg9cb605u (1/2)</t>
  </si>
  <si>
    <t>Make sure your finances are ready for tax season &amp;amp; for emergencies, too: https://t.co/tZRwSSSPLW https://t.co/1JB6P5syq9</t>
  </si>
  <si>
    <t>RT @NYCDCA: It's Tax Time! Use our interactive map to find a #FreeTaxPrep site near you: https://t.co/ZMuZZtiKFa https://t.co/LxejDH6YUq</t>
  </si>
  <si>
    <t>Contribute to the emergency preparedness of NYC as a whole by donating blood: https://t.co/1LyNE4V3l5 @NYBloodCenter</t>
  </si>
  <si>
    <t>John D. Solomon Fellowship for Public Service fellows &amp;amp; mentors gives back to the community: https://t.co/W4aakI8Ger https://t.co/D7BYJx1HsR</t>
  </si>
  <si>
    <t>.@nycoem is on hand at @NYCSmallBizSvcs Business PREP workshop at the Shorefront Y in Brighton Beach. #smallbiz https://t.co/ozW5C5s93m</t>
  </si>
  <si>
    <t>RT @NYCDHS: #HOPE2016 tentatively rescheduled to Mon, 2/8. More details coming. Thanks to those who have volunteered to help ensure every N…</t>
  </si>
  <si>
    <t>Interested in working as a @nycsanitation snow laborer? Info here: https://t.co/nVXH9byuWx</t>
  </si>
  <si>
    <t>RT @LIRR: Service is restored to/from Atlantic Terminal following the completion of clean-up from this weekend's blizzard.</t>
  </si>
  <si>
    <t>RT @NotifyNYC: .@NY_NJairports Due to heavy volume, expect extensive #traffic delays near LaGuardia Airport. Check flight status &amp;amp; allow ad…</t>
  </si>
  <si>
    <t>RT @NotifyNYC: .@BilldeBlasio Travel Advisory issued 1/25-1/29. Nightly freezing temps may create black ice/slippery conditions. https://t.…</t>
  </si>
  <si>
    <t>RT @nycgob: Asegúrese de que las linternas funcionan antes de que llegue la próxima tormenta. Consejos del @FDNY: https://t.co/aT76OgCPSW #…</t>
  </si>
  <si>
    <t>RT @nycgob: El Ferry de #StatenIsland mantiene su horario regular esta semana! https://t.co/a61dKZF7qA #SIFerry https://t.co/09D8LiJtkf @NY…</t>
  </si>
  <si>
    <t>RT @NotifyNYC: .@NYC_Buildings reminds property owners to safely remove ice/snow from roofs/overhangs/awnings. Info: https://t.co/FYN7EgbBB…</t>
  </si>
  <si>
    <t>RT @notifynyc: .@NYC_Buildings reminds property owners to safely remove ice/snow from roofs/overhangs/awnings. Info: https://t.co/2QV1erV2b2</t>
  </si>
  <si>
    <t>Mayor de Blasio delivers winter storm response update: https://t.co/0ODtZ1XENs</t>
  </si>
  <si>
    <t>Tips on how to safely remove snow and ways to help others: https://t.co/2JWEYnPRB5 #SafeNYC</t>
  </si>
  <si>
    <t>RT @NYC_DOT: NYC needs more snow laborers! Please register at a DOT garage this week 7AM-3PM. More info: https://t.co/lCM0vM1lvN https://t.…</t>
  </si>
  <si>
    <t>RT @FDNY: Keep our #FDNYSmart tips in mind as you clear hydrants. Ask a neighbor for help, don't overexert. Read more at https://t.co/tW0Ot…</t>
  </si>
  <si>
    <t>RT @NotifyNYC: Following an earlier suspension, the Rockaway Park Shuttle Service (QN) has resumed w/ limited service. Expect residual dela…</t>
  </si>
  <si>
    <t>Register to be a PAID @NYCSanitation Emergency Snow Laborer &amp;amp; help clear snow/ice after big storms. CLICK: https://t.co/nVXH9bgU4Z</t>
  </si>
  <si>
    <t>RT @NotifyNYC: .@LIRR train service remains suspended due to blizzard impact and is expected to resume at 7:00 AM. Consider alternate route…</t>
  </si>
  <si>
    <t>RT @NYCTSubway: All subway service has been restored following this weekend's record-setting blizzard. Thanks to all of our crews. https://…</t>
  </si>
  <si>
    <t>RT @MTA: Crews working hard to clear snow @LIRR Harold interlocking https://t.co/m7bDA6xydp</t>
  </si>
  <si>
    <t>RT @MTA: Jet blower out and about @LIRR Jamaica Station https://t.co/7OqZn8fG7F</t>
  </si>
  <si>
    <t>RT @NYCSanitation: Service Alert: No trash/recycling pickups as snow operations are underway. We will update when collection resumes. https…</t>
  </si>
  <si>
    <t>RT @NotifyNYC: Update @NYCASP: Alt Side Parking suspended until 2/1, cars may stay in "No Standing-School Hours" zones until 1/27. https://…</t>
  </si>
  <si>
    <t>RT @BilldeBlasio: I hear you, Queens. We’ve got 850 @NYCSanitation plows clearing your streets. We won’t quit until the job is done. https:…</t>
  </si>
  <si>
    <t>RT @nycgob: El registro de interesados en limpiar nieve será EN GARAJES LOCALES de @NYCSanitation. Ayude a NYC hoy! #nevadaNYC https://t.co…</t>
  </si>
  <si>
    <t>RT @nycgob: Las escuelas públicas estarán abiertas mañana, lunes 25/1, y todas las actividades y programas seguirán su horario regular. @NY…</t>
  </si>
  <si>
    <t>RT @nycgob: Los paseos usando autobuses escolares están cancelados para mañana, 25/1. @NYCSchools #Blizzard2016 #nevadaNYC</t>
  </si>
  <si>
    <t>RT @NYCTSubway: #ServAdv: b/d #R train Service changes, due to NYCT's Cold Weather Plan. Details at https://t.co/gYecYgUkcv</t>
  </si>
  <si>
    <t>RT @NYCTBus: #ServAdv: NYCT has restored all #SI bus routes on a modified Sunday schedule with delays. Please allow additional travel time</t>
  </si>
  <si>
    <t>RT @NYCSchools: Tomorrow, Monday, January 25, all schools will be open. All school programming, including after-school activities, will go …</t>
  </si>
  <si>
    <t>RT @LIRR: LIRR train service remains suspended, goal of restoring for AM rush. See https://t.co/Y0rGp0G1gO. Storm's impact: https://t.co/X2…</t>
  </si>
  <si>
    <t>RT @NYC_DOT: "We need all hands on deck to dig us out" @NYCMayorsOffice Register as snow laborer @NYCSanitation garage: $13.50/hr https://t…</t>
  </si>
  <si>
    <t>RT @NYPDnews: Seconds matter. When @FDNY arrived at 51st &amp;amp; 9th hydrants were covered in snow as a fire raged. Shovel 'em out! https://t.co/…</t>
  </si>
  <si>
    <t>In case you missed it, here is Mayor @BilldeBlasio's storm response update: https://t.co/G7FULAPcqt</t>
  </si>
  <si>
    <t>RT @nycgob: NYC necesita más personal para limpiar nieve hoy! Llame al 311 para ayudar. @nyc311 @NYCSanitation https://t.co/zpc0omjMLh @NYC…</t>
  </si>
  <si>
    <t>RT @NYCParks: Use caution in parks today: parks paths can be slippery, snow cover can cover frozen lakes and bodies of water, &amp;amp; branches ma…</t>
  </si>
  <si>
    <t>RT @NYCParks: Be #safenyc. Don't step on ice and frozen bodies of water, and never leave kids unattended near ice.</t>
  </si>
  <si>
    <t>RT @NYCParks: We're working on clearing paths so you can come have some fun in the park! https://t.co/hWxhyXAydh</t>
  </si>
  <si>
    <t>RT @NotifyNYC: Following an earlier suspension, @EastRiverFerry has resumed service.  For latest updates, see: https://t.co/uvFlw1sYPm</t>
  </si>
  <si>
    <t>RT @nycgob: Desde las 7AM, los autos ya pueden circular en NYC. Tenga cuidado al conducir. #Blizzard2016 #Jonas2016 #nevadaNYC https://t.co…</t>
  </si>
  <si>
    <t>RT @nycgob: EN VIVO: El alcalde @BilldeBlasio actualiza a los neoyorquinos sobre #Jonas2016NYC. Véalo ahora en: https://t.co/2dwuP8pVZI. #n…</t>
  </si>
  <si>
    <t>RT @NotifyNYC: .@NYC_DOT @NYCASP Alternate Side Parking suspended 1/25-1/29. Meters in effect. Info https://t.co/xLPtSTFQwr. ASL https://t.…</t>
  </si>
  <si>
    <t>RT @NYC_DOT: .@NYCMayorsOffice: @NYCASP will be suspended through Friday for snow removal. Meters remain in effect. https://t.co/UqRMI7UYWv</t>
  </si>
  <si>
    <t>RT @NotifyNYC: .@FDNY #ThreeAlarmFire: 9 Ave &amp;amp; W 51 St, MN. Expect smoke &amp;amp; #traffic delays. People nearby avoid smoke, close windows</t>
  </si>
  <si>
    <t>RT @BilldeBlasio: #NYC is bouncing back from #blizzard2016. @NYCTBus service up and running. Most @MTA subways back too. See: https://t.co/…</t>
  </si>
  <si>
    <t>RT @FDNY: NYC homeowners &amp;amp; business owners - be #SafeNYC &amp;amp; clear snow from hydrants so #FDNY can access in case of emergency https://t.co/p…</t>
  </si>
  <si>
    <t>RT @NotifyNYC: Travel Ban Lifted: All NYC roadways are open as of 1/24 at 7:00 AM. Use caution when driving. #alert</t>
  </si>
  <si>
    <t>RT @NWSNewYorkNY: Well, Central Park had 26.8" of snow but it wasn't quite the biggest snowstorm on record. #winterstorm https://t.co/baQrI…</t>
  </si>
  <si>
    <t>Remember: Snow covered hydrants may cause dangerous &amp;amp; potentially deadly conditions. @FDNY is asking residents to clear snow from hydrants.</t>
  </si>
  <si>
    <t>Help your community with snow removal. Serve as a volunteer snow shoveler: https://t.co/MwRRBH62AO via @NYCService</t>
  </si>
  <si>
    <t>RT @NotifyNYC: UPDATE: @MTA customers should expect delays and service changes. Visit https://t.co/ENIxXVnNZ4 for the latest info.</t>
  </si>
  <si>
    <t>Removing snow? Follow these safety tips: https://t.co/19GrqLKc3U</t>
  </si>
  <si>
    <t>RT @NotifyNYC: .@MTA Subway restores 1/24 @ 9AM, Metro-North 1/24 @ 12PM, &amp;amp; LIRR 1/25 morning.  check MTA updates: https://t.co/iifso0DJJS</t>
  </si>
  <si>
    <t>RT @NotifyNYC: Following previous suspension of service, all @MTA Bus and Access-A-Ride service has been restored.  Expect residual delays.</t>
  </si>
  <si>
    <t>RT @NWSNewYorkNY: Here are the updated snowfall totals! Click the link. https://t.co/LCcBSMq6wp 
#Winterstorm</t>
  </si>
  <si>
    <t>IMPORTANT: Mayor @BilldeBlasio announces that NYC will lift the travel ban at 7 AM tomorrow, Sunday. #jonas2016 NYC</t>
  </si>
  <si>
    <t>RT @NotifyNYC: Due to inclement weather, Seastreak Ferry service is suspended on 1/24 and until further notice. Info: https://t.co/ZVdy2dza…</t>
  </si>
  <si>
    <t>RT @NWSNewYorkNY: The snowfall at Central Park is 25.1" which is the 3rd greatest in NYC since 1869. Snow cont. to fall. Record is 26.9" Fe…</t>
  </si>
  <si>
    <t>RT @NWSNewYorkNY: Here are the updated snowfall totals across the area. Click the link! https://t.co/JFiGBQGW0P</t>
  </si>
  <si>
    <t>RT @NYCMayorsOffice: Great shout out by @NYPDChiefofDept ... 
Thank you to the FAMILIES of all City employees dutifully serving their fell…</t>
  </si>
  <si>
    <t>RT @NYCMayorsOffice: .@BilldeBlasio now on https://t.co/UoTc6dwjd5 ...
Total snowfall projection is 24-28". 
Current accumulation just unde…</t>
  </si>
  <si>
    <t>RT @NYCMayorsOffice: Mayor @BilldeBlasio - remains critical that drivers stay off the streets. This is an emergency. Roads must be clear.</t>
  </si>
  <si>
    <t>RT @NYCMayorsOffice: Live now @ https://t.co/UoTc6dwjd5 ...
Mayor @BilldeBlasio again expressing gratitude for hard work of @NYCSanitation…</t>
  </si>
  <si>
    <t>RT @NWSNewYorkNY: 4:57pm: Radar indicates mod to heavy snow continuing through the eve. 1-2" /hour with poss 3" per in heaviest snow. https…</t>
  </si>
  <si>
    <t>RT @NYCMayorsOffice: Mayor @BilldeBlasio will issue a #blizzard2016 update from @nycoem at approximately 5pm.</t>
  </si>
  <si>
    <t>RT @SouthHarlemCERT: @SouthHarlemCERT member Evelyn Ferguson measures snow #Harlem @nycoem @NWSNewYorkNY #NYCCERT https://t.co/vWv12NNGtP</t>
  </si>
  <si>
    <t>Call 911 for medical emergencies during the travel ban. Do not attempt to travel to the hospital on your own. #SafeNYC</t>
  </si>
  <si>
    <t>RT @NotifyNYC: Due to severe weather, buses operating out of PANYNJ are suspended at 3:30PM, terminal will close at 4PM.</t>
  </si>
  <si>
    <t>RT @NotifyNYC: .@FDNY Snow covered hydrants may cause dangerous &amp;amp; potentially deadly conditions. FDNY is asking residents to clear snow fro…</t>
  </si>
  <si>
    <t>RT @NotifyNYC: Due to weather, all LIRR, Metro-North, and elevated subway lines are suspended as of 4PM. For more info: https://t.co/cj5MRm…</t>
  </si>
  <si>
    <t>RT @NotifyNYC: .@Eastriverferry Due to inclement weather conditions, the East River Ferry service is suspended until further notice.</t>
  </si>
  <si>
    <t>For latest on #blizzard2016 NYC, official handles to follow:
@NotifyNYC 
@NYCSanitation 
@nycoem
@FDNY 
@NYCMayorsOffice 
@NYPDnews</t>
  </si>
  <si>
    <t>#SafeNYC  Winter weather: All non-emergency vehicles throughout NYC must be off the roads by 2:30PM &amp;amp; until further notice #alert</t>
  </si>
  <si>
    <t>RT @NotifyNYC: #SafeNYC  Winter weather: All non-emergency vehicles throughout NYC must be off the roads by 2:30PM &amp;amp; until further notice #…</t>
  </si>
  <si>
    <t>RT @BilldeBlasio: All #Broadway matinee and evening shows today are cancelled.</t>
  </si>
  <si>
    <t>RT @BilldeBlasio: *TRAVEL BAN*
Non-emergency travel in New York City is banned after 2:30PM today. https://t.co/0dBjjVRThS</t>
  </si>
  <si>
    <t>RT @NWSNewYorkNY: Updated snow totals from around the region: https://t.co/WfJbAeJoMW</t>
  </si>
  <si>
    <t>RT @NotifyNYC: Due to inclement weather conditions, the Rockaway Park Shuttle service in Queens is suspended. Consider alternate routes.</t>
  </si>
  <si>
    <t>RT @NotifyNYC: .@NYC_DOT @NYCASP Alternate Side Parking rules suspended 1/25. Meters in effect. Info https://t.co/xLPtSTFQwr. ASL https://t…</t>
  </si>
  <si>
    <t>RT @NWSNewYorkNY: 11:05a: We updated our snowfall forecast for this #WinterStorm. Heavy snow bands continue to develop through the day http…</t>
  </si>
  <si>
    <t>RT @NotifyNYC: Due to severe weather, there is no MTA bus or Access-A-Ride service effective 12PM until further notice. Info: https://t.co/…</t>
  </si>
  <si>
    <t>RT @NYGovCuomo: .@MTA is suspending all NYC bus service beginning at Noon this morning. Go to https://t.co/TacCnDFyNi for real-time info &amp;amp; …</t>
  </si>
  <si>
    <t>RT @NWSNewYorkNY: Here is a few storm total snow accumulations. Please send any other reports you have https://t.co/2E4jl1THTh</t>
  </si>
  <si>
    <t>RT @NWSNewYorkNY: 8:32a: 2 to 3 inch per hour snowfall rates are occurring in the heaviest snow. Travel is not advised as blizzard conditio…</t>
  </si>
  <si>
    <t>RT @NWSNewYorkNY: Central Park snowfall as of 7am for this event was 6.0 inches. Heavy snow and blizzard conditions continue in NE NJ, NYC,…</t>
  </si>
  <si>
    <t>RT @NWSNewYorkNY: Here is our new storm total snow forecast! https://t.co/9pu1FrFFdq</t>
  </si>
  <si>
    <t>RT @NotifyNYC: Due to the weather, Seastreak Ferry service is suspended on Saturday, January 23. Info: https://t.co/KnXGyEFqub.</t>
  </si>
  <si>
    <t>RT @NYCSchools: CHAMPS competitions, DREAM SHSI, Saturday Academies and Urban Ambassadors will be cancelled this weekend. #Blizzard2016 [3/…</t>
  </si>
  <si>
    <t>RT @NYCSchools: G&amp;amp;T Testing, SAT administration, MS Applicant Interviews and PSAL will be cancelled this weekend. #Blizzard2016 [2/3]</t>
  </si>
  <si>
    <t>RT @NYCSchools: *IMPORTANT INFORMATION* ALL school programs are closed for Saturday 1/23 &amp;amp; Sunday 1/24 due to the weather. #Blizzard2016 [1…</t>
  </si>
  <si>
    <t>RT @NYCService: #WinterStormJonas is approaching NYC. Serve as a volunteer snow shoveler in your community after the storm hits: https://t.…</t>
  </si>
  <si>
    <t>RT @NWSNewYorkNY: Here is the updated snowfall forecast! The timing has been moved up with the snow beginning earlier. #Winterstorm https:/…</t>
  </si>
  <si>
    <t>RT @nycgob: El alcalde @BilldeBlasio declara emergencia por tormenta de nieve: https://t.co/I96KOH0sTb #nevadaNYC</t>
  </si>
  <si>
    <t>RT @NotifyNYC: Mayor De Blasio declares Winter Weather Emergency as of 8:00AM 1/23 for 12-18" snow &amp;amp; wind 25 - 30 mph with gusts up to 50 m…</t>
  </si>
  <si>
    <t>RT @NYCWater: DEP is opening hydrants in the area to flush the system, should clear up shortly.</t>
  </si>
  <si>
    <t>RT @NYCWater: Water main shut down in upper Manhattan due to emergency maintenance. The water is safe. Report discolored water to 311.</t>
  </si>
  <si>
    <t>Learn more about how severe weather emergencies are affecting New York City. Visit https://t.co/kLUimeSGuN for updates.</t>
  </si>
  <si>
    <t>Mayor @BilldeBlasio Issues Winter Weather Emergency Declaration: https://t.co/TELqJsmvIJ</t>
  </si>
  <si>
    <t>RT @nycgob: EN VIVO: El alcalde @BilldeBlasio encabeza rueda de prensa desde la oficina central de @nycoem. Véalo ahora en: https://t.co/2d…</t>
  </si>
  <si>
    <t>RT @NYCMayorsOffice: Starting soon, Mayor @BilldeBlasio will give an update on winter weather conditions. Watch live on https://t.co/10woid…</t>
  </si>
  <si>
    <t>Be winter ready and #SafeNYC. Check out @nycoem's tips on how to prepare: https://t.co/jFGG3Es1ZO</t>
  </si>
  <si>
    <t>RT @NYC_DOT: Our crews are preparing for #WinterStormJonas:
Attaching plows ✅
Chains on tires ✅
Inspecting Generators ✅ https://t.co/FqaAt7…</t>
  </si>
  <si>
    <t>RT @JoeEspoNYC: In the @nycoem Situation Room, @NWSNewYorkNY meteorologist Bill is providing NYC agencies w/ storm forecast updates. https:…</t>
  </si>
  <si>
    <t>RT @Amtrak: #Amtrak modifies service in the Northeast in preparation for the predicted winter storm: https://t.co/owMlxaeYpn. https://t.co/…</t>
  </si>
  <si>
    <t>RT @NWSNewYorkNY: A Blizzard Warning, Winter Storm Warning and a Winter Storm Watch are in effect starting Saturday morning. https://t.co/n…</t>
  </si>
  <si>
    <t>RT @NYPDauxiliary: Our .@nycoem intern, Shannon, making us proud, instructing the Aux regarding their role in disaster preparedness https:/…</t>
  </si>
  <si>
    <t>RT @NotifyNYC: .@NWSNewYorkNY Coastal Flood Watches: MN, South QN, BK &amp;amp; SI, 6PM-11PM 1/23. BX &amp;amp; North QN, 10PM 1/23 - 1 AM 1/24. https://t.…</t>
  </si>
  <si>
    <t>RT @NYCSanitation: Register to be a paid DSNY Emergency Snow Laborer &amp;amp; help clear snow/ice after big storms. https://t.co/j0NQDq5Zby https:…</t>
  </si>
  <si>
    <t>RT @NotifyNYC: .@NYC_DOT @NYCASP Alternate Side Parking rules suspended 1/23. Meters in effect. Info https://t.co/xLPtSTFQwr. ASL https://t…</t>
  </si>
  <si>
    <t>RT @NWSNewYorkNY: Latest briefing package on the potential major winter storm Sat. through Sun. https://t.co/oKooRS1cTf  #Winterstorm https…</t>
  </si>
  <si>
    <t>Prepare for winter weather by staying informed. Get free alerts from @NotifyNYC: https://t.co/GG33dFm8JN /@nyc311 https://t.co/jhnw7DmueZ</t>
  </si>
  <si>
    <t>Prepare for winter weather by staying informed. Get free alerts from @NotifyNYC: https://t.co/E1TgtDcP36 @nyc311. https://t.co/Zu8G0HojMb</t>
  </si>
  <si>
    <t>RT @NotifyNYC: Hazardous Travel Advisory for NYC 1/23 - 1/24 with a total snow accumulation of 8-12". 
ASL- https://t.co/r34L2SyVoX</t>
  </si>
  <si>
    <t>No espere. Comuníquese. Haga su plan de emergencia hoy. https://t.co/jd6EYYLXHU</t>
  </si>
  <si>
    <t>When it comes to making your emergency plan, don't wait. Communicate. https://t.co/rCVckLnKx4</t>
  </si>
  <si>
    <t>RT @NWSNewYorkNY: Winter Storm Watch and a Blizzard Watch in effect from Saturday Morning through Sunday Afternoon for some areas. https://…</t>
  </si>
  <si>
    <t>Want more tips on how to freeze out winter weather? Check out @nycoem's website: https://t.co/Ds0iNieFID https://t.co/jW116Nzaze</t>
  </si>
  <si>
    <t>Regardless of the season, you should have an emergency plan. Make yours with Ready NYC: https://t.co/g2MNtWcwAY https://t.co/EVj5HPebch</t>
  </si>
  <si>
    <t>.@nycoem and the @nyislanders have teamed up to remind New Yorkers to be winter ready: https://t.co/3eHEtqC6Xk</t>
  </si>
  <si>
    <t>Hi, @caraparks. You can contact the CERT program directly at 718-422-8585 or email cert[at]https://t.co/KHWxFExnVD.</t>
  </si>
  <si>
    <t>Download the Ready NYC app to make your plan on the go. Use a smartphone or tablet! https://t.co/g2MNtWcwAY https://t.co/wq5thNiNVb</t>
  </si>
  <si>
    <t>RT @NYC_Buildings: NYC Buildings has issued a wind advisory for today and in effect throughout the evening. https://t.co/AGSf9Td5GK</t>
  </si>
  <si>
    <t>Is your car ready for winter? Make sure you have these items checked: https://t.co/V65OpJxR3H https://t.co/SeemJ8L0yh</t>
  </si>
  <si>
    <t>RT @NWSNewYorkNY: Wind chills are expected to be quite low overnight and into Tuesday morning. Stay warm! https://t.co/qyXWTgXCf4</t>
  </si>
  <si>
    <t>Honor Martin Luther King, Jr.'s memory by volunteering with @NYCService: https://t.co/soyFlNA7kf #MLKDayNYC https://t.co/0egL7Eff6T</t>
  </si>
  <si>
    <t>RT @nyc311: .@NYCASP suspended tmrw for Martin Luther King Jr. Day. Meters remain in effect. Download 311 app for updates: https://t.co/4JD…</t>
  </si>
  <si>
    <t>RT @NYCSanitation: DSNY issues 'snow alert' for 12:01 a.m.  Monday, 1/18 for possible snow/ice conditions.  Salt spreaders will be ready. D…</t>
  </si>
  <si>
    <t>Ready Girl got to spend her day at @FDNY with @HotDogFDNY &amp;amp; @SirenFDNY. Tune in to her blog next week for more! https://t.co/kW7Szdlpiy</t>
  </si>
  <si>
    <t>On your lunch break? Enter for your chance to win a Go Bag! Take this month's Ready New York quiz: https://t.co/04ZoJmrNHv #ReadyNewYork</t>
  </si>
  <si>
    <t>NYC CERT wants you to help your community! Enroll in the next training cycle: https://t.co/B74xbq9m1k #NYCCERT https://t.co/vbJ4Dy1XJE</t>
  </si>
  <si>
    <t>RT @NYCDHS: Help us make sure we have 3,000 New Yorkers counting on January 25. Visit https://t.co/5UCyO1WJ4P today. #HOPE2016 https://t.co…</t>
  </si>
  <si>
    <t>RT @NHC_Atlantic: #Alex is the first January #hurricane to form since 1938 and the first to occur in this month since Alice of 1955. https:…</t>
  </si>
  <si>
    <t>Great meeting yesterday with the Hurricane Sandy Charitable Organizations and Houses of Worship Recovery Taskforce. https://t.co/pSEuW0cAPC</t>
  </si>
  <si>
    <t>In the spirit of the #OscarNoms, nominate a friend or family member outside of NYC to be your out-of-area contact! https://t.co/xRDKXSlrUS</t>
  </si>
  <si>
    <t>RT @NWSNewYorkNY: Numerous snow showers currently moving through the area. Watch for slick spots and low visibilities on roadways. https://…</t>
  </si>
  <si>
    <t>RT @NYCDHS: Want to help chronic street homeless individuals in #NYC move to a safe environment? Volunteer for #HOPE2016 https://t.co/IVQld…</t>
  </si>
  <si>
    <t>RT @FDNY: Carbon monoxide is a silent killer, undetectable by human senses. #GetAlarmedNYC w/ @redcrossny &amp;amp; free smoke/CO alarms by calling…</t>
  </si>
  <si>
    <t>Making plans to be in Brooklyn? Request a tour of the City's post-disaster housing model: https://t.co/WYSqyuKpeg. https://t.co/HEesTz413q</t>
  </si>
  <si>
    <t>RT @nyc311: When temps drop outside, heat should be on inside. Report no heat w/ free #NYC311 App: https://t.co/4JDKq5BCFY https://t.co/7XU…</t>
  </si>
  <si>
    <t>RT @NotifyNYC: .@NWSNewYorkNY has issued a Wind Advisory from 8PM tonight until 1PM tomorrow, 1/13. For updates: https://t.co/t918yhlx8z.</t>
  </si>
  <si>
    <t>NYC Emergency Management is accepting applications for its 2016 spring internship program! https://t.co/gr75DPTt9p https://t.co/8YJPfeTBEn</t>
  </si>
  <si>
    <t>RT @NWSNewYorkNY: Don't be fooled by the sun! Showers and snow showers are on their way, though little snow accumulation is expected. https…</t>
  </si>
  <si>
    <t>RT @IDNYC: 1 in 10 New Yorkers enrolled for IDNYC in our 1st year! What are you waiting for? https://t.co/LEuVleNARy https://t.co/9JqA76WNn7</t>
  </si>
  <si>
    <t>Donate your space to help make NYC communities safer, stronger, and better prepared: https://t.co/e7AyTbXkfJ</t>
  </si>
  <si>
    <t>RT @NWSNewYorkNY: Do you remember the January 11-12, 2011 Snowstorm?  
Click this link for more information. https://t.co/bgwKe0G6jX https:…</t>
  </si>
  <si>
    <t>RT @NYCSanitation: Snow Alert issued for 1/12 @ 4p. Alert indicates poss. winter precip &amp;amp; allows prep work INFO https://t.co/33l3GOIMyd htt…</t>
  </si>
  <si>
    <t>Help @NYCDHS with its annual Homeless Outreach Population Estimate. Register to join: https://t.co/620W45PcnN #HOPECount</t>
  </si>
  <si>
    <t>Keep your New Year's resolution to be prepared. Get the Resolve to Be Ready calendar: https://t.co/sCcXzP64w6 https://t.co/Ui3vYYXJ25</t>
  </si>
  <si>
    <t>Interested in local disaster preparedness? NYC Citizen Corps is open to anyone! https://t.co/SXpWRadn3d https://t.co/1Y7UUasKcm</t>
  </si>
  <si>
    <t>#FlashbackFriday: watch the Urban Post-Disaster Housing Prototype being built next door to @nycoem HQ: https://t.co/qrgLtjAuiY</t>
  </si>
  <si>
    <t>RT @JoeEspoNYC: Great to have young adults engaged in emergency preparedness at tonight's @nycoem Youth Leadership Council meeting. https:/…</t>
  </si>
  <si>
    <t>#NYCCERT members honored for aiding Borough Park community after 10/2015 building explosion: https://t.co/wgS0UcVX3j https://t.co/uT0l9eouA7</t>
  </si>
  <si>
    <t>A new month = a new chance to win a Go Bag. Take this month's Ready New York quiz! https://t.co/04ZoJmrNHv https://t.co/dRvCQnLdxC</t>
  </si>
  <si>
    <t>#ResolveToBeReady. Make your emergency plan today: https://t.co/rCVckLnKx4</t>
  </si>
  <si>
    <t>RT @NotifyNYC: Controlled fire &amp;amp; disaster drill @ Cadman Plaza E &amp;amp; Red Cross Pl, BK @ 6:30PM on 1/7. @FDNY @NYPDnews on site. https://t.co/…</t>
  </si>
  <si>
    <t>RT @JoeEspoNYC: Had the honor of pinning @USMC Major Shim (also an @nycoem planner) with gold oak leaves during his promotion today. https:…</t>
  </si>
  <si>
    <t>Are you winter ready? Get tips on how to prepare, including ways to stay healthy &amp;amp; safe: https://t.co/Ds0iNieFID. https://t.co/Z53UFuUpCh</t>
  </si>
  <si>
    <t>RT @NWSNewYorkNY: 20 years ago today, The Blizzard of 1996 was underway along the East Coast. https://t.co/WfSHvMWZff</t>
  </si>
  <si>
    <t>#ResolveToBeReady by staying informed. Get free alerts from @NotifyNYC: https://t.co/GG33dFm8JN. https://t.co/b0A1aSnUvH</t>
  </si>
  <si>
    <t>RT @NWSNewYorkNY: One more very cold night before temperatures recover through the mid week. #ColdWeather https://t.co/23PkYWI6iG</t>
  </si>
  <si>
    <t>RT @NotifyNYC: Controlled fire &amp;amp; disaster drill @ Kings Plaza Community CTR, BK @ 6:30PM on 1/6. @FDNY &amp;amp; @NYPDnews will be on site. https:/…</t>
  </si>
  <si>
    <t>MT @ConEdison: There's no doubt about it, #winter is here. Check out #heating tips: https://t.co/FFjCjXjBnF https://t.co/0hxYOZS5SD</t>
  </si>
  <si>
    <t>It's important to be prepared for winter weather. Learn what to do "when the sky turns gray": https://t.co/BbQlkAR0dK (via @fema)</t>
  </si>
  <si>
    <t>RT @FDNY: Be #FDNYSmart - NEVER use your oven/stove to heat your home. Use appliances only for their intended purposes.</t>
  </si>
  <si>
    <t>RT @nyc311: Want to request homeless outreach support for a NYer in need? Use free #NYC311 app or call us at 311: https://t.co/skvEd62iYq</t>
  </si>
  <si>
    <t>It's important to prepare for winter weather-related dangers. Get safety tips from @nycoem: https://t.co/2JWEYnPRB5. https://t.co/tFyQRYPOSK</t>
  </si>
  <si>
    <t>Today's a chilly reminder that winter is here, and to check your emergency supplies this season. https://t.co/np8B40dN4W</t>
  </si>
  <si>
    <t>RT @NWSNewYorkNY: A teeth chattering wind chill to greet you as you step outdoors this morning. https://t.co/6gfSNlXJ3S</t>
  </si>
  <si>
    <t>RT @NotifyNYC: Controlled fire &amp;amp; disaster drill at York College, QN @ 6:30PM on 1/5. @FDNY &amp;amp; @NYPDnews will be present. https://t.co/AosZFn…</t>
  </si>
  <si>
    <t>RT @SacramentoOES: New Year's #fitness #resolution? Your gym bag doubles as a #disaster bag! #MondayMotivation https://t.co/bz7PmAE3uq</t>
  </si>
  <si>
    <t>Time is on your side. Get simple emergency preparedness tips through 2016: https://t.co/sCcXzP64w6 #ResolveToBeReady https://t.co/YZVDVTud1L</t>
  </si>
  <si>
    <t>NYC CERTs rang in 2016 supporting events like the New Year's Day Coney Island Polar Bear Plunge (pictured). #NYCCERT https://t.co/7fJDzQDygY</t>
  </si>
  <si>
    <t>RT @nyc311: It's #HeatSeason. Report no heat/hot water online:https://t.co/wVq7MQ1MTr or w/311 App: https://t.co/4JDKq5BCFY https://t.co/uN…</t>
  </si>
  <si>
    <t>One year. One calendar. One resolution. Get the Resolve to Be Ready calendar: https://t.co/sCcXzP64w6 https://t.co/n2UZqFrcQh</t>
  </si>
  <si>
    <t>Wishing all New Yorkers and our partners a safe, prosperous and Happy New Year! https://t.co/SEYACpRuNL</t>
  </si>
  <si>
    <t>RT @NYCDisabilities: As promised, our Commissioner @NYCCalise getting pie'd in the face.Thank you everyone! 
Happy New Year! Youtube link h…</t>
  </si>
  <si>
    <t>RT @NWSNewYorkNY: Another look at December warmth - all 6 climate sites set new records for the total number of 60 degree days in Dec! http…</t>
  </si>
  <si>
    <t>RT @NotifyNYC: #NewYearsEve: There will be a #fireworks display at midnight tomorrow, 12/31, on the 17th Street Pier, Coney Island, Brookly…</t>
  </si>
  <si>
    <t>RT @NotifyNYC: A #fireworks display is scheduled to take place at midnight on 12/31 at the Central Park Cherry Hill fountain.</t>
  </si>
  <si>
    <t>RT @NotifyNYC: A #fireworks display is scheduled to take place on 12/31, at midnight, on a barge in the water near Liberty Island.</t>
  </si>
  <si>
    <t>NYC Emergency Management is accepting applications for its 2016 spring internship program. https://t.co/gr75DPTt9p https://t.co/aqccjECqUB</t>
  </si>
  <si>
    <t>RT @NWS: Recently received a Wireless Emergency Alert?  Learn more https://t.co/3m4xgHHdHU #wintersafety</t>
  </si>
  <si>
    <t>Your community space could help NYC's emergency operations or be used for community outreach events. Learn more at https://t.co/e7AyTbXkfJ.</t>
  </si>
  <si>
    <t>Get @nycoem’s Resolve to Be Ready calendar for tips on how to be prepared for an emergency: https://t.co/sCcXzP64w6. https://t.co/bVKHuiS3MZ</t>
  </si>
  <si>
    <t>Snow may have missed NYC, but it's important to make sure you're winter ready! Tips: https://t.co/Ds0iNieFID.</t>
  </si>
  <si>
    <t>It's been quite a year for #SolomonFellowship alumni. Find out what they're up to: https://t.co/Z6eKlmDVuP https://t.co/HMRpGtuPIS</t>
  </si>
  <si>
    <t>Make 2016 a year of preparedness. Get @nycoem's Resolve to Be Ready calendar: https://t.co/sCcXzP64w6 https://t.co/ajF9d8b2y5</t>
  </si>
  <si>
    <t>RT @NYCSanitation: DSNY issues Snow Alert for 8p tonight to prepare equipment/personnel for poss. storm. More: https://t.co/1GLraIHDia http…</t>
  </si>
  <si>
    <t>It's cooler out today, but NYC is better off than it was in 1947: a blizzard with a record 26.4 inches of snow! https://t.co/ihpNqW4GYN</t>
  </si>
  <si>
    <t>RT @NWSNewYorkNY: Interior areas could see an accumulating wintry mix late Monday night into Tuesday morning. Stay tuned for updates https:…</t>
  </si>
  <si>
    <t>NYC Emergency Management wishes New Yorkers celebrating Kwanzaa a safe and happy holiday.</t>
  </si>
  <si>
    <t>NYC Emergency Management wishes New Yorkers a safe and Merry Christmas. https://t.co/VtboKwFuCH</t>
  </si>
  <si>
    <t>Missed the fall NYC CERT training cycle? Don't worry; 2016 recruitment has begun! https://t.co/B74xbq9m1k #NYCCERT https://t.co/jrFHKmi3QL</t>
  </si>
  <si>
    <t>RT @nyc311: REMINDER: #NYCASP is suspended tmrw for Christmas Day. Follow @NYCASP or download 311 app for daily updates: https://t.co/iMMUZ…</t>
  </si>
  <si>
    <t>RT @nyc311: .@NYCSchools are closed for Winter Recess today, through Sun 1/3/16. See full public schools calendar here: https://t.co/myV0r4…</t>
  </si>
  <si>
    <t>RT @Readygov: Need a #lastminutegift idea? Grab a pet preparedness kit for your fav' furry friend 🐶🐱https://t.co/BfhD6Pz4VG https://t.co/ej…</t>
  </si>
  <si>
    <t>RT @FDNY: Candle fires peak on #ChristmasEve. Celebrate safely this holiday season with these #FDNYSmart tips https://t.co/i8IBrBIZhh</t>
  </si>
  <si>
    <t>Get notified about transit &amp;amp; traffic disruptions (&amp;amp; more) from @NotifyNYC: https://t.co/GG33dFm8JN. https://t.co/kqJdQP5FQE</t>
  </si>
  <si>
    <t>RT @NYCDHS: HOPE is a citywide volunteer effort to count the chronically homeless across the five boroughs. Join us! #HOPE2016 https://t.co…</t>
  </si>
  <si>
    <t>RT @NWSNewYorkNY: More rain is on the way as another batch of precipitation approaches from the southwest. https://t.co/7AXn5Bg86a</t>
  </si>
  <si>
    <t>MT @nycdisabilities: Sneak peek at our 2016 video campaign featuring professionals with #disabilities: https://t.co/GcDdOSLBAt</t>
  </si>
  <si>
    <t>Follow @NYCDisabilities for content on #accessibility #disability &amp;amp; #inclusion.</t>
  </si>
  <si>
    <t>RT @FDNY: Learning to be #FDNYSmart can be the difference between a happy &amp;amp; safe holiday or a holiday tragedy. Tips: https://t.co/uqlISZjZmm</t>
  </si>
  <si>
    <t>Traveling by car for the holidays? It's a good idea to prepare for an in-car emergency: https://t.co/V65OpJPssh https://t.co/t9oStIkX1W</t>
  </si>
  <si>
    <t>Mild temperatures may make you say, "bah, humbug," to preparing for winter, but here are some tips, just in case: https://t.co/Ds0iNieFID.</t>
  </si>
  <si>
    <t>Ready Girl reminds New York City kids to be safe this holiday season: https://t.co/M7GUQiANyU</t>
  </si>
  <si>
    <t>RT @NotifyNYC: Controlled fire &amp;amp; disaster drill @ Stein Center on E 23rd St, MN @ 6:30PM on 12/22. @FDNY / @NYPDnews on site. https://t.co/…</t>
  </si>
  <si>
    <t>Keep in touch with out-of-town friends &amp;amp; family this holiday season. You can call on them during an emergency, too. https://t.co/FnVtatXNTw</t>
  </si>
  <si>
    <t>RT @NWSNewYorkNY: Despite a warm forecast for this week, winter does officially begin tonight! #WinterSolstice https://t.co/W3843Z3fhN</t>
  </si>
  <si>
    <t>More than 350K New Yorkers are informed about emergencies. Join them: https://t.co/GG33dFm8JN or follow @NotifyNYC. https://t.co/u7aSnBlBRI</t>
  </si>
  <si>
    <t>RT @NWSNewYorkNY: In 2009, this is what our office looked like. A blizzard brought 26.3" of snow on 12/19-20. https://t.co/93biurP0u7 https…</t>
  </si>
  <si>
    <t>Watch the smile on your loved one's face as they receive the gift of preparedness this holiday season with a Go Bag: https://t.co/HjH2fUsEYg</t>
  </si>
  <si>
    <t>It may be hard to store a light sabre in your emergency supplies, but a flashlight is a great item to have on hand. https://t.co/vhXLMMdAl5</t>
  </si>
  <si>
    <t>No Jedi mind trick will save you from a disaster. Get your emergency plan in place and stay on the safe side. https://t.co/D4cSzm4lAb</t>
  </si>
  <si>
    <t>RT @FDNY: Be #FDNYSmart, don’t use candles or flaming devices on or near your #Christmas tree https://t.co/vHm4bqHcgs</t>
  </si>
  <si>
    <t>RT @JoeEspoNYC: Great exercise this morning with NYC agencies and CERT volunteers in the EOC working through a mock winter storm. https://t…</t>
  </si>
  <si>
    <t>RT @ConEdison: Smell. See. Hear. Know the signs of a gas leak: https://t.co/Uo7foPyVHw</t>
  </si>
  <si>
    <t>NYC CERT trainees in Kings Plaza are putting their skills to the test! #NYCCERT https://t.co/7fKF8t6Uk6</t>
  </si>
  <si>
    <t>Make your list &amp;amp; check it twice! Do you have the right emergency supplies on hand? Find out: https://t.co/tZRwSSSPLW https://t.co/oCB2dNPTGr</t>
  </si>
  <si>
    <t>12/15/14: @NotifyNYC debuts notifications in sign language video format: https://t.co/htzdtdIgUJ #thisdayinhistory https://t.co/RwGAAChjv4</t>
  </si>
  <si>
    <t>RT @NotifyNYC: Controlled fire &amp;amp; disaster drill @ Floyd Bennett Field, BK @ 6:30PM on 12/16. FDNY &amp;amp; NYPD will be on site. https://t.co/AosZ…</t>
  </si>
  <si>
    <t>RT @joeesponyc: Hosting #IAEMThinkTank about emergency alert messaging from @nycoem's Situation Room this afternoon. https://t.co/r8gJg8Q4at</t>
  </si>
  <si>
    <t>Don't miss @nycoem's Henry Jackson &amp;amp; Ben Krakauer in today's @IAEM Think Tank today at 12 PM EST! https://t.co/LybATBxfhJ #IAEMThinkTank</t>
  </si>
  <si>
    <t>MT @fema: Emergency mgrs: join us today for a public alert system talk. cc @T_E_M_A @fairfaxcounty @nycoem https://t.co/8JoqaAlW18</t>
  </si>
  <si>
    <t>NYC Citizen Corps' kicked off its Council for Youth and Preparedness this past week! https://t.co/KNZTwgCIrL https://t.co/Ykj5bnVBal</t>
  </si>
  <si>
    <t>NYC Citizen Corps' kicked off its Council for Youth and Preparedness this past week! https://t.co/KNZTwgCIrL https://t.co/bvd2svdMlt</t>
  </si>
  <si>
    <t>RT @FDNY: Some lights are meant for indoor or outdoor use only. Be #FDNYSmart when holiday decorating &amp;amp; use lights properly https://t.co/1Z…</t>
  </si>
  <si>
    <t>Last winter, NYC had plenty of snow &amp;amp; ice. Help your city this season by becoming a @NYCSanitation snow laborer: https://t.co/jqXRnF7HL9</t>
  </si>
  <si>
    <t>RT @nycHealthy: Public health preparedness matters in emergencies. Learn more about how we keep NYers safe: https://t.co/Q6wdMvjlPz https:/…</t>
  </si>
  <si>
    <t>.@nycdhs is conducting its annual Homeless Outreach Population Estimate (HOPE) Count on 1/25/16. Volunteer today: https://t.co/620W45PcnN</t>
  </si>
  <si>
    <t>4 years ago this week, @NotifyNYC was used to test the Wireless Emergency Alert (WEA) system. Learn more about WEAs: https://t.co/AIbTYONtH1</t>
  </si>
  <si>
    <t>RT @nwsnewyorkny: There's a dense fog advisory for our area this morning; drive carefully! https://t.co/aJNYkfz5WN</t>
  </si>
  <si>
    <t>RT @NWSNewYorkNY: 7 AM temperatures. Another mild one, with a chance of breaking records once again today. https://t.co/9kmhpyZvDo</t>
  </si>
  <si>
    <t>Thank you for having us! https://t.co/9L1IwgzZNV</t>
  </si>
  <si>
    <t>Want a look inside the City's post-disaster housing model? Request a group tour: https://t.co/LsIgwB1vXj #WhatIfNYC https://t.co/5ilTkSojRX</t>
  </si>
  <si>
    <t>Explore @nycoem’s training, drills &amp;amp; exercises from 2002 through today: https://t.co/LeROw5NScG #FlashbackFriday https://t.co/UvUxPoPGUr</t>
  </si>
  <si>
    <t>RT @Birdie_NYC: I took some steps to keep my nest comfy and cozy all winter long. You can too #StayCozyNYC https://t.co/HtklKDVWnj https://…</t>
  </si>
  <si>
    <t>RT @NYCHealthSystem: Great #health care has a new look! #healthiestlife https://t.co/UYN7osG0jd</t>
  </si>
  <si>
    <t>The original @NotifyNYC PSA: https://t.co/IUa4N8492X #ThrowbackThursday #NotifyNYC #GetNotified</t>
  </si>
  <si>
    <t>Have you signed up for @NotifyNYC yet? It's easy: visit https://t.co/GG33dFm8JN or call @nyc311. #NotifyNYC #GetNotified</t>
  </si>
  <si>
    <t>.@NotifyNYC also offers alerts in ASL video format. Check out the videos on @YouTube: https://t.co/htzdtdIgUJ #NotifyNYC #GetNotified</t>
  </si>
  <si>
    <t>.@NotifyNYC offers New Yorkers more ways to receive information than ever before: https://t.co/JvZfuMhXJF. #NotifyNYC #GetNotified</t>
  </si>
  <si>
    <t>Happy birthday, @NotifyNYC! Thank you for keeping the public informed. https://t.co/NAvEM56or7</t>
  </si>
  <si>
    <t>Prepare for winter's arrival by having a plan. Get started with the Ready NYC app: https://t.co/wSpCx8s03g https://t.co/eYadVtudiG</t>
  </si>
  <si>
    <t>Winter's official start is less than two weeks away. Temperatures may be mild now, but make sure you're prepared: https://t.co/Ds0iNieFID</t>
  </si>
  <si>
    <t>RT @NWSNewYorkNY: For much of our area the historical probability of a White Christmas can range from 11 to 25%, to 26 to 40%. https://t.co…</t>
  </si>
  <si>
    <t>RT @NWSNewYorkNY: Good afternoon! We have above average temperatures continuing through the week. No cold/snow in our immediate future http…</t>
  </si>
  <si>
    <t>Ready Girl shares how she is giving back this holiday season: https://t.co/EqpWIDFTy5 https://t.co/SG14DEBIF7</t>
  </si>
  <si>
    <t>MT @notifynyc: NYC CERT controlled fire &amp;amp; disaster drill at York College, QN @ 6:30PM on 12/8. @FDNY &amp;amp; @NYPDAuxillary will be present.</t>
  </si>
  <si>
    <t>RT @JoeEspoNYC: Happy Hanukkah to all those celebrating! And thanks to Rabbi Melnick for joining us for today’s Menorah lighting. https://t…</t>
  </si>
  <si>
    <t>Using candles for religious/decorative purposes? Make sure you are being #FDNYSmart: https://t.co/IpB5QGrF4G @FDNY https://t.co/rCv12doUkC</t>
  </si>
  <si>
    <t>A preparedness myth we would like to extinguish: using candles for emergencies. Instead, use a flashlight! https://t.co/ngCyncn85Z</t>
  </si>
  <si>
    <t>NYC Emergency Management wishes New Yorkers a safe and Happy Hanukkah. https://t.co/uGAHJDX4Kz</t>
  </si>
  <si>
    <t>Preparedness is always in season. Request a Ready New York event for your community: https://t.co/KVsH1vPHG3. https://t.co/M3hxsNWb1J</t>
  </si>
  <si>
    <t>Help fellow New Yorkers in need by donating a coat to @newyorkcares' coat drive. Find a drop-off location near you: https://t.co/LIKLNA9Evg</t>
  </si>
  <si>
    <t>Best wishes, Lillian! We will miss you! https://t.co/JBNU2SzPVt</t>
  </si>
  <si>
    <t>Wrapping up the 2015 symposium with a recap from the discussion tracks. Thanks to all who joined. #NYCCitizenCorps https://t.co/iOmTbggF4V</t>
  </si>
  <si>
    <t>Participants of the 2015 symposium are now engaged in strategic table discussions. #NYCCitizenCorps https://t.co/Z3BqVJVRhD</t>
  </si>
  <si>
    <t>#NYCCitizenCorps coordinator, Elizabeth Angeles announces the transition to table discussions. #2015symposium https://t.co/skcXMWANzx</t>
  </si>
  <si>
    <t>Keynote speaker Ray DeNatale, goes in depth about turning dreams into a reality in communities through strong partnerships. #NYCCitizenCorps</t>
  </si>
  <si>
    <t>Keynote speaker Ray DeNatale, Independence Residences Inc., takes the podium. #NYCcitizencorps</t>
  </si>
  <si>
    <t>New strategies and discussion to support our communities at the 2015 Access and Functional Needs Symposium. https://t.co/eAQI1b4axr</t>
  </si>
  <si>
    <t>The City's #SolomonFellowship includes great mentors like Erich Giebelhaus of @NYChealthy: https://t.co/kVP7JwoXTb https://t.co/63FbzAwIFM</t>
  </si>
  <si>
    <t>RT @PrepareAthon: Putting up your #holiday tree? Be sure to keep it watered to prevent a home #fire. https://t.co/mWEqenP4Gx</t>
  </si>
  <si>
    <t>MT @JoeEspoNYC: Getting ready for #rockefellertreelighting w/ @nycoem's communications support vehicle nearby. https://t.co/DdcxblwRu3</t>
  </si>
  <si>
    <t>Decking the halls? Put energy savings and safety first. Check out these tips from @ConEdison: https://t.co/mTijhqnNDt</t>
  </si>
  <si>
    <t>RT @NWSNewYorkNY: The average temperature at JFK this past meteorological fall (Sept, Oct, Nov) has broke the record for warmest. Average t…</t>
  </si>
  <si>
    <t>RT @nyc311: Give to yourself &amp;amp; your City by spending the most valuable currency – your time w/@NYCService: https://t.co/gBEcPRkEOP  #Giving…</t>
  </si>
  <si>
    <t>One pint of donated blood can save up to three lives. Find a @NYBloodCenter blood drive near you: https://t.co/RJEWbzGXyi #GivingTuesday</t>
  </si>
  <si>
    <t>RT @NYCService: How do you give back? This #GivingTuesday share with us how you serve your community and help others! #GoodForNYC https://t…</t>
  </si>
  <si>
    <t>Have a Go Bag on your holiday wish list? Enter for a chance to win one! Take the Ready New Yorker of the Month quiz: https://t.co/04ZoJmrNHv</t>
  </si>
  <si>
    <t>This #GivingTuesday, consider giving back by making a donation. Get inspired with tips from @NYCMayorsFund: https://t.co/PWBKAYP0Lg</t>
  </si>
  <si>
    <t>RT @JoeEspoNYC: CERT members in training learned how to extinguish fires tonight in the Bronx with @FDNY, @NYPDnews, and, @nycoem https://t…</t>
  </si>
  <si>
    <t>RT @NWSNHC: NHC releases new Spanish-language storm surge video. No captions - https://t.co/n0e15DECHd Caption: https://t.co/hRnQm607fZ
#NH…</t>
  </si>
  <si>
    <t>Atlantic hurricane season ends today, but that shouldn’t stop you from being ready. #knowyourzone. Know what to do. https://t.co/PdCUNonNE6</t>
  </si>
  <si>
    <t>Only 1 day left to get your tickets to attend the NYC Citizen Corps' Access and Functional Needs Symposium on 12/3! https://t.co/xdwZZxCTJF</t>
  </si>
  <si>
    <t>RT @NotifyNYC: Controlled fire &amp;amp; disaster drill at Hostos College, 500 Grand Concourse, BX @ 6:30PM on 11/30. @FDNY @NYPDAuxillary https://…</t>
  </si>
  <si>
    <t>RT @NWSNewYorkNY: Some records were either tied or broken across the area today. Cooling down into the weekend. #warmweather https://t.co/u…</t>
  </si>
  <si>
    <t>RT @NYCMayorsOffice: Looking for a way to give back this holiday season? Find volunteer opportunities w/ @nycservice https://t.co/AQV5wW9ECS</t>
  </si>
  <si>
    <t>Forget #BlackFriday deals: the Ready NYC app is always free! Make your emergency plan: https://t.co/PmT8VWd0Fu https://t.co/JFJHZitH6Y</t>
  </si>
  <si>
    <t>NYC is #StormReady! Learn more about how the city is part of @NOAA's Weather-Ready Nation: https://t.co/SRXI6meNUi https://t.co/AyiYLlyv7J</t>
  </si>
  <si>
    <t>NYC Emergency Management wishes New Yorkers and their loved ones a safe and Happy Thanksgiving. https://t.co/tj51CEvIAP</t>
  </si>
  <si>
    <t>.@nycoem is supporting agency partners at the #MacysParade. #Thanksgiving https://t.co/Jsc0y3gWYN</t>
  </si>
  <si>
    <t>"We Are New York: The Storm" teaches English-language learners about emergency preparedness: https://t.co/Xp4iH6PzM4 (cc: @NYCImmigrants)</t>
  </si>
  <si>
    <t>RT @FDNY: Be #FDNYSmart this #Thanksgiving by keeping area around the stove clear of towels, pot holders, paper, anything that could burn</t>
  </si>
  <si>
    <t>RT @nyc311: Tomorrow is #Thanksgiving. @NYCSchools &amp;amp; gov’t offices are closed. @NYCASP, mail &amp;amp; garbage pickup are suspended: https://t.co/t…</t>
  </si>
  <si>
    <t>RT @NWSNewYorkNY: Whatever your plans are for the Thanksgiving holiday, the weather looks fantastic! https://t.co/jNSTcFoZWK</t>
  </si>
  <si>
    <t>.@stjohnsu students visited @nycoem today to tour NYC’s Emergency Operations Center &amp;amp; post-disaster housing model. https://t.co/ODzQMXGb5p</t>
  </si>
  <si>
    <t>Mark your calendars: NYC Citizen Corps' Access &amp;amp; Functional Needs Symposium will be held 12/3! Registration/info: https://t.co/xdwZZxCTJF</t>
  </si>
  <si>
    <t>RT @BrooklynLTRGrp: Community emergency planning in Bensonhurst/Gravesend. Partnership, planning and communication 👏🏾🎯 #preparedness https:…</t>
  </si>
  <si>
    <t>Picking up canned foods for #Thanksgiving? Get some extra for your emergency supply kit, and donate others to your local food pantry.</t>
  </si>
  <si>
    <t>RT @NYPDnews: There's NO known threat to NYC, but we need to remain alert. If you see something, say something. Report Suspicious Activity …</t>
  </si>
  <si>
    <t>RT @nycgov: New York City is looking out for your mental health. INTRODUCING #ThriveNYC, a Roadmap to Mental Health.
CLICK: https://t.co/a…</t>
  </si>
  <si>
    <t>.@nwsnewyorkny issues a Freeze Warning for all NYC (except Staten Island) for tonight at 10 PM until 7 AM Tuesday: https://t.co/f3GhoDNM8i</t>
  </si>
  <si>
    <t>This holiday season, consider helping others: make a financial contribution to agencies involved in disaster relief: https://t.co/kXpfkEB7rH</t>
  </si>
  <si>
    <t>2 PM webinar: @nycoem's Iskra Gencheva shares efforts to prepare NYC’s immigrant &amp;amp; LEP populations: https://t.co/o2U1wsyEfF</t>
  </si>
  <si>
    <t>RT @NWSNewYorkNY: Planning on traveling for Thanksgiving? Here is an early look at the forecast highs for some major cities for Thurs! http…</t>
  </si>
  <si>
    <t>RT @FDNY: Cooking fires are the leading cause of home fires &amp;amp; fire injuries. Be #FDNYSmart on #Thanksgiving w/ these tips https://t.co/pidC…</t>
  </si>
  <si>
    <t>RT @JoeEspoNYC: Supporting our partners @NYPDnews &amp;amp; @FDNY at this morning's active shooter drill. https://t.co/CHAPsfe2q8</t>
  </si>
  <si>
    <t>Ready Girl wants you to get the Ready NYC app: https://t.co/2rrdIUvCNT (via @WordPress)</t>
  </si>
  <si>
    <t>RT @notifynyc: Full Scale exercise #NYPD &amp;amp; #FDNY: Sunday, 11/22, 5:30AM-8:30AM at Bowery Station (MN). Increased emergency vehicles in area.</t>
  </si>
  <si>
    <t>RT @FDNY: #Thanksgiving is almost here! Keep kids safe while you're busy in the kitchen with these #FDNYSmart tips https://t.co/cdod3k6IJ9</t>
  </si>
  <si>
    <t>MT @nyc311: Heat in apts. is req’d 10/1-5/31 &amp;amp; hot water 365 days/year. Report no heat/hot water anytime: https://t.co/eqAqNOu8CD</t>
  </si>
  <si>
    <t>11/23 @fema webinar: find out how NYC prepares immigrant/Limited English Proficiency populations for emergencies: https://t.co/o2U1wsyEfF</t>
  </si>
  <si>
    <t>Learn how to protect your property from hazards with Ready New York: Reduce Your Risk guide: https://t.co/w3sjJnkbcD https://t.co/V88WWYlHKo</t>
  </si>
  <si>
    <t>RT @nycHealthy: If you can #quitsmoking for the #GreatAmericanSmokeout, you can quit for good. Resources: https://t.co/5cpTPbPJKA or call 8…</t>
  </si>
  <si>
    <t>Know the steps you can take to protect your property from hazards. Be prepared. Reduce your risk: https://t.co/ccG68NoE7U</t>
  </si>
  <si>
    <t>One year ago, @nycoem debuted NYC's Risk Landscape: A Guide to Hazard Mitigation with @nycplanning &amp;amp; @nycclimate: https://t.co/xuWdorl91o</t>
  </si>
  <si>
    <t>RT @NWSNewYorkNY: Rain on the way. Spreading into the southwest areas toward noon, then spreading northeast. https://t.co/NBa3Md2evt</t>
  </si>
  <si>
    <t>RT @nyc_dot: NYC #GridlockAlert begins Friday, November 20th. #HolidaysAreComing https://t.co/ymVEq3jpcJ</t>
  </si>
  <si>
    <t>RT @NotifyNYC: Controlled fire &amp;amp; disaster drill @ Cadman Plz E &amp;amp; Red Cross Pl, BK @ 6:30PM on 11/19. @FDNY @NYPDAuxillary on site. https://…</t>
  </si>
  <si>
    <t>.@nycgov's map gallery is designed to make living in NYC easier. Start exploring: https://t.co/TcHVM0uR4S #GISDay</t>
  </si>
  <si>
    <t>John D. Solomon Fellow Steve Solecki describes working at @redcrossny as "a dynamic experience": https://t.co/xHFRIf41oH #SolomonFellowship</t>
  </si>
  <si>
    <t>.@nycoem's GIS team played a key part in developing NYC's hurricane evacuation zones. #knowyourzone #GISDay https://t.co/xyNTp4rhYP</t>
  </si>
  <si>
    <t>Happy #GISDay! DYK? @nycoem relies on accurate geographic information for virtually all emergency response, planning operations &amp;amp; outreach.</t>
  </si>
  <si>
    <t>Thank you for your time and assistance today! We look forward to collaborating with you in the future. https://t.co/lNq8LOaxNp</t>
  </si>
  <si>
    <t>RT @JoeEspoNYC: In #Philly w/ coast-to-coast Big City Emergency Managers. Congrats to @nycoem's Sandra &amp;amp; Ben, Emerging Leader grads. https:…</t>
  </si>
  <si>
    <t>This season, don't let the flu knock you down. Fight back by arming yourself with smart habits from @nychealthy: https://t.co/kZ9i0qToeP</t>
  </si>
  <si>
    <t>Did you know? @nycoem is committed to creating the City’s next generation of emergency managers, working closely with @UASEM_NYC. #aew2015</t>
  </si>
  <si>
    <t>The Ready New York program educates New Yorkers about the importance of being prepared. Request an event: https://t.co/KVsH1vPHG3 #aew2015</t>
  </si>
  <si>
    <t>.@nycoem &amp;amp; partners join post-show chat at @EpicTheatr for Pike St, which focuses on family &amp;amp; disasters. #EpicPikeSt https://t.co/XlnRJXXb3p</t>
  </si>
  <si>
    <t>RT @FDNY: #GetAlarmedNYC w/ @redcrossny &amp;amp; FREE smoke/CO alarm giveaway &amp;amp; installation events. Find yours by calling @nyc311 https://t.co/Q8…</t>
  </si>
  <si>
    <t>Did you know? @nycoem &amp;amp; @nycschools co-created Ready Schools, part of the Ready New York for Kids program: https://t.co/9tndj3Qfmk #aew2015</t>
  </si>
  <si>
    <t>.@nychealthy provides tips and resources on how to cope after emergencies. Learn more: https://t.co/wtvWWa4NLA</t>
  </si>
  <si>
    <t>RT @NYCMayorsOffice: In solidarity with France, flags at city buildings will be at half-staff and starting tonight, City Hall tower will be…</t>
  </si>
  <si>
    <t>RT @BilldeBlasio: Heart is heavy with news from overseas. Along with all of NYC, @chirlane and I are holding you in our thoughts and prayer…</t>
  </si>
  <si>
    <t>Looking for Ready New York in your neighborhood? Check out the NYC calendar of events: https://t.co/E8ZtKyorjB https://t.co/wM4gmd7xy4</t>
  </si>
  <si>
    <t>#FlashbackFriday: two years ago today, @nycoem hosted a Radiological Dispersal Device Exercise in Coney Island: https://t.co/5FVrW2Huzk</t>
  </si>
  <si>
    <t>RT @CDCgov: This #WorldPneumoniaDay, learn what #pneumonia is; the symptoms, and how to prevent it. https://t.co/Q0xCWKh8ru</t>
  </si>
  <si>
    <t>The time to make a plan with your family is now. Don't wait. Communicate: https://t.co/rCVckLnKx4 (with @AdCouncil)</t>
  </si>
  <si>
    <t>RT @NWSNewYorkNY: More rain is on the way today...0.25" or less. Rain is already on our doorstep! https://t.co/DOUwmtg4Tp</t>
  </si>
  <si>
    <t>RT @NWSNewYorkNY: Coastal Flood Advisories are in effect for some coastal locations for the Thursday AM High Tide Cycle. https://t.co/DPwMU…</t>
  </si>
  <si>
    <t>Today and always, thank you to our veterans for your service. #VeteransDay https://t.co/KV6AUl45zf</t>
  </si>
  <si>
    <t>RT @NotifyNYC: @FDNY conducting a rescue drill on Wed, 11/11, 10:30AM - 2:30PM on Roosevelt Island Tram. No impact to service. Only a drill.</t>
  </si>
  <si>
    <t>What's it like working with New York's Bravest, @FDNY? One Solomon Fellow shares her story: https://t.co/k8MLysDSnI #SolomonFellowship</t>
  </si>
  <si>
    <t>Calling all NYC teens: @nycoem is participating in the @nycservice Youth Leadership Council Initiative! Info: https://t.co/PfHHwZcUKs</t>
  </si>
  <si>
    <t>For all things #NYC – past and present – visit @nycrecords on Instagram: https://t.co/OK9XlmFbCB.</t>
  </si>
  <si>
    <t>Whether the weather is wintry, be "in the know" with @NotifyNYC: https://t.co/GG33dFDJBl #WinterWeatherAwarenessWeek https://t.co/GTwZW0rOFj</t>
  </si>
  <si>
    <t>Find out what to do "When the Sky Turns Gray" this winter season with tips from @fema: https://t.co/dzH4lWofT4  #WinterWeatherAwarenessWeek</t>
  </si>
  <si>
    <t>Winter officially arrives next month. Get tips on how to stay warm and safe this winter season from @JoeEspoNYC: https://t.co/Q2HWBHONQv</t>
  </si>
  <si>
    <t>RT @NWSNewYorkNY: Winter Weather Awareness Week continues with Watch, Warning, and Advisory criteria. Learn more with this graphic! https:/…</t>
  </si>
  <si>
    <t>RT @NotifyNYC: NYC OCME will conduct an exercise area of Ave C/ E 23rd St (MN) today, 11/5, 1:30-2:30 PM.  This is only an exercise.</t>
  </si>
  <si>
    <t>It's hard to believe it's #WinterWeatherAwarenessWeek, but @NOAA has already released its 2015-2016 outlook: https://t.co/gEBUhrBAXm</t>
  </si>
  <si>
    <t>How does the City get resources to the right place at the right time after a disaster? It's all about logistics: https://t.co/QFiP3u01WN</t>
  </si>
  <si>
    <t>RT @NWSNewYorkNY: Winter Weather Awareness Week continues today with winter floods and ice jams. Learn more with this graphic! https://t.co…</t>
  </si>
  <si>
    <t>It's #NationalStressAwarenessDay. Make emergency planning stress-free with Ready NYC: https://t.co/wSpCx8s03g https://t.co/5J8lLM3vQm</t>
  </si>
  <si>
    <t>Tip: keep your attic well ventilated to prevent melting/refreezing of snow/ice on roofs. #WinterWeatherAwarenessWeek</t>
  </si>
  <si>
    <t>Tip: building owners/managers should take extra care and remove ice from buildings and rope off unsafe areas. #WinterWeatherAwarenessWeek</t>
  </si>
  <si>
    <t>Practice ice safety. Be cautious of dangerous, hanging ice &amp;amp; avoid areas roped off due to hazardous conditions. #WinterWeatherAwarenessWeek</t>
  </si>
  <si>
    <t>RT @nwsnewyorkny: Both beautiful and dangerous, learn about today's Winter Weather Awareness Week topic: Ice storms https://t.co/bWVHNYmJgE</t>
  </si>
  <si>
    <t>RT @nwsnewyorkny: Snow, sleet, freezing rain, or rain? It all depends on temperature! https://t.co/JDzBWIpNGJ</t>
  </si>
  <si>
    <t>RT @NWSNewYorkNY: Today's topic for Winter Weather Awareness Week is heavy snow. Here are a few types of heavy snow events https://t.co/3HL…</t>
  </si>
  <si>
    <t>Since 1798, NYC has experienced 19 snowstorms with snowfall totaling 16 inches or more! Make sure you're ready. #WinterWeatherAwarenessWeek</t>
  </si>
  <si>
    <t>RT @NYCVotes: Calling all voters! Don't miss the chance to have your say this Election Day. Polls open now until 9pm. Go vote! https://t.co…</t>
  </si>
  <si>
    <t>Your home needs some TLC ahead of winter weather, too. Find out what you can do to winterize your home: https://t.co/Ds0iNieFID.</t>
  </si>
  <si>
    <t>One of the easiest ways to prepare for winter's arrival? Winterize your supplies! #WinterWeatherAwarenessWeek https://t.co/UyPniPxnIu</t>
  </si>
  <si>
    <t>RT @NYCzerowaste: We are proud to announce that NYCRecycles is now @NYCzerowaste! #CountdownToZero https://t.co/fNDn5pW8vk</t>
  </si>
  <si>
    <t>RT @NWSNewYorkNY: Welcome to Winter Weather Awareness Week 2015!  Be prepared &amp;amp; check the tire pressure of your cars. https://t.co/ib2tprqm…</t>
  </si>
  <si>
    <t>RT @JoeEspoNYC: Good luck to the #nycmarathon runners, and thanks to the #CERT volunteers assisting along the route! https://t.co/SQstQi47VE</t>
  </si>
  <si>
    <t>RT @NWSNewYorkNY: Monday through Friday we will be posting on various winter topics to get you ready for the winter season. https://t.co/zS…</t>
  </si>
  <si>
    <t>Ready to fall back? Consider adding these items to your daylight saving time checklist. #ReadyNewYork https://t.co/LZKYuJbfUQ</t>
  </si>
  <si>
    <t>RT @NotifyNYC: .@nycmarathon Numerous street closures citywide Sun 11/1 in support of the 2015 #TCSNYCMarathon. More info &amp;amp; map at: https:/…</t>
  </si>
  <si>
    <t>NYC Emergency Management wishes New Yorkers a safe and Happy Halloween. https://t.co/vnczCCJqBS</t>
  </si>
  <si>
    <t>RT @NYCDisabilities: This just in. Our video profile on Edward German. a #deaf steward at @RitzCarlton. https://t.co/5LEgX2xdwG</t>
  </si>
  <si>
    <t>RT @NotifyNYC: .@Mets Fly-over at Citi Field tonight at approximately 8:00PM. The pilot has been hired by the Mets to film the national ant…</t>
  </si>
  <si>
    <t>Need a last-minute costume for #Halloween? Use your emergency supplies to make yourself an emergency preparedness superhero like Ready Girl!</t>
  </si>
  <si>
    <t>Planning on trick-or-treating tomorrow? In case your group gets separated, use your emergency meeting place(s) to reunite. #HalloweenSafety</t>
  </si>
  <si>
    <t>Find out how you and your family can have a safe and healthy #Halloween from @cdcgov: https://t.co/2w5VWckN57</t>
  </si>
  <si>
    <t>RT @NWSNewYorkNY: On this date 4 years ago, a historic early season snow event took place across the area. See the graphic! https://t.co/gk…</t>
  </si>
  <si>
    <t>Events like #Sandy are a solemn reminder to be prepared for coastal storms &amp;amp; hurricanes. Make sure you have a plan: https://t.co/QNFDtxmqUQ</t>
  </si>
  <si>
    <t>As we reflect on #Sandy, find out how @nycoem is improving its role as a coordinating agency for NYC: https://t.co/G8bUjYHQZL</t>
  </si>
  <si>
    <t>RT @nycbuilditback: Today we're announcing that we will complete construction on ALL single family homes by the end of 2016. #sandy</t>
  </si>
  <si>
    <t>RT @NotifyNYC: NYC experiencing wind gusts in excess of 40MPH. Use caution when walking/driving. Wind can cause flying debris. https://t.co…</t>
  </si>
  <si>
    <t>Find out what you can do to cope with disasters, and other stressful and traumatic events, from @nychealthy: https://t.co/wtvWWa4NLA</t>
  </si>
  <si>
    <t>Today we remember #Sandy and all of those who were affected. https://t.co/0ZnpYsj2W5</t>
  </si>
  <si>
    <t>There's still time to enter the Ready New Yorker of the Month contest for a chance to win a Go Bag! https://t.co/Xem9bw9vwn</t>
  </si>
  <si>
    <t>Know your zone? Show your zone with a virtual badge for your blog/website: https://t.co/BdwQJVJ3HB #knowyourzone https://t.co/ngdM8vuTeT</t>
  </si>
  <si>
    <t>Be hurricane ready. Check out the Ready New York: Hurricanes &amp;amp; New York City guide (also available in audio format): https://t.co/YgZgKuhg0A</t>
  </si>
  <si>
    <t>RT @NWSNewYorkNY: Much needed rain is on the way for Wednesday and Wednesday night. Here are the updated rainfall forecast amounts. https:/…</t>
  </si>
  <si>
    <t>Help make your business resilient! Join the Business Resiliency Workshops on 11/4 &amp;amp; 11/5:
-https://t.co/TkyV00nBCr 
-https://t.co/D1PhNuDnFs</t>
  </si>
  <si>
    <t>RT @usfire: We are excited to announce a new &amp;amp; updated Sesame Street Fire Safety Program! http://t.co/mBYWfKMxwJ http://t.co/389BvqFogV</t>
  </si>
  <si>
    <t>RT @JoeEspoNYC: .@nycoem joined NYC urban area partners in Yonkers today - lots of discussion about preparing for winter weather... https:/…</t>
  </si>
  <si>
    <t>Emergencies can throw a curve ball into your routine. Be prepared with the Ready NYC app: https://t.co/wSpCx8s03g https://t.co/treyPH1hIg</t>
  </si>
  <si>
    <t>RT @NWSNewYorkNY: 1-2 inches of rain is on the way for Wednesday, starting early Wed morning and continuing through late Wed night. https:/…</t>
  </si>
  <si>
    <t>Show your zone by putting your preparedness on display with a #KnowYourZone window sticker. Request one today! https://t.co/Z9I1DatzBp</t>
  </si>
  <si>
    <t>Hurricane season isn't over. Be ready (&amp;amp; stay ready) by having a plan. Visit https://t.co/BdwQJVJ3HB for tips/info. https://t.co/VMFZlqiakm</t>
  </si>
  <si>
    <t>Want to see City's post-disaster housing model? Request a group tour: https://t.co/LsIgwB1vXj (photo: Andrew Rugge) https://t.co/Q9uyHVqxdA</t>
  </si>
  <si>
    <t>RT @nycsanitation: Register now to be a DSNY Emergency Snow Laborer and help clear snow/ice after big storms. https://t.co/lABsLKYFP0</t>
  </si>
  <si>
    <t>As the #WorldSeries approaches, think about hitting a home run in preparedness by practicing your plan: https://t.co/acpynoxUcF</t>
  </si>
  <si>
    <t>Are your employees, services and facilities ready for an emergency? Partners in Preparedness can help. Find out how: https://t.co/t6v9JFh55P</t>
  </si>
  <si>
    <t>RT @NWSNewYorkNY: Hurricane Patricia is the strongest hurricane on record for the Eastern Pacific. Cat 5 storm with 200 mph winds https://t…</t>
  </si>
  <si>
    <t>.@nycoem honors its Partners in Preparedness for helping New York City be prepared and resilient. https://t.co/pHiO69yUeR</t>
  </si>
  <si>
    <t>RT @cyber: There are 10 days left in #CyberAware Month. Help raise awareness about online safety and find an event near you at https://t.co…</t>
  </si>
  <si>
    <t>MT @NYCService: #NYCCivicCorps members @nycoem present their work - preparedness, recovery &amp;amp; response are the goals! https://t.co/MnB9UCRSQ1</t>
  </si>
  <si>
    <t>Introducing Ready Girl, @nycoem's new emergency preparedness superhero: https://t.co/drImqp3iud https://t.co/8wqc4mOL1H</t>
  </si>
  <si>
    <t>RT @NotifyNYC: Following a prior closure, all lanes on the FDR Drive between 96th St and 125th St, MN have been reopened. Expect delays.</t>
  </si>
  <si>
    <t>RT @NYPDnews: Thank you to all for the outpouring of condolences for this tragedy. - @CommissBratton regarding murder of NYPD Police Office…</t>
  </si>
  <si>
    <t>RT @NYCMayorsOffice: In honor of fallen @nypdnews Officer Holder, all flags will be lowered to half-staff effective immediately: https://t.…</t>
  </si>
  <si>
    <t>RT @BilldeBlasio: We honor memory of @NYPDNews Officer Holder who, in the words of Lincoln, gave the last full measure of his devotion to t…</t>
  </si>
  <si>
    <t>Lock it up! Safeguard your computer, phone and other devices with strong passwords. #CyberAware</t>
  </si>
  <si>
    <t>RT @nycHealthy: Avoid the misery of the flu – get the flu vaccine today: https://t.co/4qlqJ2rqHY #GotMyFluShot https://t.co/N4QorzjcZF</t>
  </si>
  <si>
    <t>What does personal preparedness mean to you? #SolomonFellowship https://t.co/dUubmkXPaD</t>
  </si>
  <si>
    <t>Heard it through the grapevine? If an emergency occurs, don't rely on rumors. Get the facts through sources like @NotifyNYC. #cyberaware</t>
  </si>
  <si>
    <t>Looking for resources on cybersecurity &amp;amp; online safety? Check out the Stop.Think.Connect. campaign: http://t.co/op9ma3VedA...</t>
  </si>
  <si>
    <t>National Cyber Security Awareness Month is an important reminder to stay safe &amp;amp; #CyberAware. Learn more via @DHSgov: http://t.co/s3z6atWLjC</t>
  </si>
  <si>
    <t>Best of luck to the @Mets this weekend! Did you know @MrMet is a Ready New Yorker? Here’s proof: https://t.co/ExM9mrscqL #LGM #ReadyNewYork</t>
  </si>
  <si>
    <t>The City works to get resources to the right place at the right time, especially after an emergency. Find out how: https://t.co/NJkCZv8qy2</t>
  </si>
  <si>
    <t>RT @NWSNewYorkNY: NOAA's winter outlook calls for above normal temps &amp;amp; precip for our region. For more info: http://t.co/4XgUQDT7aH http://…</t>
  </si>
  <si>
    <t>.@NYC_DOT: Following previous mechanical issue, 9th St Bridge in Gowanus, BK has been returned to a closed position. Expect residual delays.</t>
  </si>
  <si>
    <t>RT @NYC_DOT: #Gowanus #9thStreetBridge is stuck in the open position. Electricians are reporting to the scene for repair. Please seek alter…</t>
  </si>
  <si>
    <t>Consider taking steps to protect your property from earthquakes. Check out Ready New York's Reduce Your Risk guide: http://t.co/w3sjJn2zO3</t>
  </si>
  <si>
    <t>MT @NYCDisabilities: #NDEAM celebrations continue with a video profile on Dirk HohenKirk from MOPD &amp;amp; @nycoem. https://t.co/1c1XjlFPTD</t>
  </si>
  <si>
    <t>RT @JoeEspoNYC: Guiding @nycoem Great #ShakeOut drill to practice earthquake preparedness - drop, cover and hold on: http://t.co/8hdqFJr8rA</t>
  </si>
  <si>
    <t>RT @PrepareAthon: Safeguard critical documents and take pictures or videos of your belongings before an earthquake. http://t.co/E7g1IE63Ct</t>
  </si>
  <si>
    <t>RT @Readygov: Learn how to practice an earthquake drill by watching our PSA with @TheRock: https://t.co/xVwf2h2937 #Shakeout</t>
  </si>
  <si>
    <t>RT @Readygov: Learn how to practice an earthquake drill by watching our PSA with @TheRock: http://t.co/LHN0gIRZsd… #Shakeout</t>
  </si>
  <si>
    <t>Know what to do if you feel the shake of a quake: http://t.co/sGdo5AOJot #EarthquakeSafety #ShakeOut</t>
  </si>
  <si>
    <t>Are you ready for an earthquake? @nycoem is participating in the 2015 Great Northeast ShakeOut, and you should, too! http://t.co/SiaPfrOskj</t>
  </si>
  <si>
    <t>RT @NWSNewYorkNY: Some changes are on the way for our area for the remainder of the week! #CoolDown http://t.co/vlEMWkYrLg</t>
  </si>
  <si>
    <t>Have you seen the City's post-disaster housing model yet? Schedule a tour! Visit http://t.co/WYSqyuKpeg for details. http://t.co/Rsx9X9miMB</t>
  </si>
  <si>
    <t>Everyone should have a plan, including property owners. Find out how you can protect your property from hazards: https://t.co/yTlzwYjswL</t>
  </si>
  <si>
    <t>RT @NWSNewYorkNY: 3:48pm - A severe thunderstorm watch has been issued for NYC, northeast NJ, and Nassau County, NY until 8:00pm. http://t.…</t>
  </si>
  <si>
    <t>Thank you for being a great partner! https://t.co/9WREM3T3Mv</t>
  </si>
  <si>
    <t>#ReadyNewYork met with future emergency managers (AKA @UASEM_NYC students) at the school's Student Opportunity Fair. http://t.co/cb7kPyBqie</t>
  </si>
  <si>
    <t>#ReadyNewYork met with future emergency managers (AKA @USAEM_NYC students) at the school's Student Opportunity Fair. http://t.co/zz9nafF2xa</t>
  </si>
  <si>
    <t>.@FDNY helps residents be #FDNYsmart through its fire safety education programs. Learn more: http://t.co/RbVMAVCvj8</t>
  </si>
  <si>
    <t>RT @JoeEspoNYC: Congratulations to the latest class of #NYCCERT volunteers, who started their training this week. http://t.co/njT1jD6rwU</t>
  </si>
  <si>
    <t>RT @NWSNewYorkNY: There is a marginal risk for severe thunderstorms for our area today. Isolated severe t-storms are possible. http://t.co/…</t>
  </si>
  <si>
    <t>1. Get the Ready NYC app. 
2. Make your plan. 
3. Share it with family and friends.
http://t.co/wSpCx8JAUO http://t.co/mqiH2lvEO1</t>
  </si>
  <si>
    <t>RT @NYCMayorsFund: We urge New Yorkers to stand up for their neighbors during this difficult time. DONATE: http://t.co/Q4TJ9I4fGG http://t.…</t>
  </si>
  <si>
    <t>Make a fire escape plan with members of your household. Check out @usfire and @fema's video: https://t.co/B2BF3DSUEa</t>
  </si>
  <si>
    <t>RT @NotifyNYC: Resident Serv Center at #BoroughPark Brooklyn Public Library located at 1265 43rd St near 13th Ave is open on Thursday, Oct …</t>
  </si>
  <si>
    <t>The different letters on portable fire extinguishers' labels indicate the types of fires they extinguish. #FireSmart http://t.co/89JWL3vdoN</t>
  </si>
  <si>
    <t>Find out what you need to know about fire extinguishers: http://t.co/89p2H75409 #FireSmart</t>
  </si>
  <si>
    <t>RT @NWSNewYorkNY: Did you know the NWS is the OFFICIAL source for all advisories, watches, and warnings? #NWSDYK http://t.co/abbceTRZ4V</t>
  </si>
  <si>
    <t>RT @NotifyNYC: Wed 10/7: Simulated Explosion at E. Main Street &amp;amp; N. Loop Road on Roosevelt Island (MN), 9:30AM-1:30PM. NYPD &amp;amp; FDNY will be …</t>
  </si>
  <si>
    <t>RT @fdny: Be #FDNYSmart, watch http://t.co/WBdfn1adQl  #FDNY's new PSA &amp;amp; teach children that lighters are not toys. http://t.co/ZSvkyDLanD</t>
  </si>
  <si>
    <t>Give your smoke alarms some TLC: test them once/month &amp;amp; replace the batteries every year. #NationalFirePreventionWeek http://t.co/snc81cSVOU</t>
  </si>
  <si>
    <t>RT @NotifyNYC: Tues 10/6: Simulated Explosions at Dyckman St Marina between Staff St &amp;amp; Hudson River (MN), 10AM-12PM. NYPD and FDNY will be …</t>
  </si>
  <si>
    <t>RT @FDNY: Starting today, #FDNY is marking @NFPA #FirePreventionWeek &amp;amp; holding #FDNYSmart events  throughout #NYC! http://t.co/rKwTtVhHbW</t>
  </si>
  <si>
    <t>This Fire Prevention Week, find out how you can be fire smart with tips from @FDNY: http://t.co/QoM9TfnD23</t>
  </si>
  <si>
    <t>RT @NYCMayorsOffice: Updated info about Saturday's explosion, from @nycoem @FDNY @NYPDnews @NYC_DOT @NYC_Buildings: http://t.co/KZndlOz6lm</t>
  </si>
  <si>
    <t>RT @notifynyc: Resident Svs Ctr for building collapse opens 10/5 from 10AM-6PM at the #BoroughPark Library located at 1265 43rd St (BK).</t>
  </si>
  <si>
    <t>RT @NotifyNYC: Resident Svs Ctr closes today at 6PM. New Svs Ctr opens 10/5 from 10AM-6PM at the #BoroughPark Library located at 1265 43rd …</t>
  </si>
  <si>
    <t>RT @NotifyNYC: #BoroughPark Resident Svc Center will open at 4211 14th Ave, BK, at 9AM on 10/4.</t>
  </si>
  <si>
    <t>RT @NotifyNYC: NYC forecast includes wind gusts in excess of 40MPH. Use caution when walking/driving. Wind can cause flying debris. http://…</t>
  </si>
  <si>
    <t>RT @NotifyNYC: Two Alarm #Fire: 13th Ave and 42nd St, BK. Expect smoke &amp;amp; traffic delays in area. People nearby avoid smoke, close windows.</t>
  </si>
  <si>
    <t>RT @NotifyNYC: Emergency personnel are on the scene of an explosion at 42nd Street and 13th Avenue in Brooklyn. @FDNY is on scene, please a…</t>
  </si>
  <si>
    <t>Please continue to monitor @NotifyNYC for the latest information. Full statement: http://t.co/77cmxVnY7v #HurricaneJoaquin</t>
  </si>
  <si>
    <t>.@nycoem will continue to have enhanced staffing in place to respond or preempt any potential impacts: http://t.co/77cmxVnY7v</t>
  </si>
  <si>
    <t>The current forecast shows no direct impact to NYC. As a result,@nycoem is adjusting its emergency plans. More: http://t.co/77cmxVnY7v</t>
  </si>
  <si>
    <t>We continue to closely monitor #HurricaneJoaquin &amp;amp; have put extensive plans in place. Read the full statement: http://t.co/77cmxVnY7v</t>
  </si>
  <si>
    <t>Per @NWSNewYorkNY @NHC_Atlantic: The latest National Hurricane Center forecast shows no direct impact to NYC.</t>
  </si>
  <si>
    <t>RT @NotifyNYC: NYC forecast includes wind gusts in excess of 40MPH. Use caution when walking/driving. Wind can cause flying debris http://t…</t>
  </si>
  <si>
    <t>RT @NWSNewYorkNY: Joaquin is finally turning north/northeast. Loop couresty of @UWCIMSS. #Joaquin will pass well east of our area http://t.…</t>
  </si>
  <si>
    <t>#HurricaneJoaquin's threat to NYC may be lessening, but NYC is helping its coastal storm communities prepare: http://t.co/AsEnk5ncdS</t>
  </si>
  <si>
    <t>.@NYC_Buildings property owners &amp;amp; construction professionals should prepare for ongoing sustained winds: http://t.co/SVEjmqp1zx</t>
  </si>
  <si>
    <t>RT @nhc_atlantic: Hurricane #Joaquin Intermediate advisory 18A issued. http://t.co/fkUenOrd3s</t>
  </si>
  <si>
    <t>RT @nhc_atlantic: Hurricane #Joaquin Intermediate advisory 16A issued. http://t.co/fkUenOrd3s</t>
  </si>
  <si>
    <t>RT @NotifyNYC: #HurricaneJoaquin Preparedness: Know your evacuation zone: http://t.co/1SHKePAh4R. More info: http://t.co/pElClOjRrP.</t>
  </si>
  <si>
    <t>"Sandy was an extraordinary event... I think it's too early to say if this is the 'new normal.'" - @BilldeBlasio #HurricaneJoaquin</t>
  </si>
  <si>
    <t>"New Yorkers are tough; they are resilient." - @BilldeBlasio. Watch live on http://t.co/2A6Y8RgXO5. #HurricaneJoaquin</t>
  </si>
  <si>
    <t>"The level of preparation is outstanding... People should feel confident that a strong response is being prepared."  - @BilldeBlasio</t>
  </si>
  <si>
    <t>"One thing different from the past is a message early that will be repeated often." - Mayor @BilldeBlasio on hurricane prep &amp;amp; evacuation.</t>
  </si>
  <si>
    <t>"We will be giving regular updates [about #HurricaneJoaquin] about what [the City] is doing." Watch live on http://t.co/2A6Y8RgXO5.</t>
  </si>
  <si>
    <t>.@NYPDnews, @FDNY,  @NYCSanitation &amp;amp; @NYC_DOT discuss personnel &amp;amp; equipment to support #HurricaneJoaquin prep: http://t.co/2A6Y8RgXO5.</t>
  </si>
  <si>
    <t>"The messaging to the public very important: know your zone... Visit https://t.co/2A6Y8RgXO5 or call 311." - @JoeEspoNYC #HurricaneJoaquin</t>
  </si>
  <si>
    <t>"We have activated our Emergency Operations Center... Over 50 partner agencies are here to coordinate." - @JoeEspoNYC #HurricaneJoaquin</t>
  </si>
  <si>
    <t>"Too early to project [the storm's impact], but it's great time to be prepared." Watch live: https://t.co/2A6Y8RgXO5 #HurricaneJoaquin</t>
  </si>
  <si>
    <t>"New Yorkers should sign up for @NotifyNYC." Watch live: https://t.co/2A6Y8RgXO5</t>
  </si>
  <si>
    <t>"NYC is ready [for #HurricaneJoaquin]... We do have time to prepare." Watch live on https://t.co/wwHqON4Glc.</t>
  </si>
  <si>
    <t>Happening now: Mayor @BilldeBlasio at @NYCOEM discussing #HurricaneJoaquin.</t>
  </si>
  <si>
    <t>RT @NHC_Atlantic: Hurricane #Joaquin advisory 16 issued. Extremely dangerous category 4 #Joaquin moving through the central bahamas https:/…</t>
  </si>
  <si>
    <t>NYC sigue monitoreando al #huracánJoaquín. Asegúrate de estar preparado - #conocetuzona! https://t.co/BdwQJVJ3HB #HurricaneJoaquin</t>
  </si>
  <si>
    <t>MT @nhc_atlantic: #Joaquin Intermediate advisory 15A issued; becomes an extremely dangerous category 4 hurricane https://t.co/fkUenOrd3s</t>
  </si>
  <si>
    <t>The City continues to monitor #HurricaneJoaquin. Make sure you’re prepared. Take the first step and #knowyourzone: http://t.co/BdwQJVJ3HB</t>
  </si>
  <si>
    <t>RT @NHC_Atlantic: Hurricane #Joaquin advisory 15 issued. Eye of #Joaquin passing over samana cays in the bahamas http://t.co/VqHn0uj6EM</t>
  </si>
  <si>
    <t>RT @nhc_atlantic: Hurricane #Joaquin Intermediate advisory 14A issued. Eye of joaquin near samana cays in the bahamas http://t.co/fkUenOrd3s</t>
  </si>
  <si>
    <t>RT @NHC_Atlantic: Hurricane #Joaquin Intermediate advisory 12A issued. Hurricane hunter aircraft finds joaquin stronger. http://t.co/VqHn0u…</t>
  </si>
  <si>
    <t>RT @NHC_Atlantic: Hurricane #Joaquin advisory 12 issued. #Joaquin moving southwestward toward the central bahamas. http://t.co/VqHn0uj6EM</t>
  </si>
  <si>
    <t>RT @NotifyNYC: #HurricaneJoaquin is being monitored. Review your emergency plans &amp;amp; know your zone. To find your evacuation zone: http://t.c…</t>
  </si>
  <si>
    <t>RT @NHC_Atlantic: Hurricane #Joaquin Intermediate advisory 11A issued. Joaquin continuing to strengthen. http://t.co/VqHn0uj6EM</t>
  </si>
  <si>
    <t>What have you learned about being ready for emergencies during #NPM2015? Share your story. #NatlPrep</t>
  </si>
  <si>
    <t>RT @NHC_Atlantic: Hurricane #Joaquin advisory 11 issued. http://t.co/VqHn0uj6EM</t>
  </si>
  <si>
    <t>RT @UNHNY: Herman Schaffer of @nycoem at the #UNHEmPrep forum: since Sandy there’s a much higher focus on engaging communities. http://t.co…</t>
  </si>
  <si>
    <t>RT @NHC_Atlantic: Hurricane #Joaquin Intermediate advisory 10A issued. Joaquin becomes a hurricane. http://t.co/VqHn0uj6EM</t>
  </si>
  <si>
    <t>Stay informed by signing up for @NotifyNYC: http://t.co/GG33dFm8JN. For forecast updates, visit http://t.co/f3GhoDNM8i (@NWSNewYorkNY).</t>
  </si>
  <si>
    <t>With heavy rain expected in NYC, @nycoem has issued a travel advisory for Wednesday, 9/30. Read the press release: http://t.co/E0YcBugJMO</t>
  </si>
  <si>
    <t>Ready New York was at #30Rock (@nbc) today showing New Yorkers how to be prepared. #NPM2015 http://t.co/Ow5RRHKtbL</t>
  </si>
  <si>
    <t>Learn how you can get involved with programs like NYC CERT, NYC Citizen Corps, and Partners in Preparedness: http://t.co/fmbKUf9gGO #NPM2015</t>
  </si>
  <si>
    <t>RT @NHC_Atlantic: Tropical Storm #Joaquin advisory 7 issued. #Joaquin gradually strengthening while drifting westward. http://t.co/VqHn0uj6…</t>
  </si>
  <si>
    <t>RT @NYCTBus: #ServAdv: Due to the United Nations General Assemblym expect delays around Midtown Manhattan on #local and #express bus servic…</t>
  </si>
  <si>
    <t>Not sure how you can participate in @PrepareAthon on Wednesday? Here are some ideas. #NPM2015 #NatlPrep #PrepareAthon http://t.co/D5nJnGinN7</t>
  </si>
  <si>
    <t>RT @NotifyNYC: .@nycHealthy investigating Legionnaires' disease cluster in Morris Park, BX. Unrelated to previous outbreak. Info: http://t.…</t>
  </si>
  <si>
    <t>MT @nychealthy: A cluster of 7 cases of #Legionnaires’ disease reported in Morris Park, BX: http://t.co/PnEq7VJj0E http://t.co/TXrQrR2SoI</t>
  </si>
  <si>
    <t>RT @nycHealthy: We are taking immediate steps to determine the source of the #Legionnaires’ disease cluster in Morris Park. http://t.co/P2g…</t>
  </si>
  <si>
    <t>RT @DrMaryTBassett: We are investigating a cluster of 7 #Legionnaires' disease cases in the Morris Park section of the Bronx. More: http://…</t>
  </si>
  <si>
    <t>Make a plan to meet: one near your home, and one outside your neighborhood. http://t.co/oCGr7Kj7oX #NPM2015 #NatlPrep http://t.co/DnGYsEtNsq</t>
  </si>
  <si>
    <t>RT @Readygov: America's #PrepareAthon Day! is Wed. 9/30! Be counted &amp;amp; add your preparedness activities to http://t.co/HpKR3g7mEH http://t.c…</t>
  </si>
  <si>
    <t>MT @NYCTBus: #ServAdv: Due to United Nations General Assembly expect delays Midtown on #local &amp;amp; #express buses. Allow additional travel time</t>
  </si>
  <si>
    <t>RT @NYCMayorsOffice: Scenes from Pope Francis' historic procession through Central Park. #PopeInNYC http://t.co/fMvo4mJTRG</t>
  </si>
  <si>
    <t>RT @NYCTBus: #ServAdv: Due to United Nations General Assembly, expect delays Midtown on #local &amp;amp; #express buses. Allow additional travel ti…</t>
  </si>
  <si>
    <t>RT @NYCTSubway: #ServAdv: b/d, #D trains are making local stops between 125 St and 59 St to relieve overcrowding conditions along Central P…</t>
  </si>
  <si>
    <t>RT @NYCTSubway: #ServAdv: Following an earlier incident at 72 St, #2 and #3 service has resumed with residual delays.</t>
  </si>
  <si>
    <t>.@JoeEspoNYC: @nycoem Citywide Interagency Coordinators are monitoring crowds for #PopeinNYC at #CentralPark /67th St http://t.co/NJ9q2GrALb</t>
  </si>
  <si>
    <t>Stay informed. Know before you go with @NotifyNYC, NYC's free, official emergency communications program. http://t.co/FkbeBdbhZI</t>
  </si>
  <si>
    <t>Get information about the Pope's Central Park procession: http://t.co/Lya435S9GT. #PopeInNYC</t>
  </si>
  <si>
    <t>RT @MTA: Extra trains and bus diversions to accommodate Pope's full schedule of events today.  #PopeInNY http://t.co/7A084tbMj8 @Pontifex</t>
  </si>
  <si>
    <t>.@NYCTBus: #ServAdv: Due to United Nations General Assembly, expect delays Midtown on #local &amp;amp; #express buses. Allow additional travel time.</t>
  </si>
  <si>
    <t>As a reminder, expect traffic disruptions &amp;amp; security measures for the Papal Visit &amp;amp; UNGA: http://t.co/QVAnCXtURr</t>
  </si>
  <si>
    <t>RT @NotifyNYC: Papal Visit &amp;amp; UNGA: Expect traffic disruptions &amp;amp; security measures in NYC, 9/24-9/26. Details: http://t.co/K6nqO1DaqF.</t>
  </si>
  <si>
    <t>RT @NYCTBus: #ServAdv: n/b #Q32, #M1, #M2, #M3 &amp;amp; #M4 buses are detoured, due to the Papal Visit. Details at http://t.co/ygleyWAnV2</t>
  </si>
  <si>
    <t>RT @NYCTSubway: #ServAdv: s/b, #6 trains are running with delays due to signal problems at 51 St.  Allow additional travel time.</t>
  </si>
  <si>
    <t>RT @NYCTBus: #ServAdv: e/b #M34SBS buses are detoured due to preparation of Papal visit. See http://t.co/4PI10QaRnr for details</t>
  </si>
  <si>
    <t>RT @MTA: All the travel info you'll need for #PopeinNY arrival. http://t.co/kHvUSUqD9e @Pontifex</t>
  </si>
  <si>
    <t>Stay informed. Know before you go with @NotifyNYC, NYC's free, official emergency communications program. http://t.co/8wRfUFX78j</t>
  </si>
  <si>
    <t>RT @NYCMayorsOffice: For info about Pope Francis' Central Park procession, visit http://t.co/woCFAA3Dqd #PopeInNYC http://t.co/I8ozIpxgJr</t>
  </si>
  <si>
    <t>RT @Readygov: Power outage planning tip: Consider extra hearing aid batteries, chargers, or assistive tech needs https://t.co/pWqN5JYooB.</t>
  </si>
  <si>
    <t>.@iamavig planned closures for #PopeInNYC can be found at http://t.co/QVAnCXtURr. Note add'l closings may occur at discretion of @NYPDNews.</t>
  </si>
  <si>
    <t>.@iamavig per @NotifyNYC, here is info re: planned closures of the Battery Park Underpass: https://t.co/GmIUFnkDTc</t>
  </si>
  <si>
    <t>RT @NYPDnews: Plan ahead for #PopeInNYC and #UNGA by checking the NYPD traffic advisory http://t.co/BSFYR0Ckg1 http://t.co/st3UWtuZXj</t>
  </si>
  <si>
    <t>Turn off or unplug all appliances during a power outage to prevent a surge when the power is restored. #NPM2015 #NatlPrep</t>
  </si>
  <si>
    <t>.@Pontifex will be visiting NYC from Thursday, 9/24, until Saturday, 9/26. Here's what you need to know: http://t.co/wQZeoe6bZ5 #PopeInNYC</t>
  </si>
  <si>
    <t>A refrigerator will keep food cold for about 4 hrs (if unopened), but remember: when in doubt, throw it out! #NPM2015 #PowerOutageTip</t>
  </si>
  <si>
    <t>Find out how you prepare your food supply for a power outage: http://t.co/cvMQ7oLsR2 #NPM2015 #NatlPrep</t>
  </si>
  <si>
    <t>.@nycoem was at @MayorsAlliance's #Adoptapalooza on Sun. talking to NYC pet owners about pet preparedness. #NPM2015 http://t.co/rcIk0vHF1p</t>
  </si>
  <si>
    <t>Earlier today, @NYCSeniors joined @nycoem &amp;amp; @seniorplanet in preparing NYC seniors for an emergency using technology. http://t.co/gg3iReQxjn</t>
  </si>
  <si>
    <t>RT @NWSNewYorkNY: Fall returns early tomorrow morning at 4:22 a.m. EDT! How did you spend the last day of Summer 2015? http://t.co/rSUEXjaV…</t>
  </si>
  <si>
    <t>You have the power to be prepared. Get the #ReadyNYC app &amp;amp; make your emergency plan today. http://t.co/wSpCx8s03g http://t.co/iryxpHhsfo</t>
  </si>
  <si>
    <t>Before a power outage, keep contact information for your utility providers handy. #NPM2015 #NatlPrep #PowerTip http://t.co/e7WBTjdHi7</t>
  </si>
  <si>
    <t>The time to talk to your family about your emergency plan is NOW. Don't wait. Communicate: https://t.co/nprSq06KbZ #NPM2015</t>
  </si>
  <si>
    <t>Thursday: join NYC Citizen Corps for its "Transformative Change: Diversity and Cultural Competency" event: http://t.co/vsHEBmCntd #NPM2015</t>
  </si>
  <si>
    <t>Power outages can happen at any time &amp;amp; during any season. Make sure you’re ready all year long: http://t.co/H6dod6Fjp6 #NPM2015 #NatlPrep</t>
  </si>
  <si>
    <t>.@NYCHA: Wouldn’t it be great to schedule repairs on your Android + iOS devices? Now you can w/ the new #MyNYCHA App! http://t.co/xdA5vP0XHT</t>
  </si>
  <si>
    <t>Conserve energy now and prevent power outages in the future. Find out how: http://t.co/H6dod6Fjp6. #NPM2015 #NatlPrep</t>
  </si>
  <si>
    <t>RT @Readygov: ATM's don't work when the #power is out. Keep cash on hand in case of a power outage. #NatlPrep http://t.co/Sv8wt4JwF9</t>
  </si>
  <si>
    <t>Ready New York celebrated #NPM2015 at the Brooklyn Autumn Moon Festival &amp;amp; Sunset Park BID 5th Ave Street Festival! http://t.co/B5eeahqM9M</t>
  </si>
  <si>
    <t>Power outages can happen in a flash. Make sure you're ready: http://t.co/H6dod6Fjp6 #NPM2015 #NatlPrep http://t.co/ccA1PX5ocL</t>
  </si>
  <si>
    <t>Find out how your community space could help the City's emergency operations: http://t.co/B51R86YY6s #NPM2015 http://t.co/RI4kFWXxvb</t>
  </si>
  <si>
    <t>After a disaster, we often want to help others. Get tips on how to donate responsibly: http://t.co/kXpfkEB7rH. #NPM2015 #NatlPrep</t>
  </si>
  <si>
    <t>.@NYCService launched City Service Corps, a 10 month full-time service corps to address city needs. Apply today at http://t.co/soyFlNA7kf.</t>
  </si>
  <si>
    <t>Want to volunteer? Get involved with a disaster volunteer organization *before* an emergency: http://t.co/1i26fLrjO4. #NPM2015 #NatlPrep</t>
  </si>
  <si>
    <t>Make sure you're a Ready New Yorker this hurricane season. Get a copy of the Ready New York guide: http://t.co/YgZgKuhg0A #NPM2015 #NatlPrep</t>
  </si>
  <si>
    <t>#HurricanePrep tip: turn your refrigerator &amp;amp; freezer to coldest settings so items that need refrigeration will stay cooler longer. #NPM2015</t>
  </si>
  <si>
    <t>You may lose power following a hurricane. Take steps to prepare: http://t.co/cjH6R0QMSN. #HurricanePrep #NPM2015 #NatlPrep</t>
  </si>
  <si>
    <t>RT @ReuseNYC: Remember to coordinate before you donate goods during a disaster! #NPM2015 @nycoem @CIDIoutreach http://t.co/lhn8eMPkJ2</t>
  </si>
  <si>
    <t>#HurricanePrep tip for your property: trim trees &amp;amp; shrubs. High winds can turn branches into projectiles during a storm. #NPM2015 #NatlPrep</t>
  </si>
  <si>
    <t>Coastal storms &amp;amp; hurricanes can cause water, sewer &amp;amp; power disruptions. Get #HurricanePrep tips: http://t.co/cjH6R0QMSN  #NPM2015</t>
  </si>
  <si>
    <t>Make sure you're prepared for coastal storms &amp;amp; hurricanes! #NPM2015 #NatlPrep https://t.co/p8qqYQW1Wo</t>
  </si>
  <si>
    <t>Tip: include games &amp;amp; toys in your family's emergency supply kit to keep children entertained. #NPM2015 #NatlPrep http://t.co/ks8AqA60LB</t>
  </si>
  <si>
    <t>.@Mets fans, our team is at the game tonight, too! Check out Ready New York at Citi Field's concourse level. #NPM2015 http://t.co/CKroHn79eV</t>
  </si>
  <si>
    <t>RT @nycgob: Recuerda que tus mascotas también necesitan un plan y suministros para emergencias: http://t.co/wRSQItUB6t @nycoem #NPM2015</t>
  </si>
  <si>
    <t>If you have a disability, access or functional need, make a plan that best suits your needs: http://t.co/ewce76pUVU. #NPM2015 #NatlPrep</t>
  </si>
  <si>
    <t>RT @ReuseNYC: September is #NationalPreparednessMonth; remember these important points before you donate http://t.co/sZxbs4bT9a</t>
  </si>
  <si>
    <t>All evacuees are accepted at NYC evacuation centers or shelters, and will NOT be asked about their immigration status. #NPM2015</t>
  </si>
  <si>
    <t>#HurricanePrepTip: for those who have no other shelter, the City will open evacuation centers &amp;amp; shelters. http://t.co/5cPOkNyVie #NPM2015</t>
  </si>
  <si>
    <t>One of the key steps in hurricane preparedness is knowing when and how to evacuate: http://t.co/5cPOkNyVie #HurricanePrep #NPM2015</t>
  </si>
  <si>
    <t>Once you're prepared for a hurricane, help others -- check on friends, relatives &amp;amp; neighbors. #HurricanePrep #NPM2015 #NatlPrep</t>
  </si>
  <si>
    <t>Whether you stay or go, make sure you have emergency supplies. Find out what to pack: http://t.co/tZRwSSSPLW #NPM2015 http://t.co/G5y9VaqCUS</t>
  </si>
  <si>
    <t>Stay safe before, during and after a hurricane. Follow these important steps: http://t.co/cjH6R0QMSN #HurricanePrep #NPM2015 #NatlPrep</t>
  </si>
  <si>
    <t>.@rhonlirob, visit the Know Your Zone website (http://t.co/BdwQJVJ3HB) for information about hurricanes &amp;amp; what to do to prepare, or call 311</t>
  </si>
  <si>
    <t>Talk with your family about making a #HurricanePrep plan. Know what to do: http://t.co/cjH6R0QMSN #NPM2015 #NatlPrep</t>
  </si>
  <si>
    <t>When it comes to #hurricaneprep, don't forget your pets! They need a plan &amp;amp; supplies, too. #NPM2015 #NatlPrep http://t.co/wRSQItUB6t</t>
  </si>
  <si>
    <t>There are different kinds of coastal storms that can (&amp;amp; do) affect New York City. Know the terms: http://t.co/Art2RMmkEd #NPM2015 #NatlPrep</t>
  </si>
  <si>
    <t>RT @NYPDnews: Chiefs of @NYPDSpecialops explaining the variety of equipment that will be used during the Pope's visit. http://t.co/PhpBeg7u…</t>
  </si>
  <si>
    <t>RT @NYCMayorsOffice: NYC is coordinating with federal and state agencies to ensure the Pope’s visit is safe: http://t.co/woCFAA3Dqd</t>
  </si>
  <si>
    <t>RT @nypdnews: Learn more about preparations &amp;amp; interagency collaboration regarding the Papal visit: http://t.co/YbrnQD3ypf</t>
  </si>
  <si>
    <t>"As we get closer, you will see more information online [at http://t.co/wwHqON4Glc] for information about the event." -@JoeEspoNYC</t>
  </si>
  <si>
    <t>"The Situation Room &amp;amp; the Joint Information Center will be open... if something does happen, we will be speaking with 1 voice." -@JoeEspoNYC</t>
  </si>
  <si>
    <t>"[We've] had tremendous cooperation between [our partners]." -@JoeEspoNYC. More at http://t.co/wwHqON4Glc. http://t.co/GJcRmXTzIJ</t>
  </si>
  <si>
    <t>The new class of the John D. Solomon Fellowship for Public Service has begun! Follow the fellows' journey on @Tumblr: http://t.co/F9ooFzXUOg</t>
  </si>
  <si>
    <t>"Ready New York: What's Your Plan?" video shows how important it is to be prepared for a coastal storm or hurricane: https://t.co/QNFDtxmqUQ</t>
  </si>
  <si>
    <t>Do you #knowyourzone? Put it on display: get a virtual badge or request a window sticker: http://t.co/BdwQJVJ3HB http://t.co/tsj43hqaPI</t>
  </si>
  <si>
    <t>Coastal storms &amp;amp; hurricanes can be devastating. Make sure you have a plan: http://t.co/Art2RMmkEd #NPM2015 #NatlPrep http://t.co/QyM0bwI2RT</t>
  </si>
  <si>
    <t>New Yorkers, are you ready for a hurricane? The first step to being prepared is to #knowyourzone! #NPM2015 #NatlPrep http://t.co/JBfByxe2dR</t>
  </si>
  <si>
    <t>Hear the beep where you sleep! #FireSafety #NPM2015 #NatlPrep http://t.co/nRrylyF4EL</t>
  </si>
  <si>
    <t>Record your emergency plan. Get a Ready New York Emergency Reference Card: http://t.co/FsXfJ6hn4Z. #NPM2015 #NatlPrep http://t.co/yUJxd8aufi</t>
  </si>
  <si>
    <t>Your family may not be together when disaster strikes. Don't wait. Make your emergency plan today. #NPM2015 #NatlPrep</t>
  </si>
  <si>
    <t>We will #neverforget. #September11 https://t.co/F54XhonIAC</t>
  </si>
  <si>
    <t>#FireFact: NYC's outer-borough grasslands can be affected by brush fires: http://t.co/DsolByFL5g #NPM2015 #NatlPrep http://t.co/EnNs3mzGVd</t>
  </si>
  <si>
    <t>The Ready New York for Kids videos provide preparedness tips in a fun, engaging way: https://t.co/bjGPcgZGlt #NPM2015 http://t.co/FPOYQZ0O4S</t>
  </si>
  <si>
    <t>This #NPM2015, help kids become ready with #ReadyNewYork's youth programming: http://t.co/KVsH1vPHG3 #NatlPrep http://t.co/5kRfsHI92A</t>
  </si>
  <si>
    <t>As @FDNY says, "stand by your pan" -- never leave cooking food unattended. #FireSafety #NPM2015 #NatlPrep</t>
  </si>
  <si>
    <t>Hear the beep where you sleep. Install smoke alarms within 15 ft of bedroom entrances. #FireSafety #NPM2015 #NatlPrep http://t.co/F2QRO5ALVM</t>
  </si>
  <si>
    <t>Congrats to last week's winners of the Ready New Yorker of the Month Contest! Enter for your chance to win a #GoBag: http://t.co/faZqmkhbcl</t>
  </si>
  <si>
    <t>Just like adults, kids need to be ready for emergencies. Find out how you can help them prepare: http://t.co/RAkHYTkn5v #NPM2015 #NatlPrep</t>
  </si>
  <si>
    <t>RT @NYCSchools: Welcome #BackToSchoolNYC! Wishing everyone a great first day of school and a wonderful school year! http://t.co/TjuiMqN0wI</t>
  </si>
  <si>
    <t>Fire only takes seconds to spread out of control. Don't hesitate -- know when to evacuate. #NPM2015 #NatlPrep http://t.co/k3wm9gFGIA</t>
  </si>
  <si>
    <t>Remember: fire safety begins at home. Always #beprepared with an escape plan. #NPM2015 #NatlPrep @FDNY http://t.co/RtWPR1vcqH</t>
  </si>
  <si>
    <t>RT @NWSNewYorkNY: Central Park has broken a record for a high temperature on this date by reaching 97°. The previous record was 93° set bac…</t>
  </si>
  <si>
    <t>Port Richmond CERT (#SI) celebrated its 10-year anniversary 9/5 with the debut of its operational trailer! #NYCCERT http://t.co/A3R88xD7n8</t>
  </si>
  <si>
    <t>This #NPM2015, create a fire escape plan. Get started with tips from @FDNY: http://t.co/QoM9TfnD23 #NPM2015 #NatlPrep</t>
  </si>
  <si>
    <t>RT @nyc311: REMINDER: Tomorrow, Sept. 9 is the #firstdayofschool. Parents &amp;amp; families can find @NYCSchools info here: http://t.co/ZrtIcuhvIY</t>
  </si>
  <si>
    <t>NYC Emergency Management wishes New Yorkers a safe and Happy Labor Day.</t>
  </si>
  <si>
    <t>Be a Ready New Yorker with help from the Ready New York: Flooding guide: http://t.co/Lvp2LUI8eJ #NPM2015 #NatlPrep http://t.co/2u7gWIzq3A</t>
  </si>
  <si>
    <t>30: The # of days it can take for flood insurance to take effect. Don’t wait until it’s too late! http://t.co/E4P4ePIt7s #NPM2015 #NatlPrep</t>
  </si>
  <si>
    <t>Supplies tip: have a battery-powered radio on hand to listen to updates from officials. Be safe and be prepared. #NPM2015 #NatlPrep</t>
  </si>
  <si>
    <t>National Preparedness Month continues this weekend! Check out the Calendar of Events for details: http://t.co/z8BqQpXUq3 #NPM2015 #NatlPrep</t>
  </si>
  <si>
    <t>Congratulations to #ReadyNewYork, #NYCCitizenCorps and #NYCCERT on winning this year's @Citizen_Corps award! http://t.co/NphCC7DGYd @FEMA</t>
  </si>
  <si>
    <t>Turn around, don't drown: 6 in. of water can knock a person over. 1 ft. of water can carry away a vehicle. #FloodSafety #NPM2015 #NatlPrep</t>
  </si>
  <si>
    <t>Make a plan to be flood ready: know your area's flood risk. Find out --&amp;gt; http://t.co/cyaJnIvb7P #NPM2015 #NatlPrep @NYClimate</t>
  </si>
  <si>
    <t>#SolomonFellowship's 2015-2016 class begins this #NPM2015. Talk about perfect timing! http://t.co/vSbMAIRRy7 http://t.co/rPlz1zcIlF</t>
  </si>
  <si>
    <t>Flood Terms: 
-Watch=floods are possible.
Warnings= will occur soon; move to higher ground. 
#BeInTheKnow #NPM2015 #NatlPrep</t>
  </si>
  <si>
    <t>Along with managing NYC’s involvement with #NPM, Citizen Corps do great work with Cmty organizations. #Beintheknow at http://t.co/Hz5bwlluBp</t>
  </si>
  <si>
    <t>S. Bronx building tests for Legionella. NYC Health &amp;amp; NYCHA working to eliminate the bacteria. Full press release: http://t.co/e9OKocK3Rj</t>
  </si>
  <si>
    <t>Get to know NYC Citizen Corps, the program that is leading #NPM2015! http://t.co/39x7JUFkDV #NatlPrep http://t.co/h8lQ8oleSG</t>
  </si>
  <si>
    <t>Happy to help! Thanks for having us. https://t.co/W2Swa42TVX</t>
  </si>
  <si>
    <t>What can you do before a flood? Go green! Green spaces, trees &amp;amp; plants absorb rain water. http://t.co/RaAdRS0aqw #NPM2015 #NatlPrep</t>
  </si>
  <si>
    <t>Are you prepared for a flood? Get to know the types of flooding that can affect NYC: http://t.co/qlwZ32DWrn #NPM2015 #NatlPrep @NYCWater</t>
  </si>
  <si>
    <t>Make a plan that best suits your needs. Get started: http://t.co/acpynoxUcF #natlprep #npm2015 http://t.co/IO8cjeo2LR</t>
  </si>
  <si>
    <t>Make an emergency plan before disaster strikes. Don't wait. Communicate: https://t.co/nprSq0ol3x @AdCouncil #NPM2015 #NatlPrep</t>
  </si>
  <si>
    <t>Are you prepared for an emergency? Take this Ready New York quiz for a chance to win a #GoBag! http://t.co/Xem9bw9vwn #NPM2015</t>
  </si>
  <si>
    <t>Just because your area has never experienced a flood, doesn’t mean it can’t happen. Always be prepared. #NPM2015 http://t.co/pSh0Exk3jZ</t>
  </si>
  <si>
    <t>This #NPM2015, learn how to prepare for and stay safe during emergencies like flooding --&amp;gt; http://t.co/bDmNecpSXg http://t.co/Z9QQ9ABe0Z</t>
  </si>
  <si>
    <t>National Preparedness Month has arrived! Remember: don’t wait. Communicate. Make your emergency plan today. #NPM2015 http://t.co/AgduN6fwez</t>
  </si>
  <si>
    <t>Help identify spaces in your community that could support emergency operations or be used for community outreach: http://t.co/B51R86YY6s</t>
  </si>
  <si>
    <t>Are you ready? Find out how @nycoem is celebrating National Preparedness Month! http://t.co/z5BwLmFjMA #NPM2015 http://t.co/ddIPapUz6r</t>
  </si>
  <si>
    <t>National Preparedness Month is just a day away! Being #prepared isn’t hard work. Get ready: http://t.co/acpynoxUcF #NPM2015</t>
  </si>
  <si>
    <t>This week marks the anniversary of Hurricane #Irene, which affected NYC and the East Coast in 2011: http://t.co/JVlZOKPG2h</t>
  </si>
  <si>
    <t>RT @fema: “Hurricane Katrina changed the way not only FEMA but the nation prepares for and responds to large scale events” https://t.co/UZj…</t>
  </si>
  <si>
    <t>RT @NOAAClimate: 10 yrs since #Katrina, @NOAA has helped advance #hurricane projections &amp;amp; modeling: http://t.co/kVvqOQcyos #Katrina10 http:…</t>
  </si>
  <si>
    <t>Thank you to our staff, partner agencies &amp;amp; elected officials for participating in today's fair! #CountdownToNPM2015 http://t.co/j5kGdfaldW</t>
  </si>
  <si>
    <t>.@femaregion2 helped @nycoem get a jump start on #NatlPrep Month! http://t.co/DmFYlyRRwU</t>
  </si>
  <si>
    <t>RT @NYCMayorsOffice: Go Bags include a First-Aid Kit, flashlight, water, energy bars, and more. Pack one: http://t.co/NSN1onr2Ol #ReadyNYC …</t>
  </si>
  <si>
    <t>RT @CM_MargaretChin: Helping @nycoem distribute emergency radios, backpacks, lights and blankets at Alfred E. Smith Houses #ReadyNYC http:/…</t>
  </si>
  <si>
    <t>Mayor @billdeblasio hand out Go Bags to Ready New Yorkers! #CountdownToNPM2015 @ Ps 126 Jacob August… https://t.co/O3WcA8nCso</t>
  </si>
  <si>
    <t>RT @DanielSquadron: Handing out emergency supplies at @nycoem fair w/ @NYCMayorsOffice, @galeabrewer, @NydiaVelazquez, @CM_MargaretChin! ht…</t>
  </si>
  <si>
    <t>What a great day to be ready! #CountdownToNPM2015 https://t.co/m9ANEv4OXV</t>
  </si>
  <si>
    <t>Our preparedness fair is under way! Come by for a fun-filled afternoon. http://t.co/Iwr1zWBskB</t>
  </si>
  <si>
    <t>Tropical Storm #Erika is a reminder that hurricane season isn’t over. Know your zone. Know what to do. #knowyourzone http://t.co/m6awc2vsAX</t>
  </si>
  <si>
    <t>NYC, join us and our partners this afternoon for a FREE preparedness fair! #CountdownToNPM2015 http://t.co/EfwGWaod2T</t>
  </si>
  <si>
    <t>Excited for #NPM2015? We are! Join @nycoem &amp;amp; partners for a free preparedness fair tomorrow in #Manhattan! http://t.co/oDsOJ1OEZj</t>
  </si>
  <si>
    <t>RT @NWSNewYorkNY: Spring and Summer 2015 have been quite warm. Check out the graphic to see the average monthly temperatures vs normal http…</t>
  </si>
  <si>
    <t>Donating blood is a great way to contribute to emergency preparedness of NYC. Join @APECofQueens' Summer Blood Drive today from 2-6:30 PM!</t>
  </si>
  <si>
    <t>Happy National Dog Day! Remember that you're four-legged family members need an emergency plan, too. http://t.co/NFGplFAMki</t>
  </si>
  <si>
    <t>RT @SouthHarlemCERT: @nycoem is in #Harlem today, talking about preparedness w/ @EH_CERT &amp;amp; @SouthHarlemCERT #NYCCERT http://t.co/YnbolUm23Z</t>
  </si>
  <si>
    <t>Latest stop #nycemmobileoffice: Harlem! https://t.co/R7Gm2SAZxv</t>
  </si>
  <si>
    <t>#TweetTip: getting back-to-school gear? Consider upgrading *these*: http://t.co/nrhKq9K5eN</t>
  </si>
  <si>
    <t>#NYCEMMobileOffice is heading to #Harlem today! Get the details: http://t.co/GP7N8gJLpa</t>
  </si>
  <si>
    <t>Download @nycoem's #ReadyNYC app to help your family prepare in the case of an emergency: http://t.co/PqjHCS7LOr http://t.co/6f3sYwBoSP</t>
  </si>
  <si>
    <t>Tremors occasionally happen in NYC. All residents should be prepared. Here are some extra tips in case you feel one: http://t.co/2XCSgOXhUa</t>
  </si>
  <si>
    <t>Just a few simple steps can can ensure your pets safety. But first, add them to your disaster plan. Check it out: http://t.co/prPyE1eZPA</t>
  </si>
  <si>
    <t>Register your building's cooling tower(s) with @nyc_buildings: http://t.co/uIfXJbQIBS  #Legionnaires</t>
  </si>
  <si>
    <t>#TweetTip: Consider using a park, pool or beach as a meeting place for you and your family during an emergency.. http://t.co/nrhKq9K5eN</t>
  </si>
  <si>
    <t>RT @nycHealthy: Know the warning signs of heat illness:
✔ Heavy sweating
✔ Muscle cramps
✔ Feeling faint
✔ Headache
✔ Nausea 
More: http://…</t>
  </si>
  <si>
    <t>RT @nycHealthy: On hot days, know how to #BeatTheHeat! Use A/C, drink water, and check on family/friends: http://t.co/1FkTDRQd5c http://t.c…</t>
  </si>
  <si>
    <t>RT @nycHealthy: #Beattheheat: Drink fluids (#water) even if you don’t feel thirsty. Avoid beverages with alcohol, caffeine, or high amounts…</t>
  </si>
  <si>
    <t>RT @nycHealthy: Avoid strenuous activity, especially during the sun’s peak hours – 11 AM to 4 PM #beattheheat http://t.co/hfac4wPxKI</t>
  </si>
  <si>
    <t>RT @NotifyNYC: #AirQuality Advisory for today, 8/17 11AM-11 PM. Info: http://t.co/56U5UNk0We ASL: http://t.co/ofvFOV1s5w</t>
  </si>
  <si>
    <t>RT @NYCMayorsOffice: WATCH: How you can stay safe this summer with tips from @nycoem: http://t.co/fA27l7bVZ1 #BeatTheHeat</t>
  </si>
  <si>
    <t>RT @NotifyNYC: #AirQuality Alert for today, 8/16 11AM-11 PM. Info: http://t.co/56U5UNk0We ASL: http://t.co/ofvFOV1s5w</t>
  </si>
  <si>
    <t>RT @NWSNewYorkNY: Moderate risk of rip currents today at ocean beaches. Break the grip of the rip! http://t.co/D5SHAtz99F</t>
  </si>
  <si>
    <t>When temperatures rise, don’t be caught by surprise. Sign up for @NotifyNYC: http://t.co/GG33dFm8JN #BeatTheHeat</t>
  </si>
  <si>
    <t>RT @NYCMayorsOffice: Not sure how Legionnaires' spread in the Bronx and how it was contained? Watch this video: http://t.co/rle7Ltn906</t>
  </si>
  <si>
    <t>RT @NWSNewYorkNY: NOAA CPC: There's an increased chance that the region will see above normal temperatures in the weeks to come. http://t.c…</t>
  </si>
  <si>
    <t>.@nycHealthy: All cooling towers in the #SouthBronx outbreak area have been disinfected, regardless of test results: http://t.co/rLgehIDyFc</t>
  </si>
  <si>
    <t>RT @NYCMayorsOffice: Today’s your last chance in 2015 to check out @summerstreets with @nyc_dot. Don’t miss out: http://t.co/WG0AQ9kaHs htt…</t>
  </si>
  <si>
    <t>RT @NotifyNYC: #AirQuality Alert for today, 8/15 11AM-11 PM. Info: http://t.co/56U5UNk0We ASL: http://t.co/ofvFOV1s5w</t>
  </si>
  <si>
    <t>Today, @nycoem remembers the 2003 Northeast Blackout. Where were you when the lights went out? http://t.co/SLSUFV59UK</t>
  </si>
  <si>
    <t>Great day in the #SouthBronx at Joyce Kilmer Park! #NYCEMMobileOffice http://t.co/DOjGbA5qS8</t>
  </si>
  <si>
    <t>#ReadyNewYork PSAs featuring stars of @nbclawandorder:
-https://t.co/80ildOQpA7
-https://t.co/fUHUzQ5BYc
#FlashbackFriday</t>
  </si>
  <si>
    <t>RT @JoeEspoNYC: .@nycoem’s mobile office is visiting Joyce Kilmer Park Fri from 11AM-3PM w/ @vanessalgibson &amp;amp; @nychealthy – visit us there!</t>
  </si>
  <si>
    <t>MT @nycHealthy: No one in the #SouthBronx has experienced an onset of #Legionnaires' disease symptoms since Aug 3: http://t.co/Jyu6GHwRl4</t>
  </si>
  <si>
    <t>Register your building's cooling tower(s) with @nyc_buildings: http://t.co/uIfXJbQIBS #Legionnaires</t>
  </si>
  <si>
    <t>.@nycoem's Community Space Survey helps the City prepare for emergencies &amp;amp; outreach to all of the City's communities: http://t.co/e7AyTbXkfJ</t>
  </si>
  <si>
    <t>#NYCEMMobileOffice in #RockawayBeach with @YPGoldfeder. @ Rockaway Beach https://t.co/f1Jh4n6OKa</t>
  </si>
  <si>
    <t>Find out how @nycoem is improving its role as the coordinating agency for #NYC: http://t.co/86YTT2Ndid http://t.co/qLNdeQNOrv</t>
  </si>
  <si>
    <t>RT @nycHealthy: Cooling towers must be inspected &amp;amp; disinfected. What building owners in NYC need to know: http://t.co/ELYbudmd58. http://t.…</t>
  </si>
  <si>
    <t>RT @ConEdison: #Gas #safety starts at home. #Safety #tip: Make sure burners are turned off when not in use. http://t.co/HPxAff9beT</t>
  </si>
  <si>
    <t>Help NYC by registering your building's cooling tower online via @NYC_Buildings: http://t.co/uIfXJbQIBS #Legionnaires</t>
  </si>
  <si>
    <t>Don't let flooding get the best of you. Consider getting flood insurance and protect your property. http://t.co/E4P4ePIt7s</t>
  </si>
  <si>
    <t>.@nycoem is on hand at the #ConcourseVillage town hall with #NYCCERT. http://t.co/8jVxmUiG2U</t>
  </si>
  <si>
    <t>RT @PSEGdelivers: Call 811 before you dig to request #free mark out of underground #gas &amp;amp; #electric lines! http://t.co/Xzq4MeSVHG http://t.…</t>
  </si>
  <si>
    <t>Get ready, #RockawayBeach: @nycoem's mobile office hours are coming to your neighborhood tomorrow! http://t.co/06kgcOXWQ7</t>
  </si>
  <si>
    <t>RT @NWSNewYorkNY: Here is you morning radar update! Use caution during the morning commute with lots of standing water on the roadways. htt…</t>
  </si>
  <si>
    <t>RT @NotifyNYC: .@nycHealthy Ground-based mosquito spraying in QN, 8:30PM 8/11-6AM 8/12. Info: http://t.co/LcbyvEaBET, http://t.co/URLOihvRj…</t>
  </si>
  <si>
    <t>RT @nycmayorsoffice: Building managers: Register your cooling tower with @NYC_Buildings to to keep NYC safe. http://t.co/uIfXJbQIBS</t>
  </si>
  <si>
    <t>Starting soon, Mayor @BilldeBlasio provides an update on Legionnaires' and introduces new legislation. Watch live on http://t.co/wwHqON4Glc.</t>
  </si>
  <si>
    <t>RT @NYCMayorsOffice: Everything you need to know about how the Legionnaires’ outbreak is being contained by @nychealthy and @nycoem: http:/…</t>
  </si>
  <si>
    <t>.@nwsnewyorkny: Widespread 1-1.5" rainfall expected tonight through the day on Tuesday. Rain could be heavy at times. http://t.co/LpZxVqiTSZ</t>
  </si>
  <si>
    <t>RT @nycmayorsoffice: We’re developing a registry of buildings with cooling towers. Ask your building manager to join: http://t.co/vKfzGbiQ0T</t>
  </si>
  <si>
    <t>RT @nycHealthy: We're monitoring the disinfection of affected cooling towers in the #SouthBronx. More on the #Legionnaires response: http:/…</t>
  </si>
  <si>
    <t>RT @nycHealthy: New Commissioner's Order requires disinfection of all cooling towers that recirculates water. More info: http://t.co/AZgVWM…</t>
  </si>
  <si>
    <t>RT @nycHealthy: Legionnaires’ disease is not contagious. Stay up to date on the outbreak: http://t.co/AZgVWMhENr</t>
  </si>
  <si>
    <t>RT @NWSNewYorkNY: There is a moderate risk of rip currents today at the ocean beaches. Click the link for the surf zone forecast. http://t.…</t>
  </si>
  <si>
    <t>RT @nycHealthy: ER visits for pneumonia are decreasing in the #SouthBronx. New updates on #Legionnaires: http://t.co/AZgVWMhENr http://t.co…</t>
  </si>
  <si>
    <t>RT @nycHealthy: Learn more about the Commissioner's Order requiring owners of buildings w/ cooling towers to have them disinfected: http://…</t>
  </si>
  <si>
    <t>RT @nycHealthy: All owners of buildings w/ cooling towers will now be required to have them disinfected to prevent future outbreaks: http:/…</t>
  </si>
  <si>
    <t>RT @nycHealthy: Learn the facts about the #Legionnaires’ outbreak in the #SouthBronx &amp;amp; what we're doing to prevent future outbreaks: http:/…</t>
  </si>
  <si>
    <t>RT @NotifyNYC: .@nycHealthy Legionnaires' Disease - Commissioner's Order: Building owners w/ cooling towers see requirements at: http://t.c…</t>
  </si>
  <si>
    <t>NYC Emergency Management is having a great time in #RedHook. #NYCEMMobileOffice @ Brooklyn Public… https://t.co/CSec3ghN0z</t>
  </si>
  <si>
    <t>Regardless of the outlook, make sure you #knowyourzone! http://t.co/BdwQJVJ3HB  https://t.co/CGG7Lyw3lk</t>
  </si>
  <si>
    <t>Stop by NYC Emrgency Management’s mobile office at the #RedHook Library today (11 AM-3 PM) to learn about preparedness. #nycemmobileoffice</t>
  </si>
  <si>
    <t>NYC Emergency Management is bringing a mobile office to #RedHook tomorrow! http://t.co/DOhD3v0gd1</t>
  </si>
  <si>
    <t>Great discussion with our private sector partners at our annual #PartnersInPreparedness breakfast this morning. http://t.co/zz16QCvhZu</t>
  </si>
  <si>
    <t>Agency members continue to provide info on Legionnaires' Disease to property owners with cooling towers in the BX. http://t.co/ZpkmBvNbTe</t>
  </si>
  <si>
    <t>Every morning, @nycoem hosts a call w/ @nycHealthy &amp;amp; City agencies to discuss the response to Legionnaires' in the BX http://t.co/mzLWmhkUQA</t>
  </si>
  <si>
    <t>RT @certcb4q: Handing out #ReadyNewYork literature at #NNO15 @nycoem #NYCCERT #NationalNightOut http://t.co/2c7nVtjPym</t>
  </si>
  <si>
    <t>RT @SouthHarlemCERT: @EsplanadeFriend neighbors and @SouthHarlemCERT members @NYPD32Pct #NNO2015 @nycoem #NYCCERT http://t.co/qf0BkXUdtd</t>
  </si>
  <si>
    <t>Great to see Queens 14 CERT participating in #NationalNightOut with @NYPD100Pct! #NYCCERT http://t.co/JTVJBGJBp3</t>
  </si>
  <si>
    <t>RT @SouthHarlemCERT: Here at #NNO2015 @NYPD26Pct site. #NYCCERT @nycoem #NationalNightOut http://t.co/xxu5grNhUA</t>
  </si>
  <si>
    <t>NYC’s drinking water supply is safe and unaffected by legionella. Get the facts on Legionnaires’ disease in NYC: http://t.co/S3Ks4bnQRQ</t>
  </si>
  <si>
    <t>NYC Emergency Management talking to residents in Hunts Point! https://t.co/9pXm2pgCJ2</t>
  </si>
  <si>
    <t>.@nycoem’s mobile office will be in Hunts Point (BX) today! Stop by to learn more about the agency &amp;amp; being prepared. http://t.co/DOhD3v0gd1</t>
  </si>
  <si>
    <t>RT @nycgov: Happening now, a town hall in the Bronx about Legionnaires’ disease. Watch live on http://t.co/zoHXRm5uJQ.</t>
  </si>
  <si>
    <t>RT @nychealthy: It’s safe to drink @NYCWater from the tap. Learn more about Legionnaires' disease at tonight’s #Bronx Town Hall.</t>
  </si>
  <si>
    <t>ESTA NOCHE! Audiencia en #ElBronx. Aprende sobre la enfermedad del #legionario en: http://t.co/d7XXIcLafc</t>
  </si>
  <si>
    <t>RT @nychealthy: #Bronx Town Hall tonight on FACTS about LEGIONNAIRES’ Disease: http://t.co/zqM8ZxtIwO</t>
  </si>
  <si>
    <t>#NYCCERTs will be supporting @NYPDNews' #NationalNightOut tomorrow. Be sure to stop by and say hello! http://t.co/lCuLpU1Sda</t>
  </si>
  <si>
    <t>Get to know the Ready New York: Hurricanes and New York City guide. It's just as easy as knowing your zone. http://t.co/1QJJtTvWuk</t>
  </si>
  <si>
    <t>NYC Emergency Management is bringing a mobile office to communities across the 5 boroughs! Get the details: http://t.co/DOhD3v0gd1</t>
  </si>
  <si>
    <t>RT @NYCMayorsOffice: READ: What the recent cases of Legionnaires' disease mean and how @NYCHealthy @nycoem are working to keep us safe. htt…</t>
  </si>
  <si>
    <t>RT @NYCDisabilities: Got questions about #serviceAnimals and #ADA? Read FAQ's here. #disability #accommodations http://t.co/aAS1NS5SSY</t>
  </si>
  <si>
    <t>RT @NotifyNYC: .@nycHealthy Town hall meeting on Legionnaires' Disease: Mon, 8/3, 6PM-8PM @ the Bronx Museum of Arts.  Info: http://t.co/4D…</t>
  </si>
  <si>
    <t>RT @NYCMayorsOffice: Enjoy your weekend and #BeatTheHeat with these easy tips from @nycoem: http://t.co/cw5C5hRgkY</t>
  </si>
  <si>
    <t>RT @nycHealthy: Legionnaires' disease can NOT be spread from person to person. People who are sick cannot make others sick. More: http://t.…</t>
  </si>
  <si>
    <t>Today marks the peak of the #Atlantic hurricane season. #knowyourzone. Know what to do. http://t.co/BdwQJVJ3HB http://t.co/jKdVBZWopR</t>
  </si>
  <si>
    <t>RT @mayorsCAU: #Bronx Town Hall on facts about #Legionnaires Disease Mon. 8/3, 6pm-8pm @NYCMayorsOffice @Vanessalgibson @BronxMuseum http:/…</t>
  </si>
  <si>
    <t>#ReadyNewYork will be at @MayorsAlliance's #Adoptapalooza today! Stop by to learn how to prepare your pet for emergencies.</t>
  </si>
  <si>
    <t>RT @NYCMayorsOffice: FACT: Legionnaires’ disease is NOT contagious. As with any infection, early diagnosis is desirable. More information: …</t>
  </si>
  <si>
    <t>RT @NYCMayorsOffice: What New Yorkers need to know about Legionnaires’ disease: http://t.co/80wLQGyRta</t>
  </si>
  <si>
    <t>RT @SummerStreets: #SummerStreets begins TOMORROW! Thanks for counting down with us, and see you there! http://t.co/Fe5tzc0Tke</t>
  </si>
  <si>
    <t>RT @NWSNHC: New posting on NHC Inside the Eye blog - about naming a storm &amp;amp; issuing warnings before there's an actual storm. 
https://t.co…</t>
  </si>
  <si>
    <t>Recruitment for the #NYCCERT fall cycle is under way! Learn more about how you can support your community: http://t.co/HvnuQ1laEO</t>
  </si>
  <si>
    <t>Extreme heat may be out of sight, but here's the weekend forecast, courtesy of @nwsnewyorkny: http://t.co/OAQpytMlFX</t>
  </si>
  <si>
    <t>Whether you leave near or far, create a support network so you &amp;amp; your friends can help each other in emergencies. #friendshipday</t>
  </si>
  <si>
    <t>RT @NWSNewYorkNY: 4:51pm - A Flood Advisory has been issued for NYC, Nassau County, and west central Suffolk County. http://t.co/ZEvvqse8Yz</t>
  </si>
  <si>
    <t>RT @nycHealthy: As of today, a cluster of 46 cases of Legionnaires’ Disease in the South Bronx have been reported: http://t.co/Jyu6GHwRl4</t>
  </si>
  <si>
    <t>A Severe Thunderstorm Warning has been issued until 3:30PM, 7/30 for BX/QN. Updates: http://t.co/AuYng6CAkt. http://t.co/wvZ8STarkh.</t>
  </si>
  <si>
    <t>RT @NotifyNYC: Flash Flood Warning BX/QN/MN until 4:30PM. Heavy rainfall will cause flooding of highways &amp;amp; streets. http://t.co/AuYng6CAkt.</t>
  </si>
  <si>
    <t>RT @NWSNewYorkNY: Flash Flood Warning including Midtown Manhattan NY, Laguardia Airport NY, Throgs Neck Bridge NY until 4:30 PM EDT http://…</t>
  </si>
  <si>
    <t>RT @nwsnewyorkny: 2:21pm - Flood Advisory for Union, Hudson, SW Bergen, S Essex, Staten Island, Manhattan, the Bronx, and Queens until 4pm.</t>
  </si>
  <si>
    <t>Looking for a career in emergency management? Check out our job opportunities: http://t.co/2L42LeJAFs</t>
  </si>
  <si>
    <t>RT @NWSNewYorkNY: If you are heading to the ocean beaches to attempt to cool off, be aware that there is a HIGH risk of Rip Currents. http:…</t>
  </si>
  <si>
    <t>Cooling centers are open today for those seeking relief from the heat. To find one near you, visit http://t.co/8hoUoHcEgX or call @nyc311.</t>
  </si>
  <si>
    <t>RT @NYCMayorsOffice: Starting soon, Mayor @BilldeBlasio hosts a press conference. Watch live on http://t.co/2A6Y8RgXO5.</t>
  </si>
  <si>
    <t>During extreme heat, a dip in one of NYC’s free outdoor pools is a great way to cool off! Learn more here: http://t.co/BzRv9GpUZ4</t>
  </si>
  <si>
    <t>RT @NYCWater: Heat Advisory in effect until 8PM 7/30. Make sure everyone stays hydrated with NYC tap water! http://t.co/TC09GCc8KJ http://t…</t>
  </si>
  <si>
    <t>RT @JoeEspoNYC: If you want to keep cool by opening a fire hydrant, be #FDNYSmart &amp;amp; get a spray cap from your local @FDNY firehouse. http:/…</t>
  </si>
  <si>
    <t>Know the signs of heat illness (via @nychealthy): http://t.co/qcOd5KKt5h. If you see someone in distress, call 911 immediately. #beattheheat</t>
  </si>
  <si>
    <t>Check on your neighbors, especially those vulnerable to the heat. #beattheheat</t>
  </si>
  <si>
    <t>When temperatures rise, avoid strenuous activities. Get more safety tips here: http://t.co/xOde7qF8J8  #BeatTheHeat</t>
  </si>
  <si>
    <t>NYC cooling centers are open (http://t.co/8hoUoGV3pp) &amp;amp; @NYCParks pools (http://t.co/BzRv9GpUZ4) will have extended hours. #beattheheat</t>
  </si>
  <si>
    <t>The Heat Advisory is now in effect until 8 PM Thursday. For forecast updates, visit http://t.co/f3GhoDNM8i. #beattheheat</t>
  </si>
  <si>
    <t>.@notifynyc: Air Quality Health Advisory for tomorrow, July 29: 11 AM until 11 PM. Info: http://t.co/F5FQ78kpPv ASL: http://t.co/XoXw7IiGnw.</t>
  </si>
  <si>
    <t>.@nycseniors encourages NYC residents to check on their neighbors, especially the elderly. Your help can make a difference!</t>
  </si>
  <si>
    <t>Don’t let the heat affect you – if you have no A/C, find a cooling center near you:  http://t.co/8hoUoGV3pp. Stay safe during extreme heat.</t>
  </si>
  <si>
    <t>NYC outdoor pools have extended their hours to 8 PM, 7/28 and 7/29, due to the heat. Keep cool! http://t.co/BzRv9GpUZ4</t>
  </si>
  <si>
    <t>Never leave children, pets, or those who require special care in a parked car during periods of intense summer heat: http://t.co/6r2dhRXZn8</t>
  </si>
  <si>
    <t>Need quick #beattheheat tips? Check out our Beat the Heat video: https://t.co/H65V4QEWeQ</t>
  </si>
  <si>
    <t>NYC Cooling Centers will be open today and Wednesday to help New Yorkers looking to #beattheheat. Find one near you: http://t.co/OHBf8frxTf</t>
  </si>
  <si>
    <t>RT @NotifyNYC: #AirQuality Health Advisory for today, July 28 until 11 PM. Info: http://t.co/F5FQ78kpPv ASL: http://t.co/XoXw7IiGnw</t>
  </si>
  <si>
    <t>Protect your health as temperatures rise. Check out @nychealthy’s tips: http://t.co/3TH1vpnps6</t>
  </si>
  <si>
    <t>MT @NWSNewYorkNY: Heat Advisory this afternoon through early Wed evening for NYC. http://t.co/NKUydG54fL</t>
  </si>
  <si>
    <t>When temperatures rise, don't be caught by surprise. Sign up for @NotifyNYC: http://t.co/lELRetfnQj http://t.co/VZFnYykwP0</t>
  </si>
  <si>
    <t>Hot weather is expected this week, NYC. For forecast updates, check out @NWSNewYorkNY (http://t.co/f3GhoDNM8i). http://t.co/xzYiggK7mY</t>
  </si>
  <si>
    <t>Join @FDNY as it celebrates its 150th anniversary through Summer Block Party community events across NYC: http://t.co/u0FqnLJgkt #FDNY150</t>
  </si>
  <si>
    <t>#TweetTip: support your community by joining your local Community Emergency Response Team. http://t.co/nrhKq9K5eN</t>
  </si>
  <si>
    <t>RT @fema: Watch our new PSA showing people with disabilities taking charge to prepare for emergencies: https://t.co/4Rda82UeuM #ADA25</t>
  </si>
  <si>
    <t>RT @FDNYFoundation: Happy #NationalHotDogDay to @FDNY mascot and a beloved Hot Dog, @HotDogFDNY! Thanks for always keeping us #FDNYsmart! h…</t>
  </si>
  <si>
    <t>RT .@NWSNewYorkNY gave NYC agencies a seasonal coastal storm update as we continue preparing for hurricane season. http://t.co/kDvP9s672R</t>
  </si>
  <si>
    <t>Whether it’s a power outage, a hurricane, or #Sharknado, make sure you’re ready for any emergency: http://t.co/oCGr7Kj7oX</t>
  </si>
  <si>
    <t>Get involved. Apply to become a Civic Corps Member via @NYCService! http://t.co/6wVH1Rvwww</t>
  </si>
  <si>
    <t>This summer, be prepared with the #ReadyNYC app, available for iOS and Android devices: http://t.co/EUSKIk5Iw3 http://t.co/n8azLHAOtO</t>
  </si>
  <si>
    <t>RT @NWSNewYorkNY: The rest of the work week looks fantastic - sunny and warm with much lower humidity. Get out and enjoy it! http://t.co/py…</t>
  </si>
  <si>
    <t>Emergencies like power outages can affect your food supply. Find out what items to keep on hand &amp;amp; how to store them: http://t.co/aZkL7IZqIE</t>
  </si>
  <si>
    <t>Looking to quench your thirst? Stay hydrated with @NYCWater's Water on the Go: http://t.co/0x2e4piBsL</t>
  </si>
  <si>
    <t>Diminishing your power usage may seem like an inconvenience, but it's important step to take. Learn more: http://t.co/0vO6XK2dkP</t>
  </si>
  <si>
    <t>RT @NYCMayorsOffice: Information from @ConEdison @NYPDnews and @nycoem about the power outage on Staten Island: http://t.co/StnaSKB43E</t>
  </si>
  <si>
    <t>RT @NotifyNYC: .@ConEdison requests all customers citywide to conserve energy due to high heat. Report outages:1-800-75-CONED. Info: http:/…</t>
  </si>
  <si>
    <t>RT @NotifyNYC: Cooling centers have opened in various SI locations. For locations &amp;amp; timing info visit http://t.co/xYQSri0Ftd or call 311.</t>
  </si>
  <si>
    <t>RT: @NotifyNYC: @ConEdison has reduced voltage in areas of MN. Please limit use of non-essential appliances. Report outages 800-752-6633.</t>
  </si>
  <si>
    <t>RT @notifynyc: @ConEdison has reduced voltage in areas of SI. Please limit use of non-essential appliances. Report outages 800-752-6633.</t>
  </si>
  <si>
    <t>RT @NotifyNYC: .@ConEdison responding to power outage in various areas of SI.  To report loss of power: 1-800-752-6633 ASL: http://t.co/EFp…</t>
  </si>
  <si>
    <t>Follow @NotifyNYC to stay informed about the NYC heat advisory and other emergency events. #beattheheat http://t.co/A7tJxPopE0</t>
  </si>
  <si>
    <t>RT @FDNY: Be #FDNYSmart - visit your neighbors &amp;amp; contact your relatives to make sure that they are safe in the heat!</t>
  </si>
  <si>
    <t>.@LTSRowe spray caps are a way to legally open fire hydrants. Learn more from our friends at @FDNY: http://t.co/2TyS8SdeQ4.</t>
  </si>
  <si>
    <t>Remember: NYC cooling center finder will help you get into air conditioning fast: http://t.co/F1I7SP98eI or call @NYC311. #beattheheat</t>
  </si>
  <si>
    <t>.@nycdhs Commissioner: “Anyone who is concerned about the #homeless can call @nyc311 for an outreach team.” #BeatTheHeat</t>
  </si>
  <si>
    <t>Another suggestion from @drmarytbassett- Adjust your activity level. If you work outdoors stay hydrated. Water is the best solution!</t>
  </si>
  <si>
    <t>.@drmarytbassett: know the signs of heat illness. This is a medical emergency. Call 911 immediately. #BeatTheHeat</t>
  </si>
  <si>
    <t>.@drmarytbassett: “if you can’t get to air conditioning, take a cool shower.” #BeatTheHeat</t>
  </si>
  <si>
    <t>@drmarytbassett "The weather can be uncomfortable and dangerous. Stay in an air conditioned place if you can." #beattheheat</t>
  </si>
  <si>
    <t>.@joeesponyc: “We hit our heat emergency [threshold] yesterday.” #BeatTheHeat</t>
  </si>
  <si>
    <t>.@joeesponyc: “I think today’s message is to use common sense.” #BeatTheHeat</t>
  </si>
  <si>
    <t>.@FDNY will continue to provide spray caps [to New Yorkers]; you get them local firehouses. - Mayor @billdeblasio #BeatTheHeat</t>
  </si>
  <si>
    <t>Message from Mayor @billdeblasio; drink plenty of water and "look out for your neighbors- especially seniors." #beattheheat</t>
  </si>
  <si>
    <t>“We will keep @nycparks pools open until 8 PM.” - Mayor @billdeblasio #BeatTheHeat</t>
  </si>
  <si>
    <t>“For anyone who needs relief from the heat, the City will provide over 500 cooling centers.” - Mayor @billdeblasio #BeatTheHeat</t>
  </si>
  <si>
    <t>Mayor @billdeblasio live at the podium, speaking on safety of ourselves and our families during the NYC heatwave. http://t.co/fhz1eHkiEi</t>
  </si>
  <si>
    <t>Starting soon, Mayor @billdeblasio holds a press conference with @nycoem on the extreme heat. Watch live on http://t.co/2A6Y8RgXO5.</t>
  </si>
  <si>
    <t>RT @NotifyNYC: #AirQuality Health Advisory for today, July 20 from 10 AM - 10 PM. Info: http://t.co/F5FQ78kpPv ASL: http://t.co/XoXw7IiGnw</t>
  </si>
  <si>
    <t>Get heat history facts and more from @NOAA: http://t.co/ShGn2ObsqS #beattheheat</t>
  </si>
  <si>
    <t>RT @ConEdison: Remember these tips to stay cool this week: http://t.co/N5hEgVwaHI</t>
  </si>
  <si>
    <t>Cooling centers are open today for those seeking relief from the heat. For locations, visit http://t.co/z5BwLmFjMA or call 311.</t>
  </si>
  <si>
    <t>RT @NWSNewYorkNY: It is already heating up across the area. It feels like (heat index) it is in the lower 90s across much of the region (as…</t>
  </si>
  <si>
    <t>Know how to #beattheheat. Check out our latest @YouTube video for tips and information: https://t.co/H65V4QEWeQ</t>
  </si>
  <si>
    <t>RT @notifynyc: #AirQuality #HealthAdvisory for NYC on Sunday 7/19 from 11 AM-11 PM. Info: http://t.co/F5FQ78kpPv ASL: http://t.co/XoXw7IiGnw</t>
  </si>
  <si>
    <t>NYC cooling centers will be open Sunday &amp;amp; Monday for those looking for relief from the heat: http://t.co/iHz2lmZmUh #beattheheat</t>
  </si>
  <si>
    <t>Hot weather is expected Sunday &amp;amp; Monday. @nycoem &amp;amp; @nychealthy want New Yorkers to take precautions to #beattheheat: http://t.co/xLz3GI72Hk</t>
  </si>
  <si>
    <t>RT @NWSNewYorkNY: A Heat Advisory has been issued for New York City for Sunday and Monday. See the graphic for details. http://t.co/RknTnQW…</t>
  </si>
  <si>
    <t>July is typically the hottest month of the year. Before extreme heat, make sure you are #ReadyNewYork: http://t.co/VHTRSEjDku</t>
  </si>
  <si>
    <t>Members of @nycoem staff conduct a team drill to discuss the agency’s response to an active shooter… https://t.co/hgSJGkeELu</t>
  </si>
  <si>
    <t>Using known community spaces is critical to assisting residents during emergency &amp;amp; non-emergency times. Learn more: http://t.co/e7AyTbXkfJ</t>
  </si>
  <si>
    <t>Don’t go through an emergency alone. Make a support network that includes family, friends, coworkers, etc.  http://t.co/9V4iqPxu72 #ADA25NYC</t>
  </si>
  <si>
    <t>It’s common to think about your family and property in an emergency, but don't forget about your finances. http://t.co/SugO1iT6lY</t>
  </si>
  <si>
    <t>RT @nyc311: If the heavy rains caused ponding or flooding on streets or highways, report it online here: http://t.co/eMdRCZ4UrT</t>
  </si>
  <si>
    <t>RT @NotifyNYC: Flash Flood Warning until 2:45 PM (BK/QN). Heavy rainfall will cause flooding of highways &amp;amp; streets. Visit http://t.co/t918y…</t>
  </si>
  <si>
    <t>Proud to be part of this great event! #ADA25NYC  https://t.co/1irWG6yr4J</t>
  </si>
  <si>
    <t>RT @NWSNewYorkNY: A FLOOD ADVISORY is in effect for QUEENS COUNTY and KINGS COUNTY in Southeast New York until 2:15 PM EDT.</t>
  </si>
  <si>
    <t>.@NYC_DOT's accessible pedestrian signals assist blind or low vision pedestrians in crossing the street: http://t.co/d61tA54fdJ #ADA25NYC</t>
  </si>
  <si>
    <t>.@NWSNewYorkNY issues a Flash Flood Warning for Manhattan and Brooklyn until 1 PM. For forecast updates, visit http://t.co/f3GhoDNM8i.</t>
  </si>
  <si>
    <t>.@nycoem will be at today's #AccessToIndependence event, hosted by @NYCDisabilities and @NYC_DOT! Info: http://t.co/4fUms18RXz #ADA25NYC</t>
  </si>
  <si>
    <t>RT @nyc311: We now take leaking/running hydrants SRs via Twitter DM or Facebook PM. Name &amp;amp; contact phone req’d: http://t.co/JIUJ0LZu7J</t>
  </si>
  <si>
    <t>Get to know the #ReadyNewYork guides and resources. Find one that's right for you: http://t.co/ouY5HCCtBD</t>
  </si>
  <si>
    <t>.@Village409 the prototype needs to be evaluated for suitability as post-disaster housing before it's used long-term: http://t.co/WYSqyuKpeg</t>
  </si>
  <si>
    <t>Visit the nation's first urban post-disaster housing model. Request a tour by visiting  http://t.co/WYSqyuKpeg. http://t.co/LgEjpFGE4f</t>
  </si>
  <si>
    <t>Get from point A to point B with accessible transportation services available in NYC: http://t.co/bv9zmDUkZP. @NYCDisabilities #ADA25NYC</t>
  </si>
  <si>
    <t>Proud to be part of today's Disability Pride Parade! #ADA25NYC https://t.co/FC3lauKrWT</t>
  </si>
  <si>
    <t>NYC Emergency Management staff March in the Disability Pride Parade. #ADA25NYC https://t.co/V8jPeTW477</t>
  </si>
  <si>
    <t>RT @NotifyNYC: #AirQuality #HealthAdvisory for NYC until 11PM. Info: http://t.co/F5FQ78kpPv ASL: http://t.co/XoXw7IiGnw</t>
  </si>
  <si>
    <t>Make it your goal to be prepared. Find out how ready you are with the NYC Readiness Challenge: http://t.co/N6qKhy3Nv7 http://t.co/xsfbIMerJn</t>
  </si>
  <si>
    <t>RT @FDNY: After #USWNTParade #FDNY Commissioner, Chief of Department &amp;amp; @JoeEspoNYC capture @ussoccer_wnt's World Cup. http://t.co/w93YAqZQGv</t>
  </si>
  <si>
    <t>RT @NYPDChiefofDept: Great to see @NYCOEM Commissioner Esposito &amp;amp; @NYPD20Pct at the #USWNTParade http://t.co/Dz94xDV9Cb</t>
  </si>
  <si>
    <t>RT @notifynyc: #USWNTParade: Expect street closures &amp;amp; #traffic delays in area of City Hall in Lower Manhattan &amp;amp; the Brooklyn Bridge.</t>
  </si>
  <si>
    <t>Thanks for the support! #knowyourzone https://t.co/OTGtzp599K</t>
  </si>
  <si>
    <t>Did you know? @NotifyNYC sends emergency alerts in many formats, including American Sign Language videos: http://t.co/GG33dFm8JN #ADA25NYC</t>
  </si>
  <si>
    <t>Extreme heat history: according to @NWSNewYorkNY, Central Park reached its all time hottest temperature on record (106°) 79 years ago today!</t>
  </si>
  <si>
    <t>An important reminder from @NWS. When thunder roars, go indoors! https://t.co/TllGAyeovi</t>
  </si>
  <si>
    <t>.@NYCDisabilities needs volunteers this Sunday for the Disability Pride Parade: http://t.co/cpNDeC54sV #ADA25NYC</t>
  </si>
  <si>
    <t>Hi, @dan7Ls. We hope you can make it, too! The parade may end by that time. @NYCDisabilities, can you help?</t>
  </si>
  <si>
    <t>The time to be prepared for a hurricane is now. Know your zone. Know what to do. http://t.co/BdwQJVJ3HB #knowyourzone http://t.co/DHCW8b4ahk</t>
  </si>
  <si>
    <t>.@nycoem will be marching in this weekend's Disability Pride Parade. Join us! http://t.co/63LTgMiTuh @NYC_MOPD #ADA25NYC</t>
  </si>
  <si>
    <t>Whether you have a pet or service animal, make sure it's ready for an emergency. http://t.co/snZ3u5Ac26 #ADA25NYC http://t.co/rdvZhIsW9D</t>
  </si>
  <si>
    <t>Be prepared by putting together a support network that can assist you in case of an emergency. http://t.co/9V4iqPxu72 #ADA25NYC</t>
  </si>
  <si>
    <t>RT @NYCMayorsOffice: WATCH: The @fdny has tips to keep you safe this summer. http://t.co/FcFX5LeXQ1</t>
  </si>
  <si>
    <t>All New Yorkers should be ready for a hurricane. Get started by visiting http://t.co/BdwQJVJ3HB. #ADA25NYC #knowyourzone</t>
  </si>
  <si>
    <t>MT @notifynyc: Aerial #mosquito larviciding in BX, QN, SI 6AM-7PM on 7/7, 7/8, 7/9. Info: http://t.co/iAXhKT5Xpf, http://t.co/Oiih3438CR.</t>
  </si>
  <si>
    <t>NYC Emergency Management wishes New Yorkers a safe and Happy Independence Day. http://t.co/eUhnPDl9Bv</t>
  </si>
  <si>
    <t>MT @NYPDnews: Watching the @Macys Fireworks Show? Plan ahead &amp;amp; enjoy with the NYPD’s traffic advisory: http://t.co/0CJFCOseBu</t>
  </si>
  <si>
    <t>Take steps to protect your property from disaster: http://t.co/DWYqT42gRn #ReduceYourRisk</t>
  </si>
  <si>
    <t>About town this July 4th weekend? Know before you go with @NotifyNYC. Sign up today: http://t.co/GG33dFm8JN http://t.co/Ml0ADmrsBP</t>
  </si>
  <si>
    <t>Spark a celebration this Independence Day, but leave the fireworks to the professionals. Be fire smart: http://t.co/xhI9gNQ8r2 (via @FDNY)</t>
  </si>
  <si>
    <t>All New Yorkers should be prepared for disasters. Make a plan with Ready New York: http://t.co/MFgncqTIZc #ADA25NYC http://t.co/A6mGzpamYl</t>
  </si>
  <si>
    <t>Help NYC celebrate the 25th anniversary of the ADA. http://t.co/ahhAHssjCw #ADA25NYC</t>
  </si>
  <si>
    <t>What are Wireless Emergency Alerts (WEA)? Get the facts: http://t.co/riMEDplXRQ #WEA http://t.co/S5Cl1meNGS</t>
  </si>
  <si>
    <t>RT @NYCService: #NYCCivicCorps is now accepting applications on a rolling basis. Apply here: http://t.co/hGLnDwVSh3  #ServeAYear</t>
  </si>
  <si>
    <t>Congratulations to our #NYCCivicCorps graduates! Thank you all for your dedication and hard work this past year. http://t.co/4Va61kmBjb</t>
  </si>
  <si>
    <t>.@seniorboombox the Wireless Emergency Alert (or WEA) you received was not issued by @nycoem. More info about WEAs: http://t.co/riMEDplXRQ</t>
  </si>
  <si>
    <t>.@nycHealthy: West Nile Virus has been detected in NYC mosquitoes, but no human cases have been reported this season: http://t.co/u9YRUW95rQ</t>
  </si>
  <si>
    <t>.@Thedeadlybutter the AMBER Alert was cancelled, per @NotifyNYC: https://t.co/Jbo8UdFjpo</t>
  </si>
  <si>
    <t>.@streebs the Wireless Emergency Alert (or WEA) you received was not issued by @nycoem. More info about WEAs: http://t.co/riMEDplXRQ</t>
  </si>
  <si>
    <t>Do you #knowyourzone? Put it on display! Get your virtual Know Your Zone badge: http://t.co/omEsl7pF8n http://t.co/TBQyGpQ4kq</t>
  </si>
  <si>
    <t>RT @NYCService: Scroll with purpose! Search and apply for volunteer opportunities on the NYC Service mobile app available for iPhone http:/…</t>
  </si>
  <si>
    <t>RT @NWS: This Fourth of July, stay safe! Only swim at a beach with lifeguards. http://t.co/XUzhqjp5nV #July4Safety http://t.co/Jca2Mq5ldI</t>
  </si>
  <si>
    <t>We couldn't agree more! RT @fdny: It is never too early to start being #FDNYSmart, so check-out @nycoem &amp;amp; http://t.co/LqgTWRuBg5 for tips!</t>
  </si>
  <si>
    <t>In case you missed it, today's rip current risk is high today, per @nwsnewyorkny. Learn more: http://t.co/hUYTsje5Qd</t>
  </si>
  <si>
    <t>#OEMTweetTip: Make sure kids are Ready New Yorkers: be the teacher by preparing making a plan during the summer! http://t.co/nrhKq9K5eN</t>
  </si>
  <si>
    <t>Dive into summer (and remember to be safe) at @NYCParks' outdoor pools opening this weekend! http://t.co/mC0O4dJfws</t>
  </si>
  <si>
    <t>Get your business prepared for the next emergency with new Ready New York resources: http://t.co/xvInsknKLo http://t.co/qFvsskfEyv</t>
  </si>
  <si>
    <t>RT @NWSNewYorkNY: We are now beginning to make up significant ground in the rainfall department! Take a look! http://t.co/4mUt2zcyKR</t>
  </si>
  <si>
    <t>MT @nyc311: Grateful to @NYCOEM for their visit today &amp;amp; continued collaboration to keep NYers safe &amp;amp; informed. http://t.co/WWdoRsYH7P</t>
  </si>
  <si>
    <t>Thank you @philaoem &amp;amp; @SeattleHSD for meeting our Logistics staff to discuss logistics &amp;amp; human services planning. http://t.co/5vGzzWO688</t>
  </si>
  <si>
    <t>2009: @CraigatFEMA visits HQ to discuss ways to coordinate efforts of @FEMA &amp;amp; NYC first responders #ThrowbackThursday http://t.co/k1nUxo9jFH</t>
  </si>
  <si>
    <t>Did you know? Every thunderstorm has lightning in it (by definition). http://t.co/jwVBPMxUIW #LightningSafety</t>
  </si>
  <si>
    <t>NYC Citizen Corps's annual Disaster Volunteer Conference is June 30! Get your free tickets today: https://t.co/gnoynRerv8</t>
  </si>
  <si>
    <t>Regardless of the odds of being struck by lightning in your lifetime (1/12,000, per the @NOAA), be safe. Tips: http://t.co/kyKatOA1Lb</t>
  </si>
  <si>
    <t>NY experienced 153,471 cloud-to-ground lightning flashes in 2014. Learn more about lightning &amp;amp; #lightningsafety: http://t.co/5mXgZxIGfh</t>
  </si>
  <si>
    <t>.@VenusLovesVirgo no evacuation order was issued. Can you DM us more information? Thank you!</t>
  </si>
  <si>
    <t>ICYMI: Severe Thunderstorm Warning issued until 6:45PM, 6/23 for NYC. Updates: http://t.co/AuYng6CAkt. ASL: http://t.co/wvZ8STarkh.</t>
  </si>
  <si>
    <t>RT @NWSNewYorkNY: The Severe Thunderstorm Watch has been extended through 9pm for the entire area. http://t.co/ZQ80G7tTRY</t>
  </si>
  <si>
    <t>Do you know your #lightningsafety facts from fiction? Test your knowledge: http://t.co/bqxWB9kHMT (via @NOAA)</t>
  </si>
  <si>
    <t>#SevereThunderstorm Watch until 4PM for NYC: Winds of 40MPH+ can be expected. Use caution when walking/driving. http://t.co/f3GhoDNM8i.</t>
  </si>
  <si>
    <t>MT @NWSNewYorkNY: There’s an enhanced risk for severe storms today. Main threat: damaging wind &amp;amp; large hail. http://t.co/cAy7rhN3vc</t>
  </si>
  <si>
    <t>The deadline to accept your #prekforall offer is now June 26. Register in person with your child to claim your seat. http://t.co/8ZM4gAKuQy</t>
  </si>
  <si>
    <t>#OEMTweetTip: Ever think the possibility of being struck by lightning is so slim you aren't in danger? Think again! http://t.co/nrhKq9K5eN</t>
  </si>
  <si>
    <t>Heading to the beach this summer? Traveling around NYC for work or play? Know before you go. Sign up for @NotifyNYC. http://t.co/2NemTtSd7J</t>
  </si>
  <si>
    <t>.@NotifyNYC has added a new notification option and customized features in time for summer: http://t.co/Q8JxWSgjFV</t>
  </si>
  <si>
    <t>Be #ReadyNewYork this hurricane season. Download a copy of the Ready New York hurricane guide: http://t.co/gjasQz7ZTJ</t>
  </si>
  <si>
    <t>RT @SouthHarlemCERT: In Herbert von King Park today, with Jerome David UESCERT for Family Day! #NYCCERT#knowyourzone http://t.co/rI9buk2wg1</t>
  </si>
  <si>
    <t>Hurricanes can flatten buildings, topple trees &amp;amp; turn loose objects into deadly projectiles... #knowyourzone! http://t.co/BdwQJVJ3HB</t>
  </si>
  <si>
    <t>Once you #knowyourzone, be sure to make a plan. Use the Ready NYC app, available for iOS and Android. http://t.co/jv0VoGR0z2</t>
  </si>
  <si>
    <t>Port Richmond CERT has earned a grant from @NYStormRecovery to create a SI radio system. Congratulations! http://t.co/E3pZu4itJZ #NYCCERT</t>
  </si>
  <si>
    <t>.@TheRock, @Readygov &amp;amp; the @AdCouncil want you to be prepared for earthquakes: http://t.co/o1xBj18D1n</t>
  </si>
  <si>
    <t>Join us for this year's NYC Citizen Corps Disaster Volunteer Conference! Event details and free tickets: http://t.co/itTLLKinZh</t>
  </si>
  <si>
    <t>Whether you’re on your computer or on your phone, it’s really easy to #knowyourzone! Check out @nycoem’s new video: https://t.co/tfBKQAnEv6</t>
  </si>
  <si>
    <t>Hi @TSCLLC. Can you send a DM with details so we can direct you to the right point of contact? Thanks.</t>
  </si>
  <si>
    <t>Make sure your business is ready for a hurricane. Get tips from Partners in Preparedness: http://t.co/tSxBrj60rs</t>
  </si>
  <si>
    <t>RT @NWSNewYorkNY: A Flood Advisory has been issued for portions of the Lower Hudson Valley, NE NJ and NYC through 630 pm. http://t.co/RCw4c…</t>
  </si>
  <si>
    <t>Rain &amp;amp; thunderstorms expected in NYC. Visit http://t.co/f3GhoDNM8i for updates. Radar graphic via @nwsnewyorkny: http://t.co/OtxNFKoFyO</t>
  </si>
  <si>
    <t>.@nycoem's Facebook page launched 6 years ago today. Find out other ways you can stay get informed &amp;amp; stay connected: http://t.co/HgecoAnpOA</t>
  </si>
  <si>
    <t>Your community needs you during times of emergency. Get involved by registering your community space: http://t.co/xFVFQrt8vx</t>
  </si>
  <si>
    <t>#OEMTweetTip: gearing up for Father's Day? Get dad a gift that will make him ready. http://t.co/nrhKq9K5eN</t>
  </si>
  <si>
    <t>#NYCCERT volunteers were on hand at this weekend's Forest Hills Festival of the Arts! http://t.co/KjUwQeFawq</t>
  </si>
  <si>
    <t>MT @nwsnewyorkny: Heaviest of the rain has now moved east of the area. Additional showers and thunderstorms will be possible this afternoon.</t>
  </si>
  <si>
    <t>RT @JoeEspoNYC: Great day to get prepared - visit @NYCOEM in Times Square today to learn how. http://t.co/llK9MpesoN</t>
  </si>
  <si>
    <t>Check out the NYCEM LinkedIn page (http://t.co/ppIwgEVf7g) for agency updates and job opportunities. #JoinTheEmergencyTeam</t>
  </si>
  <si>
    <t>NYCEM staff member Diandra (center), presented on humanitarian logistics at the @NationalUASI conference yesterday! http://t.co/kPuO1yo4OK</t>
  </si>
  <si>
    <t>Take a look at @NWSNewYorkNY’s graphic and video on how to escape a rip current. https://t.co/BNdZu1NN37 http://t.co/KM6Exdwf1P</t>
  </si>
  <si>
    <t>RT @NWSNewYorkNY: Do you know how to spot a rip current? See the graphic for some tips. http://t.co/jIciHLH7qT</t>
  </si>
  <si>
    <t>Whether extreme heat makes its mark on NYC this week, this month, or this season, know how to #BeatTheHeat: http://t.co/EdgYxHwQQy</t>
  </si>
  <si>
    <t>Congratulations to @NYCSchools' I.S. 24 in Staten Island -- the 2015 Ready School of the Year! http://t.co/iQD6mM3LNS #readynewyork</t>
  </si>
  <si>
    <t>The Urban Post-Disaster Housing Prototype in Brooklyn, NY turns 1 this week! http://t.co/PdCkmAXTuD #WhatIfNYC #IDHU http://t.co/UPqgnqv2N3</t>
  </si>
  <si>
    <t>Did you know there’s more than one kind of rip current? Get the facts from  @NWSNewYorkNY: http://t.co/e8fZyJB1mQ</t>
  </si>
  <si>
    <t>MT @NWSNewYorkNY: It will be warmer and more humid the next few days with several chances for showers and t-storms. http://t.co/g4yrkRoMbU</t>
  </si>
  <si>
    <t>Air Quality Health Advisory for NYC: 10 AM - 10 PM, 6/11. Info: http://t.co/K8iJxbF7GS. http://t.co/F5FQ78kpPv. ASL: http://t.co/XoXw7IiGnw.</t>
  </si>
  <si>
    <t>Join NYC Citizen Corps for its 2015 Disaster Volunteer Conference on June 30!  https://t.co/gnoynRerv8</t>
  </si>
  <si>
    <t>Looking for a hurricane evacuation center in your neighborhood? Visit http://t.co/0vPmI49RyT &amp;amp; enter your address. #BePrepared #KnowYourZone</t>
  </si>
  <si>
    <t>At the @NationalUASI conference, @nycoem's James Foster shared experiences our planning for people w/ disabilities. http://t.co/kjjCp0WmSx</t>
  </si>
  <si>
    <t>How has @NotifyNYC helped you before, during or after an emergency? Share your story and use the hashtag #NotifyNYC.</t>
  </si>
  <si>
    <t>RT @nwsnewyorkny: Do you know what a rip current is? See below for some rip current facts and info. http://t.co/FflthtohIl</t>
  </si>
  <si>
    <t>RT @nwsnewyorkny: Unsettled for the next 36 hours. See our graphic for more details. http://t.co/p3mgWScWY4</t>
  </si>
  <si>
    <t>This #NationalBestFriendsDay, make a plan to stay in touch: offer to be part of your friends' support networks during an emergency.</t>
  </si>
  <si>
    <t>.@notifynyc just turned six. Tell us how it's helped you out before, during, or after an emergency or alert. Share your story! #NotifyNYC</t>
  </si>
  <si>
    <t>RT @nwsnewyorkny: Today marks the beginning of Rip Current Awareness Week! Check out these safety tips! http://t.co/odLAsDiLaM</t>
  </si>
  <si>
    <t>.@chrisbarrett96 you can enter to win a Go Bag by taking this month's Ready New York quiz: http://t.co/SXiY3ezc5r</t>
  </si>
  <si>
    <t>RT @NWSNewYorkNY: Temperatures will be on the rise for the start of the work week, but so will the chance of showers and thunderstorms. htt…</t>
  </si>
  <si>
    <t>RT @Readygov: Donuts may not be the best to include in your emergency kit, but we still love #NationalDonutDay 🍩 http://t.co/9CcHg6Q5zI</t>
  </si>
  <si>
    <t>Display how you #knowyourzone: download virtual Know Your Zone badges for your blog/website or get a window sticker! http://t.co/omEsl7pF8n</t>
  </si>
  <si>
    <t>.@nycoem &amp;amp; @NYPDnews provided an active-shooter preparedness presentation at Yeshiva Yagdil Torah in BP.  @HikindDov http://t.co/xHaLItaICx</t>
  </si>
  <si>
    <t>RT @NotifyNYC: Per NYC Dept. of Health, all NYC public beaches are open for swimming and wading. For more info: http://t.co/Qrg2She1x1.</t>
  </si>
  <si>
    <t>.@KatMor4 you're welcome. Yes, it is possible, which is why it's so important to #knowyourzone. Be safe and be prepared!</t>
  </si>
  <si>
    <t>(2/2) &amp;amp; accessibility of those neighborhoods by bridge &amp;amp; roads. For more information, visit http://t.co/BdwQJVJ3HB. @KatMor4</t>
  </si>
  <si>
    <t>(1/2) @KatMor4, thank you for your comment. The zones are based on detailed elevation info, the unique geography of low-lying neighborhoods</t>
  </si>
  <si>
    <t>Prep for hurricane season with @nycoem. See below for how to #KnowYourZone. http://t.co/Auh07Ho9Ha http://t.co/kVXXl4ca2K</t>
  </si>
  <si>
    <t>(2/2) @chrishazards, another idea: add important info/documents to a flash drive that could be sent to support network/out-of-town contacts.</t>
  </si>
  <si>
    <t>(1/2) @chrishazards, not unorthodox, but using an app like Ready NYC to create &amp;amp; share your emergency plan with friends/family is one idea.</t>
  </si>
  <si>
    <t>Rewind: here's last week's press conference with @JoeEspoNYC &amp;amp; @NWS' Jason Tuell discussing hurricane preparedness: https://t.co/yGxIEUMtd3</t>
  </si>
  <si>
    <t>Don't think there's a difference between hurricane evacuation zones and flood zones? Think again: http://t.co/omEsl7pF8n #knowyourzone</t>
  </si>
  <si>
    <t>This hurricane season, make sure your community knows what to do. Request a #ReadyNewYork presentation: http://t.co/AC98iLYDRI #knowyourzone</t>
  </si>
  <si>
    <t>First step to prepare for hurricane season: #KnowYourZone. See below for more tips. http://t.co/eswonXAZ1O</t>
  </si>
  <si>
    <t>Now is the time to help your community get prepared for emergencies. Register your community space today: http://t.co/e7AyTbFIR9</t>
  </si>
  <si>
    <t>Make a plan to come to Brooklyn this Friday: check out the City's post-disaster housing model! http://t.co/WYSqyv205O http://t.co/6aMWDejOrh</t>
  </si>
  <si>
    <t>#OEMTweetTip: this Rip Current Awareness Week, don't get swept away. http://t.co/nrhKq9K5eN</t>
  </si>
  <si>
    <t>Severe weather can happen in a flash. Make sure you stay informed. Get notified with @NotifyNYC: http://t.co/lELRetfnQj</t>
  </si>
  <si>
    <t>RT @NHC_Atlantic: Today marks the official start to the 2015 Atlantic #hurricane season. It is quiet for now: http://t.co/CYh0ifpqN4 http:/…</t>
  </si>
  <si>
    <t>.@NotifyNYC: Flash Flood Warning citywide until 8:30PM. Heavy rainfall will cause flooding of highways &amp;amp; streets: http://t.co/AuYng6CAkt.</t>
  </si>
  <si>
    <t>RT @NWSNewYorkNY: OKX issues Flash Flood Warning for Bronx, Kings, New York, Queens, Richmond [NY] till 8:30 PM EDT https://t.co/2jPBb6DH9d</t>
  </si>
  <si>
    <t>MT @NotifyNYC: Flash Flood Warning for BX until 6:15PM. Heavy rainfall will cause flooding of highways &amp;amp; streets. http://t.co/AuYng6CAkt.</t>
  </si>
  <si>
    <t>Thunderstorms are expecting to impact the New York City area. For forecast updates, visit http://t.co/XaNRYZnUH5.</t>
  </si>
  <si>
    <t>Know what to do to prepare for hurricanes in New York City. Get safety tips here: http://t.co/UJZgRtG1Gc #hurricaneprep #knowyourzone</t>
  </si>
  <si>
    <t>A key step in #hurricaneprep: make a plan! 
Get the #ReadyNYC app for iOS (http://t.co/P1a8BfBwYz) &amp;amp; Android (http://t.co/U8vRQnDQMX).</t>
  </si>
  <si>
    <t>Pop quiz: What’s the best first step to prepare for hurricane season in New York City? #KnowYourZone http://t.co/XXcXBi7uyv</t>
  </si>
  <si>
    <t>RT @NHC_Atlantic: The NHC hurricane specialists were honored to have some assistance from @POTUS today. Details:https://t.co/fu90GaIFsw htt…</t>
  </si>
  <si>
    <t>RT @NYCMayorsOffice: New Yorkers: How do you find out what zone you’re in? http://t.co/Auh07Ho9Ha #KnowYourZone http://t.co/DADzhxr437</t>
  </si>
  <si>
    <t>El comisionado @JoeEspoNYC de @nycoem anunció re-estreno de #Conocetuzona: http://t.co/nXSfpTsHBR #knowyourzone http://t.co/0V9BQatMmG</t>
  </si>
  <si>
    <t>Watches and warnings, oh my! Find out what terms you need to know this hurricane season: http://t.co/os6pynNdST #hurricaneprep #knowyourzone</t>
  </si>
  <si>
    <t>RT @NotifyNYC: #SevereThunderstorm Watch until 7PM for NYC: Winds of 40MPH+ can be expected. Use caution when walking/driving. http://t.co/…</t>
  </si>
  <si>
    <t>Learn about data used to make track &amp;amp; intensity predictions for hurricanes: http://t.co/8pOFfG0I7E (via @NOAA) #hurricaneprep</t>
  </si>
  <si>
    <t>This hurricane season, know your zone. Know what to do. Check out our new video on @YouTube: https://t.co/8CwIA9W1N3 #knowyourzone</t>
  </si>
  <si>
    <t>.@NOAA says hurricane outlook for this season is likely “below normal,” but remember: #itonlytakesone. http://t.co/MmIPD766mT #knowyourzone</t>
  </si>
  <si>
    <t>Thank you to @NWS Eastern Region director Jason Tuell for participating in today’s event, and PS 24 for hosting! http://t.co/uR7PQduiJo</t>
  </si>
  <si>
    <t>.@nycoem’s @JoeEspoNYC announces re-launch of #knowyourzone: http://t.co/nXSfpTsHBR http://t.co/Gyp2IRndwm</t>
  </si>
  <si>
    <t>“The other step is staying informed... Sign up for @NotifyNYC online at http://t.co/GG33dFm8JN or on Twitter.” -@joeesponyc #KnowYourZone</t>
  </si>
  <si>
    <t>“Make sure you have a plan. Use the #ReadyNewYork guides or the #ReadyNYC app to get started and share it.” - @JoeEspoNYC #KnowYourZone</t>
  </si>
  <si>
    <t>“It’s best to stay with friends or family if you have to evacuate, but evacuation centers [like PS 24] to help NYC.” #KnowYourZone</t>
  </si>
  <si>
    <t>“Don’t wait for the rain to start. Know what to do... Make a plan and gather supplies.” - @JoeEspoNYC #KnowYourZone</t>
  </si>
  <si>
    <t>“We are relaunching the 2015 Know Your Zone campaign.” - @JoeEspoNYC #KnowYourZone http://t.co/a6JZ8OAq3t</t>
  </si>
  <si>
    <t>.@joeesponyc: it’s easy to #KnowYourZone. Visit http://t.co/BdwQJVJ3HB or call @NYC311.</t>
  </si>
  <si>
    <t>.@joesponyc: there are 3 steps you can do to be prepared: #KnowYourZone, make a plan, and stay informed. #KnowYourZone</t>
  </si>
  <si>
    <t>.@nws forecast: 70% chance for below-normal season; 20% of normal season; &amp;amp; 10% of above-normal season. But #itonlytakesone. #KnowYourZone</t>
  </si>
  <si>
    <t>Live at PS 24 in Brooklyn: #KnowYourZone http://t.co/ToEiBqv9A4</t>
  </si>
  <si>
    <t>Happening soon: @nycoem &amp;amp; @NWS to discuss 2015 hurricane season &amp;amp; steps NYers can take to prepare.  #KnowYourZone http://t.co/yXIZ5iPbIb</t>
  </si>
  <si>
    <t>Fact: hurricanes can produce deadly flooding hundreds of miles inland. Learn more: https://t.co/sudPnbTs2l #HurricanePrep</t>
  </si>
  <si>
    <t>The Saffir-Simpson Hurricane Wind Scale categorizes a hurricane's intensity. More wind facts that may blow you away: https://t.co/1UGoWuoJzg</t>
  </si>
  <si>
    <t>National Hurricane Center to issue storm surge watch and warning graphic. Learn more: http://t.co/qoblGhkskq #hurricaneprep</t>
  </si>
  <si>
    <t>Check out @NHC_Surge's "fast-draw" video on storm surge -- one of the deadliest hurricane hazards: https://t.co/UwO36PkCXr #hurricaneprep</t>
  </si>
  <si>
    <t>What makes a hurricane? Get the basics from the National Hurricane Center: https://t.co/R0MjYiCBji @NHC_Atlantic</t>
  </si>
  <si>
    <t>#OEMTweetTip: this Hurricane Preparedness Week, hit back at hazards. http://t.co/nrhKq9K5eN</t>
  </si>
  <si>
    <t>NYC Emergency Management would like to thank the men &amp;amp; women -- past &amp;amp; present -- for their service. #MemorialDay http://t.co/rXqtxg1gfQ</t>
  </si>
  <si>
    <t>Applications are being accepted for 2015-2016 @NYCService's NYC Civic Corps. Hurry -- the deadline to apply is 6/15: http://t.co/1tS43tx4cB</t>
  </si>
  <si>
    <t>NYC beaches open this weekend. Get details from @NYCParks: http://t.co/s1xM05Mvy4</t>
  </si>
  <si>
    <t>Plan on barbecuing for Memorial Day? Know the drill before you grill: http://t.co/QGescJsYi3 (via @FDNY) #EMSWeek2015 http://t.co/j2WQEVVB1n</t>
  </si>
  <si>
    <t>RT @NWSNewYorkNY: Check out the following link which has beach safety tips and rip current education and information.
http://t.co/jfjY9ZncXt</t>
  </si>
  <si>
    <t>Sorry you aren't finding the feed useful, @davidbivins. Check out #TwitterAlerts (https://t.co/hsjivrasQT) &amp;amp; @NotifyNYC for emergency info.</t>
  </si>
  <si>
    <t>This #EMSWeek2015, be cool about fire safety. Check out @FDNY’s publications: http://t.co/ZpUUpYlgpv</t>
  </si>
  <si>
    <t>Today, @nycoem met with New Zealanders to discuss hazard mitigation &amp;amp; efforts like the housing prototype. http://t.co/omjQIUh8dK</t>
  </si>
  <si>
    <t>Thank you, @FDNY! https://t.co/LyqLRpcBnO</t>
  </si>
  <si>
    <t>From the archives: Operation Safe PATH, an exercise with @PANYNJ: http://t.co/IquQXTfYTC #tbt</t>
  </si>
  <si>
    <t>.@PortSideNewYork per @NotifyNYC -- military aircraft flyovers &amp;amp; demonstrations throughout NYC for #FleetWeek. https://t.co/2mCd0azLuW</t>
  </si>
  <si>
    <t>Stay in the loop: Text "Follow NYCOEM" to 40404 &amp;amp; you'll receive our updates via text, even when you're not on Twitter! #EngageNYC</t>
  </si>
  <si>
    <t>Watch and learn: check out @nycoem emergency preparedness videos on @YouTube: http://t.co/GjKHk5kNcM</t>
  </si>
  <si>
    <t>.@nycoem is at Engage NYC 2015 today at Civic Hall. Follow the conversation -&amp;gt; #engagenyc.</t>
  </si>
  <si>
    <t>RT @FDNY: Every level of your home should have a working Smoke/CO alarm. Check-out http://t.co/JnzAVYIaXL</t>
  </si>
  <si>
    <t>When temperatures rise, don’t get caught by surprise! Take a look at the Ready New York: Beat the Heat guide: http://t.co/qXgfXZeuUI</t>
  </si>
  <si>
    <t>Last week, @nycoem's Asheque Rahman presented best practices of logistics at @ITEhq's Northeastern Annual Meeting. http://t.co/yGtc66oZAE</t>
  </si>
  <si>
    <t>It's International Museum Day. Consider making a local museum one of your meeting places for your emergency plan! #ReadyNewYork</t>
  </si>
  <si>
    <t>MT @NotifyNYC: #Amtrak service btw Philadelphia &amp;amp; NYC fully restored starting Mon., 5/18, as of approx 5:30AM. Info: http://t.co/uyo0VoteYK.</t>
  </si>
  <si>
    <t>This #PoliceWeek, connect with your local police precinct on #Twitter, and follow the latest @NYPDnews account, @NYPDinmemoriam.</t>
  </si>
  <si>
    <t>It's great to host fellow emergency managers at @nycoem HQ, including @TorontoOEM director Loretta Chandler (center). http://t.co/EmDjT40h6X</t>
  </si>
  <si>
    <t>Staff attended Wed.’s Central Park Community Council meeting to discuss @nycoem’s role as a coordinating agency. http://t.co/Nxde2UH0Ww</t>
  </si>
  <si>
    <t>"[#NYCCERT members] show what being a New Yorker is all about: selflessly helping... when necessary." -- @JoeEspoNYC https://t.co/xz01u3P2FW</t>
  </si>
  <si>
    <t>Join @NYCService in making NYC stronger &amp;amp; more resilient: volunteer on Sandy recovery projects with @NYCBuildItBack: http://t.co/4dcBaSKBw9</t>
  </si>
  <si>
    <t>This National Law Enforcement Week, find your police precinct using the @NYPDnews Precinct Finder: http://t.co/oH14NDkGWP</t>
  </si>
  <si>
    <t>Being prepared defies age. Check out the "Ready New York -- What's Your Plan?" video series: http://t.co/YRyLKlWaG1. #OlderAmericansMonth</t>
  </si>
  <si>
    <t>Red Flag Warning: Dry conditions/gusty wind increase brush fire risk today 5/13. Use caution w/outdoor grills &amp;amp; never discard lit cigarettes</t>
  </si>
  <si>
    <t>If you have questions about friends or family aboard @Amtrak 188, call this number: 800-523-9101. More from @nycoem: http://t.co/TYRusVGjwJ</t>
  </si>
  <si>
    <t>Today is expected to be the warmest day of the season (so far). Make sure you're ready! http://t.co/3ttXNzRU1S http://t.co/09BNy7wAcT</t>
  </si>
  <si>
    <t>Age is nothing but a number. This Older Americans Month, be wise by being prepared: http://t.co/TqXDcUkBlZ</t>
  </si>
  <si>
    <t>RT @NYCMayorsFund: Help bring food, shelter, water and other vital resources to those impacted in #Nepal earthquake by donating today: http…</t>
  </si>
  <si>
    <t>#PlanForYourPet in the event of an emergency and download the Ready New York: My Pet’s Emergency Plan: http://t.co/c67nKG43zY</t>
  </si>
  <si>
    <t>.@NYC_DOT’s new #YourChoicesMatter campaign highlights the real &amp;amp; tragic results of traffic incidents. #VisionZero http://t.co/y1Dr1rpfX7</t>
  </si>
  <si>
    <t>Help NYC by registering your community space with @nycoem’s Community Space Survey Network: http://t.co/e7AyTbXkfJ</t>
  </si>
  <si>
    <t>Find out what you need to know about Wireless Emergency Alerts (WEAs) from @FEMA: http://t.co/WKJe40vxVp</t>
  </si>
  <si>
    <t>Get your organization ready for emergencies. Become a Partner in Preparedness: http://t.co/WeQ5dSiIrj  #smallbiz http://t.co/LLMzFRbz9M</t>
  </si>
  <si>
    <t>.@NYCService is still seeking volunteers for @NYCBuildItBack outreach. Learn more: http://t.co/4dcBaSKBw9</t>
  </si>
  <si>
    <t>MT @notifynyc: Controlled fire &amp;amp; disaster drill: Red Cross Pl/Cadman Plaza E, BK @ 6:30PM on 5/7. @FDNY/@NYPDnews will be present. #NYCCERT</t>
  </si>
  <si>
    <t>.@LoringRob @NotifyNYC issued an alert at 10:32 AM. https://t.co/qPSo2pHEhC</t>
  </si>
  <si>
    <t>RT @NYCSchools: Happy #TeacherAppreciationWeek! How do you plan to #ThankATeacher? Check out our video: http://t.co/9CiOfSJfzU</t>
  </si>
  <si>
    <t>Make sure your business is prepared this National Small Business Week: https://t.co/qMQqKwkmfA. #ReadyNewYork #smallbiz</t>
  </si>
  <si>
    <t>MT @NotifyNYC: Controlled fire &amp;amp; disaster drill @ 32nd Street &amp;amp; 35th Avenue, QN @ 6:30PM today. .@FDNY/.@NYPDnews will be present. #NYCCERT</t>
  </si>
  <si>
    <t>The priority deadline for #NYCCivicCorps member applications is May 13: http://t.co/tLFFq7ykSR (via @NYCService)</t>
  </si>
  <si>
    <t>Our thoughts and prayers are with the #NYPD and the family of Officer Moore during this time of solidarity. http://t.co/k4vvAsLsSn</t>
  </si>
  <si>
    <t>RT @NotifyNYC: Dry conditions/gusty winds increase brush fire risk today.Use caution w/outdoor grills,never discard lit cigarettes. http://…</t>
  </si>
  <si>
    <t>To our partners, @FDNY: thank you for your service and support! Happy 150th anniversary. #FDNY150 http://t.co/cWlxzd3zXy</t>
  </si>
  <si>
    <t>Check the @nycoem LinkedIn page for jobs/internship opportunities and agency updates. http://t.co/povocdyyyZ #HelpOthersPrepare</t>
  </si>
  <si>
    <t>Low-interest loans are available to residents &amp;amp; businesses affected by the East Village explosion: http://t.co/Pb4V0bJVnI (@nygov) (@SBAgov)</t>
  </si>
  <si>
    <t>A little rain may seem harmless, but it can turn hazardous in a flash. Find out about the dangers of flash flooding: http://t.co/5r0iKAreDU</t>
  </si>
  <si>
    <t>Don't get it twisted: tornadoes can occur here in NYC: http://t.co/1IIgDvOEvn.
-Check out @NWSNewYorkNY's graphic: http://t.co/00cpdikxWy</t>
  </si>
  <si>
    <t>.@nycoem, @femaregion2, @redcrossny, #UASEM students &amp;amp; #NYCCERT in action for #prepareathon at Penn Station: http://t.co/5pNUmFKE4w</t>
  </si>
  <si>
    <t>MT @femaregion2: pleased to join @nycoem Ready NY at @Amtrak #PrepareAthon! in #PennStation. (Photo: KC Wilsey/FEMA) http://t.co/MGgukAHfhB</t>
  </si>
  <si>
    <t>.@prepareathon is here! Want to participate? It’s easy to get involved: http://t.co/r97zs6QirA #prepareathon</t>
  </si>
  <si>
    <t>RT @NotifyNYC: Due to protest activity, expect emergency personnel &amp;amp; traffic delays in the vicinity of Union Square, Manhattan.</t>
  </si>
  <si>
    <t>Have you checked the food in your emergency supplies? Get tips on what to include, and how to properly store items:...</t>
  </si>
  <si>
    <t>Did you know it's also Air Quality Awareness Week? Find out what it means and why it's important: http://t.co/2wefluMcXn @EPA @NOAA</t>
  </si>
  <si>
    <t>It's important to practice safety before, during &amp;amp; after severe weather strikes. Get tips from @NWSNewYorkNY: http://t.co/GRotGWjRmb</t>
  </si>
  <si>
    <t>Preparing for coastal storm season: @nycoem &amp;amp; @NYCParks practiced commodity distribution yesterday: http://t.co/3EJnO7pcgS (via @JoeEspoNYC)</t>
  </si>
  <si>
    <t>RT @NYCMayorsFund: Ways to help support those impacted by the devastating earthquake in Nepal via some exceptional int'l partners: http://t…</t>
  </si>
  <si>
    <t>Zombies are no match for superheroes like Ready New Yorkers! https://t.co/QHOEdnIC4q</t>
  </si>
  <si>
    <t>Get the facts about thunderstorms from @NWSNewYorkNY's Severe Weather Awareness Week graphic: http://t.co/oVGF1TxpWz</t>
  </si>
  <si>
    <t>Build a nonprofit network and gain volunteer management experience by applying for @NYCService's #NYCCivicCorps: http://t.co/tgzBGcp8Mg</t>
  </si>
  <si>
    <t>#OEMTweetTip: If severe weather occurs, don't get served: win the battle by staying informed. http://t.co/nrhKq9K5eN</t>
  </si>
  <si>
    <t>It's Severe Weather Awareness Week. Get to know what types of severe weather can affect NYC from @NWSNewYorkNY: http://t.co/uNJYxgh6Nq</t>
  </si>
  <si>
    <t>Hi, @philipneumann. #ReadyNYC is available for iOS &amp;amp; Android smartphones &amp;amp; tablets. The Android app can be found at https://t.co/kbOBM8ORsH.</t>
  </si>
  <si>
    <t>CERT trainees participated in a disaster simulation to test their emergency response skills. FB album here: http://t.co/jUmUVSPBqc  #NYCCERT</t>
  </si>
  <si>
    <t>John D. Solomon Fellows teamed up with UASEM students for a tabletop exercise: http://t.co/WpOClFHpUK (via @Tumblr) #SolomonFellowship</t>
  </si>
  <si>
    <t>There's still time to take this month's #ReadyNewYork quiz for a chance to win a Go Bag! Test your knowledge today: http://t.co/SXiY3ezc5r</t>
  </si>
  <si>
    <t>Week 7 of the 10-week CERT training course was fire safety. Learn more about CERT: http://t.co/YzoVsiADvN #NYCCERT http://t.co/Mux9Uouaoa</t>
  </si>
  <si>
    <t>Want to educate your school, workplace, etc., about emergency preparedness? Ready New York can help: http://t.co/AC98iLYDRI #ReadyNewYork</t>
  </si>
  <si>
    <t>NYC is experiencing wind gusts in excess of 40 MPH. Use caution when walking/driving. Winds can cause flying debris. http://t.co/f3GhoDNM8i.</t>
  </si>
  <si>
    <t>Did you know? @nycoem was the City's first "green" agency HQ with #LEED certification from @USGBC.  #EarthDay http://t.co/ezkbFPhkks</t>
  </si>
  <si>
    <t>#NYCCERT members (Queens 14 CERT, pictured) help communities through events like @RWA_NYC's dune planting.  #EarthDay http://t.co/boboZE6iSG</t>
  </si>
  <si>
    <t>Now you have the power to be prepared on your tablet. Download the #ReadyNYC app (for iOS and Android) today! http://t.co/sC6PnwRGy7</t>
  </si>
  <si>
    <t>RT @NYCHRA: Having trouble affording food? You’re not alone, help is available: http://t.co/BB6j7JJLmI #SNAPHelps http://t.co/yeOFILKfFF</t>
  </si>
  <si>
    <t>.@nycoem con @ChildrensAidNYC para el primer #ReadyNewYork Tween evento en español para estudiantes de grado 6-8: http://t.co/yYsGXOO9X9</t>
  </si>
  <si>
    <t>April showers bring May flowers, but clogged catch basins can cause flooding. Find out how to help from @NYCWater: http://t.co/49qQzZTvXN</t>
  </si>
  <si>
    <t>RT @NWSNewYorkNY: Dense Fog Advisory in effect for portions of the area tonight. Use caution when driving tonight. http://t.co/8lvVPpby9F</t>
  </si>
  <si>
    <t>#OEMTweetTip: Earthquakes tremors could happen in New York City. Know what to do when the earth moves and grooves. http://t.co/nrhKq9K5eN</t>
  </si>
  <si>
    <t>.@FEMA's updating its Flood Insurance Rate Maps. For information and resources about these upcoming changes, visit http://t.co/m5AEHAoOmW.</t>
  </si>
  <si>
    <t>FDNY and NYC Emergency Management advise New Yorkers about increased risk of brush fires today, 4/18. Press release: http://t.co/EugDzOA4Dp</t>
  </si>
  <si>
    <t>MT @NotifyNYC: NYC Fire Weather Watch: Saturday, 4/18 12PM-8PM fires can spread quickly due to wind conditions. Info: http://t.co/LqueZi58E0</t>
  </si>
  <si>
    <t>One year ago today, the updated NYC Hazard Mitigation Plan made its debut. Learn more: http://t.co/viIprVAvbN @PlaNYC @NYCPlanning</t>
  </si>
  <si>
    <t>RT @NYCImmigrants: Today marks the beginning of #IHW2015! On April 17, 1907 a record-breaking number of immigrants --11,747 were processed …</t>
  </si>
  <si>
    <t>Looking for a volunteer opportunity this #NVW2015? @NYCService's looking for volunteers for @NYCBuildItBack outreach: http://t.co/kp0e9obHZx</t>
  </si>
  <si>
    <t>Glad tax season is over? Us too. But before you put your documents away, take these steps to be ready for disaster: http://t.co/jmGorfgMKt</t>
  </si>
  <si>
    <t>This #NVW2015, find out how NYC Citizen Corps promotes preparedness at the local level: http://t.co/SXpWRadn3d</t>
  </si>
  <si>
    <t>Today we remember the 2nd anniversary of the Boston Marathon bombing and those affected by this senseless tragedy. #OneBoston</t>
  </si>
  <si>
    <t>RT @JoeEspoNYC: NYC agencies held a forum today w/ businesses affected by the #EastVillageExplosion to help them get back to normal. http:/…</t>
  </si>
  <si>
    <t>RT @NotifyNYC: Full Scale Exercise: 4/15 9AM-5PM, Fort Hamilton, BK. USAG w/NYPD and FDNY. Helicopter flyover expected.</t>
  </si>
  <si>
    <t>#NYCCERT members assist with community outreach and emergency responses. Learn more: http://t.co/B74xbq9m1k… https://t.co/X7hNUOXVXF</t>
  </si>
  <si>
    <t>#OEMTweetTip: For fast information during a non-emergency in NYC, check out all the benefits 311 has to offer: http://t.co/tsuvNHZLKe</t>
  </si>
  <si>
    <t>MT @NotifyNYC: Controlled fire &amp;amp; disaster drill at 32nd St and 35th Ave, QN @ 6:30PM on 4/14. .@FDNY/.@NYPDnews will be present. #NYCCERT</t>
  </si>
  <si>
    <t>Happy National Volunteer Week! Find out how you can get involved before emergencies happen: http://t.co/KzZwRGIhbM #NVW2015</t>
  </si>
  <si>
    <t>Out-of-town contacts are important you see / They are helpful during an emergency / Get the gist? / Make your list #PoetweetNYC</t>
  </si>
  <si>
    <t>Over 125k was raised to support those impacted in the #EastVillage building collapse Read more here: http://t.co/Hps8xzCURJ</t>
  </si>
  <si>
    <t>The reception center for the East Village building collapse closes today at 7 PM. For updates, visit http://t.co/K1mjMPNN1h or call 311.</t>
  </si>
  <si>
    <t>Limit your haste / Get a plan in place / Read a Ready New York guide / To prepare you for an emergency surprise. #NYCPoetweet</t>
  </si>
  <si>
    <t>RT @NotifyNYC: #EastVillage Building Collapse Recep Ctr: Closing 4/10. As of 4/11, contact landlord directly for access to homes. http://t.…</t>
  </si>
  <si>
    <t>Last week, @nycoem attended a ceremony in which @femaregion2 received the Shinnecock Nation's Shinnecock Tribal Flag. http://t.co/w7HuWZiacy</t>
  </si>
  <si>
    <t>Your community space can assist with City emergency operations or be used for community outreach events. Learn how: http://t.co/s7xRqZTuHw</t>
  </si>
  <si>
    <t>Did you know @nycoem is on @LinkedIn? Get agency updates here, including job opportunities, here: https://t.co/hGkIfs7RYy</t>
  </si>
  <si>
    <t>.@NYCService is looking for volunteers to assist with @NYCBuildItBack outreach this weekend! Event info: http://t.co/DmcWGPui5j</t>
  </si>
  <si>
    <t>Get critical info on your phone in real time. Sign up for #TwitterAlerts: https://t.co/hsjivrasQT &amp;amp; https://t.co/cbH9TtM1F7. CC: @NotifyNYC</t>
  </si>
  <si>
    <t>Did you know that Mr. Met of the @Mets is a Ready New Yorker? Check out these  PSAs: http://t.co/IrCnWngkOv #OpeningDay</t>
  </si>
  <si>
    <t>The John D. Solomon Fellowship for Public Service's latest field trip was to @redcrossny's HQ: http://t.co/PLNzBnQBuV #SolomonFellowship</t>
  </si>
  <si>
    <t>In the spirit of #OpeningDay, hit a #ReadyNewYork home run: take April's quiz for a chance to win a Go Bag: http://t.co/SXiY3ezc5r</t>
  </si>
  <si>
    <t>#OEMTweetTip: take spring cleaning to the next level -- update your emergency plan. http://t.co/nrhKq9K5eN</t>
  </si>
  <si>
    <t>NYC Emergency Management wishes New Yorkers a safe and Happy Easter.</t>
  </si>
  <si>
    <t>NYC is experiencing wind gusts of 40-50 mph. Use caution when walking/driving. Winds can cause flying debris. http://t.co/f3GhoDNM8i.</t>
  </si>
  <si>
    <t>NYC Emergency Management wishes New Yorkers a safe and Happy Passover.</t>
  </si>
  <si>
    <t>RT @ConEdison: Smell gas? Find a phone away from area, call 911 or 1-800-75-CONED. @nationalgridus customers should call 1-718-643-4050.</t>
  </si>
  <si>
    <t>FAQ document for residents affected by the #EastVillage collapse:
-English: http://t.co/m2prFWk2xf
-Spanish/Español: http://t.co/zGAmdVM89N</t>
  </si>
  <si>
    <t>.@nycoem joined @nychousing &amp;amp; other agency partners for the #EastVillage Tenants Info Session. http://t.co/5ipCgZT9kO</t>
  </si>
  <si>
    <t>RT @notifynyc: NYC to experience gusty winds this afternoon and evening. Use caution when walking/driving. http://t.co/JuOe4J2GtF.</t>
  </si>
  <si>
    <t>.@FDNY offers tips and information about salvaging property after a fire. Learn more: http://t.co/IzQpYeRsh4</t>
  </si>
  <si>
    <t>For the latest info about #EastVillage relief &amp;amp; recovery, including escorts, services &amp;amp; more, visit http://t.co/v3n7GzUtIf or call @nyc311.</t>
  </si>
  <si>
    <t>MT @NotifyNYC: Reception Center moving from 331 E 10th St on 4/2 @ 8 PM to 59 E 4th St, MN. Visit http://t.co/HLV3Te0uA6 or call 311.</t>
  </si>
  <si>
    <t>.@NotifyNYC: Controlled fire &amp;amp; disaster drill at Floyd Bennett Field, BK @ 6:30PM. .@FDNY/@NYPDnews will be present. http://t.co/2jSJeH3Syc</t>
  </si>
  <si>
    <t>#OEMTweetTip: when it comes to your property, don't play the game of risk. Learn more: http://t.co/nrhKq9K5eN</t>
  </si>
  <si>
    <t>.@NotifyNYC: Building Collapse: Info about #EastVillage, MN, recovery, services &amp;amp; other resources, visit http://t.co/HLV3Te0uA6 or call 311.</t>
  </si>
  <si>
    <t>.@LESReadyNYC escorts are not being conducted for this location at this time. Thank you.</t>
  </si>
  <si>
    <t>RT @nwsnewyorkny: Rain and snow arrive late today and this evening. Here is our latest snowfall forecast. http://t.co/ZMkARBZEIE</t>
  </si>
  <si>
    <t>Today is the last day to submit applications for the #SolomonFellowship! Apply here: http://t.co/YIBrjnFBiG http://t.co/YbcmjMjX9z</t>
  </si>
  <si>
    <t>RT @NYCMayorsOffice: "@nychealthy is going door to door handing out fact sheets for mental health needs." - Mayor @BilldeBlasio. Watch: htt…</t>
  </si>
  <si>
    <t>RT @NYCMayorsOffice: "@nyc_buildings is working to get residents back into their homes." - Mayor @BilldeBlasio. Watch: http://t.co/10woidEf…</t>
  </si>
  <si>
    <t>RT @NYCMayorsOffice: "4 folks were originally in critical condition. 3 are out, 1 is still in, in good condition." - Mayor @BilldeBlasio.</t>
  </si>
  <si>
    <t>RT @NYCMayorsOffice: "We mourn the loss of the two individuals who perished in this tragedy." - Mayor @BilldeBlasio. Watch: http://t.co/10w…</t>
  </si>
  <si>
    <t>Thank you to #NYCCERT volunteers for assisting with the #EastVillage explosion relief efforts.  (Photo by D. Yeung) http://t.co/EW93kz2CuO</t>
  </si>
  <si>
    <t>Visit @nycoem's East Village Building Collapse Relief &amp;amp; Recovery page for info about services, donations, etc.: http://t.co/8NeYdYoelT</t>
  </si>
  <si>
    <t>RT @NotifyNYC: .@PANYNJ Emergency Preparedness Drill: NY-bound Holland Tunnel closed btwn 12A &amp;amp; 8A Sun 3/29, MN/NJ. Consider alternate rout…</t>
  </si>
  <si>
    <t>RT @NotifyNYC: Fire safety training class @ Cadman Plaza E &amp;amp; Red Cross Pl, BK btw 1PM-4PM, 3/28. Emergency personnel on site. http://t.co/A…</t>
  </si>
  <si>
    <t>RT @NotifyNYC: .@NYC_DOT Construction: BK bound MN Bridge closed on upper level - 3/29 12:01A-8A &amp;amp; 3/29 9P-5A on 3/30. Use lower level duri…</t>
  </si>
  <si>
    <t>RT @NotifyNYC: .@FDNY Activity @ Jay St, BK: Southbound FDR Drive ramp to Brooklyn Bridge closed, MN. Eastbound Brooklyn Bridge closed.</t>
  </si>
  <si>
    <t>#EastVillage fire residents’ mail being held at Cooper Post Office (93 4th Ave, NY, NY 10003; 212-254-1390).  Need proper ID.</t>
  </si>
  <si>
    <t>Reception center, located at 331 E. 10th Street, Manhattan, is open today from 8 AM-8 PM to assist those affected by the #EastVillage fire.</t>
  </si>
  <si>
    <t>Contact @nyc311 for info about the vacate order status of buildings or 212-NEW-YORK (212-639-9675) outside of New York City. #EastVillage</t>
  </si>
  <si>
    <t>RT @NYCMayorsOffice: Hard-working emergency response crews are still on the scene in the #EastVillage. http://t.co/Ulb0LjUcNt http://t.co/s…</t>
  </si>
  <si>
    <t>RT @NYCMayorsFund: The Mayor's Fund is now accepting donations to assist those affected by building collapse in #EastVillage. Donate: http:…</t>
  </si>
  <si>
    <t>RT @NYCMayorsOffice: "@NYPDnews is involved, and they'll assess next steps once we get the full picture." - Mayor @BilldeBlasio. #EastVilla…</t>
  </si>
  <si>
    <t>RT @NYCMayorsOffice: "The important thing is for people to act immediately. Call 911 or call @ConEdison." - Mayor @BilldeBlasio. #EastVilla…</t>
  </si>
  <si>
    <t>RT @NYCMayorsOffice: "Until we get into that basement and get the full picture, we will not be able to confirm [the explosion's cause]." - …</t>
  </si>
  <si>
    <t>RT @NYCMayorsOffice: "Extraordinary bravery was shown by @FDNY by going into buildings they knew could collapse." - Mayor @BilldeBlasio. #E…</t>
  </si>
  <si>
    <t>RT @NYCMayorsOffice: "The second you smell gas, call 911 or call @ConEdison." - Mayor @BilldeBlasio. Watch: http://t.co/10woidEfEd. #EastVi…</t>
  </si>
  <si>
    <t>RT @NYCMayorsOffice: "It's impossible to say it's based on infrastructure problems at this moment." - Mayor @BilldeBlasio. #EastVillageExpl…</t>
  </si>
  <si>
    <t>RT @NYCMayorsOffice: "Gas is now shut off for the surrounding, immediate area." - Mayor @BilldeBlasio. Watch: http://t.co/10woidEfEd. #East…</t>
  </si>
  <si>
    <t>RT @NYCMayorsOffice: "There was no gas leak detected when the @ConEdison workers were on the scene [earlier in the day]." - Mayor @BilldeBl…</t>
  </si>
  <si>
    <t>RT @NYCMayorsOffice: "The strong assumption is a gas explosion. We are waiting for details." - Mayor @BilldeBlasio. Watch: http://t.co/10wo…</t>
  </si>
  <si>
    <t>RT @NYCMayorsOffice: "@NYCMayorsFund is collecting donations to provide assistance to those affected." - Mayor @BilldeBlasio. #EastVillage</t>
  </si>
  <si>
    <t>RT @NYCMayorsOffice: "People stepped up and helped their fellow New Yorkers, and it made a world of difference." - Mayor @BilldeBlasio. #Ea…</t>
  </si>
  <si>
    <t>RT @NYCMayorsOffice: "This city knows how to handle adversity." - Mayor @BilldeBlasio. Watch: http://t.co/10woidEfEd. #EastVillage</t>
  </si>
  <si>
    <t>RT @NYCMayorsOffice: "I hope we appreciate we are blessed with the best first responders in the world." - Mayor @BilldeBlasio. Watch: http:…</t>
  </si>
  <si>
    <t>RT @NYCMayorsOffice: "Air quality in the area has returned to normal levels." - Mayor @BilldeBlasio. Watch: http://t.co/10woidEfEd. #EastVi…</t>
  </si>
  <si>
    <t>RT @NYCMayorsOffice: "The reception center has been moved to Tompkins Square Library, located at 331 East 10th Street." - Mayor @BilldeBlas…</t>
  </si>
  <si>
    <t>RT @NYCMayorsOffice: "Please also call @nyc311 if you have information about someone who may be missing." - Mayor @BilldeBlasio. #EastVilla…</t>
  </si>
  <si>
    <t>RT @NYCMayorsOffice: "Please call @nyc311 if you are trying to confirm the whereabouts of a loved one." - Mayor @BilldeBlasio. #EastVillage</t>
  </si>
  <si>
    <t>RT @NYCMayorsOffice: "Currently, 2 people are unaccounted for." - Mayor @BilldeBlasio. Watch: http://t.co/10woidEfEd. #EastVillage</t>
  </si>
  <si>
    <t>RT @NYCMayorsOffice: "22 people injured, 18 do not have life-threatening injuries. 4 have critical injuries." - Mayor @BilldeBlasio.</t>
  </si>
  <si>
    <t>RT @NYCMayorsOffice: "It will take days, possibly a week to get all of the debris out of the area and get back to normal." - Mayor @BilldeB…</t>
  </si>
  <si>
    <t>RT @NYCMayorsOffice: "Preliminary investigation suggests this was a gas-related explosion." - Mayor @BilldeBlasio. Watch: http://t.co/10woi…</t>
  </si>
  <si>
    <t>RT @NYCMayorsOffice: "3 buildings collapsed, the 4th very seriously damaged by fire." - Mayor @BilldeBlasio. Watch: http://t.co/10woidEfEd.</t>
  </si>
  <si>
    <t>RT @NYCMayorsOffice: "The professionalism, the courage, and the bravery of the @FDNY were on display in the last 24 hours." - Mayor @Billde…</t>
  </si>
  <si>
    <t>RT @NYCMayorsOffice: "Particularly want to thank @FDNY and their leaders, who responded brilliantly." - Mayor @BilldeBlasio. Watch: http://…</t>
  </si>
  <si>
    <t>RT @NYCMayorsOffice: "The site is still smoldering. @FDNY is still actively fighting fire on the scene." - Mayor @BilldeBlasio. Watch: http…</t>
  </si>
  <si>
    <t>RT @NYCMayorsOffice: "Our hearts go out to the families of all who were affected. Our thoughts and prayers are with them." - Mayor @BilldeB…</t>
  </si>
  <si>
    <t>RT @nycmayorsoffice: Starting soon, Mayor @BilldeBlasio holds a press conference. Watch live on http://t.co/wwHqON4Glc. #EastVillage</t>
  </si>
  <si>
    <t>.@ClearLionHeart in-kind donations are not being accepted at this time, but thank you for offering your assistance! #EastVillage</t>
  </si>
  <si>
    <t>The City's response to the #EastVillage collapse continues. For a list of agency updates, visit http://t.co/TPGykJ1FHD.</t>
  </si>
  <si>
    <t>RT @notifynyc: #EastVillage Building Collapse: Road closures in effect on 2 Ave from E Houston to E 14; E 7 St from 2 Ave &amp;amp; 3 Ave, MN.</t>
  </si>
  <si>
    <t>.@nychealthy issues update on air quality following #EastVillage Building Collapse: http://t.co/0NsXrii7MK</t>
  </si>
  <si>
    <t>.@JGoldny residents are encouraged to visit the center in person to best meet their individual needs. #EastVillage</t>
  </si>
  <si>
    <t>Reminder: the reception center is now located at 331 E. 10th Street, Manhattan, to assist those affected by the #EastVillage fire.</t>
  </si>
  <si>
    <t>RT @NotifyNYC: #EastVillage Resident Svc Center will open at 331 E. 10th Street, MN, at 8AM on 3/27. Updates: call 311.</t>
  </si>
  <si>
    <t>RT @FDNY: #FDNY operations in the #EastVillage continue into the night. http://t.co/PlMj1VxpHp</t>
  </si>
  <si>
    <t>READ: @nycHealthy's Q&amp;amp;A for those who live in the immediate area of the #EastVillage fire: http://t.co/keAp1xPH5j</t>
  </si>
  <si>
    <t>Emergency personnel remain on scene at the #EastVillage fire. Read the Mayor's press conference transcript here: http://t.co/doXa8kxvVX</t>
  </si>
  <si>
    <t>Per @nyc311: Those looking for loved ones following 7-Alarm Fire @ 2nd Ave/E 7th St (MN), call 311 or (212)NEW-YORK outside NY #EastVillage</t>
  </si>
  <si>
    <t>RT @NYCMayorsOffice: "If people smell gas, they should immediately call 911 or @conedison." - Mayor @BilldeBlasio. #EastVillage</t>
  </si>
  <si>
    <t>RT @NYCMayorsOffice: "No @fdny firefighters injured at this moment." - Mayor @BilldeBlasio. Watch: http://t.co/10woidVQvL. #EastVillage</t>
  </si>
  <si>
    <t>RT @NYCMayorsOffice: "Investigation is underway to get the final facts." - Mayor @BilldeBlasio. Watch: http://t.co/10woidEfEd. #EastVillage</t>
  </si>
  <si>
    <t>RT @NYCMayorsOffice: "Any time you smell gas, you need to call 911 immediately, or call @conedison immediately." - Mayor @BilldeBlasio. #Ea…</t>
  </si>
  <si>
    <t>RT @NYCMayorsOffice: "Keep your windows closed and limit your time outside as much as possible." - @nycoem Commissioner @JoeEspoNYC #EastVi…</t>
  </si>
  <si>
    <t>RT @NYCMayorsOffice: "If anyone does know of anyone missing, we need them to call @NYC311 and tell us." - Mayor @BilldeBlasio. #EastVillage</t>
  </si>
  <si>
    <t>RT @NYCMayorsOffice: "There are approximately 250 of our members here on the scene." - @FDNY Commissioner Nigro</t>
  </si>
  <si>
    <t>RT @NYCMayorsOffice: "@FDNY as usual is doing an extraordinary job handling this situation." - Mayor @BilldeBlasio. Watch: http://t.co/10wo…</t>
  </si>
  <si>
    <t>RT @NYCMayorsOffice: "Our thoughts and prayers go out to the victims and their families." - Mayor @BilldeBlasio. Watch: http://t.co/10woidE…</t>
  </si>
  <si>
    <t>RT @NYCMayorsOffice: "At this moment we know of 12 individuals who have been injured, three in critical condition." - Mayor @BilldeBlasio.</t>
  </si>
  <si>
    <t>RT @NYCMayorsOffice: "We want everyone to know you can call 311 if you want to report someone who may be missing." - Mayor @BilldeBlasio.</t>
  </si>
  <si>
    <t>RT @NYCMayorsOffice: "A reception station has been set up at PS 63 at 121 East 3rd Street." - Mayor @BilldeBlasio. Watch: http://t.co/10woi…</t>
  </si>
  <si>
    <t>RT @NotifyNYC: #FDNY 7 Alarm Fire: E 7th St &amp;amp; 2nd Ave (MN). Expect smoke &amp;amp; traffic delays. People nearby avoid smoke &amp;amp; close windows</t>
  </si>
  <si>
    <t>RT @NotifyNYC: #FDNY Incendio de 5 alarmas en E 7th St/2da Ave (MN). Espere demoras de tránsito. Cierre ventanas y evite humo si vive cerca.</t>
  </si>
  <si>
    <t>RT @NotifyNYC: Personal de emergencias en la escena de colapso de edificio en E 7th/2da Ave (MN) con cierre de calles locales. #EastVillage</t>
  </si>
  <si>
    <t>RT @NotifyNYC: #FDNY 5 Alarm Fire: E 7th St &amp;amp; 2nd Ave (MN). Expect smoke &amp;amp; traffic delays. People nearby avoid smoke &amp;amp; close windows</t>
  </si>
  <si>
    <t>Emergency personnel are on scene for a building collapse in the area of East 7th St &amp;amp; 2nd Ave (MN) which will cause local street closures.</t>
  </si>
  <si>
    <t>Being prepared is easy with #ReadyNYC. Get it today!
-iPhone http://t.co/P1a8BfBwYz
-Android https://t.co/kbOBM8ORsH http://t.co/C7t0glf8N3</t>
  </si>
  <si>
    <t>NYC’s Urban Search and Rescue participate in the Tacit Shield Exercise. #ThrowbackThursday: https://t.co/CL572kvz3V</t>
  </si>
  <si>
    <t>Today, @nycoem remembers the Triangle Shirtwaist Factory Fire of 1911. http://t.co/ZmlLr4gUAS</t>
  </si>
  <si>
    <t>Agencies part of the #SolomonFellowship include @nycgov, @redcrossny, @nycseniors, @nychealthy, @nycschools &amp;amp; @FDNY. http://t.co/g363V19Pva</t>
  </si>
  <si>
    <t>National #PrepareAthon Day is next month. Plan a family or community #preparedness event: http://t.co/lADOqm6WGB (via @PrepareAthon)</t>
  </si>
  <si>
    <t>RT @PlaNYC: Homeowners insurance does not cover flood damage. You must purchase a separate flood insurance policy. #FloodRisk</t>
  </si>
  <si>
    <t>#NYCCERT is participating in this great volunteer opportunity with @NYCService and @NYCBuildItBack. Will you? http://t.co/4dcBaSKBw9</t>
  </si>
  <si>
    <t>#OEMTweetTip: preparing to file your taxes this season? It's a good time to think about *this*, too. http://t.co/nrhKqa1G6l</t>
  </si>
  <si>
    <t>It's World Meteorological Day! Thank you to partners like @NWSNewYorkNY that help us monitor weather that can affect NYC. #WorldMetDay</t>
  </si>
  <si>
    <t>MT @notifynyc: Controlled fire &amp;amp; disaster drill @ W. 18 St. &amp;amp; 5th Ave, MN @ 6:30 PM. @FDNY/@NYPDnews will be present. http://t.co/2jSJeH3Syc</t>
  </si>
  <si>
    <t>The application deadline for the #SolomonFellowship is one week away. Don't miss this opportunity! http://t.co/33Uiz63HbD</t>
  </si>
  <si>
    <t>A Winter Weather Advisory remains in effect for NYC. For forecast updates, visit http://t.co/AuYng6CAkt.</t>
  </si>
  <si>
    <t>MT @NWSNewYorkNY: Light snow has reached most of the area. Snow will fill in and become steadier as the afternoon goes along.</t>
  </si>
  <si>
    <t>RT @PlaNYC: Your @nycoem evacuation zone and @fema flood zone are different. Determine your #FloodRisk at http://t.co/yonYPxZ4XE #resilient…</t>
  </si>
  <si>
    <t>RT @NWSNewYorkNY: Winter Weather Advisory continues in effect. Closest snow is Atlantic city NJ and NE Philly. Snow will track east/northea…</t>
  </si>
  <si>
    <t>It may be spring, but with wintry weather expected today, it’s important to stay informed. Sign up for @NotifyNYC: http://t.co/lELRetfnQj</t>
  </si>
  <si>
    <t>You can be a Ready New Yorker this Flood Safety Awareness Week. Check out the Ready New York: Flooding guide: http://t.co/RP0yyUlxwm</t>
  </si>
  <si>
    <t>Per @NWSNewYorkNY: A Winter Weather Advisory remains in effect for 6 AM Friday to 2 AM Saturday: http://t.co/TGUsw1IY5Q</t>
  </si>
  <si>
    <t>.@nycoem issues travel advisory for Friday, March 20. Read the press release: http://t.co/2dAqZx8IlW</t>
  </si>
  <si>
    <t>RT @NYCSanitation: DSNY issues Snow Alert for Friday, March 20 at 9 a.m. Salt spreaders and plows will be available. Drive carefully! http:…</t>
  </si>
  <si>
    <t>RT @PlaNYC: Areas identified as being in the high-risk flood zone also have different building code standards to minimize #FloodRisk and da…</t>
  </si>
  <si>
    <t>Today's topic for Flood Safety Awareness Week: flood insurance. Find out what you need to know and what is covered: http://t.co/iQY3FvLGFE.</t>
  </si>
  <si>
    <t>.@nwsnewyorkny has issued a Winter Weather Advisoryfor 6 AM Fri to 2 AM Sat. Additional details: http://t.co/8zxvWQnY1j</t>
  </si>
  <si>
    <t>NYC is experiencing wind gusts of 30-40 mph. Use caution when walking/driving. Winds can cause flying debris. Info: http://t.co/aEZne3fMxC.</t>
  </si>
  <si>
    <t>Fix a Leak Week is a good reminder to report open fire hydrants and street leaks to @NYCWater by contacting @NYC311. #FixALeakWeek</t>
  </si>
  <si>
    <t>MT @NYCWater is hosting #FixALeak events this week in BK, Queens, Staten Island and the Bronx: http://t.co/87uJl9Otap http://t.co/o6lwjpUaEc</t>
  </si>
  <si>
    <t>Read --&amp;gt; @FDNY's Emily Rahimi shares her experience as a #SolomonFellowship mentor: http://t.co/fVhsWsRTQH</t>
  </si>
  <si>
    <t>Flooding can be caused by a variety of weather phenomena. Check out this @NWSNewYorkNY graphic for more info: http://t.co/3ZnAyQ7KCG.</t>
  </si>
  <si>
    <t>The clock is ticking... less than 2 weeks to apply! http://t.co/ltm64lZPFC http://t.co/QrJmJwHqn5</t>
  </si>
  <si>
    <t>Use your blank for good. Support @NYCService with @NYCBuildItBack outreach. Learn more about this opportunity: http://t.co/4dcBaSKBw9</t>
  </si>
  <si>
    <t>NYC Emergency Management wishes New Yorkers a safe and Happy St. Patrick's Day.</t>
  </si>
  <si>
    <t>Flood Safety Awareness Week, Day 2. @NWSNewYorkNY reminds us to "turn around, don't drown!" http://t.co/RHRDRVHA8Y</t>
  </si>
  <si>
    <t>RT @NYCWater: It's #FloodSafety Awareness Week. Protect your home &amp;amp; valuables from flooding w/these tips: http://t.co/ZXXXAykRJX http://t.c…</t>
  </si>
  <si>
    <t>How can you ensure that your organization continues to operate during &amp;amp; after an emergency? Follow these five steps: http://t.co/o9Wb8jaIJI</t>
  </si>
  <si>
    <t>RT @NYCMayorsOffice: Today’s the day. Apply now for #prekforall: http://t.co/8ZM4gAKuQy http://t.co/U99QKEK1WM http://t.co/HuhVSR1f2u</t>
  </si>
  <si>
    <t>#OEMTweetTip: this Flood Safety Awareness Week, don't drown in doubt. Flooding can happen here. http://t.co/nrhKq9K5eN</t>
  </si>
  <si>
    <t>RT @NWSNewYorkNY: This is Flood Safety Awareness Week. Today's topic is the Advanced Hydrologic Prediction Service (AHPS). http://t.co/H0zF…</t>
  </si>
  <si>
    <t>.@JoeEspoNYC joined @nycoem's Logistics Team for a tour of the City's Emergency Supply Stockpile. See the photos: http://t.co/F9wbvqusUw</t>
  </si>
  <si>
    <t>There are more frightening things than Friday the 13th. Being unprepared is one of them. Get tips on how to be ready: http://t.co/CQuaCKdsaN</t>
  </si>
  <si>
    <t>Graduate students: apply for the City's first fellowship dedicated to emergency management: http://t.co/6nf5NRVOuE #SolomonFellowship</t>
  </si>
  <si>
    <t>NYC businesses: plan ahead for emergencies. Find out how with this new video: https://t.co/xqvsiX4rNY @NYCBusiness @SBSNeighborhood</t>
  </si>
  <si>
    <t>RT @JoeEspoNYC: Today, we remember the #EastHarlemExplosion. Our thoughts and prayers are with those affected by this tragedy.</t>
  </si>
  <si>
    <t>RT @FDNY: Today @BilldeBlasio wore an FDNY jacket as he remembered the victims of the East Harlem explosion. http://t.co/RvGrHICYw9</t>
  </si>
  <si>
    <t>RT @PlaNYC: .@fema Flood Maps are not @nycoem’s Hurricane Evacuation Zones. Learn the difference #FloodRisk http://t.co/L5ly3fs2Lx</t>
  </si>
  <si>
    <t>This week, we look back at the Blizzard of 1888, which hit NYC by surprise at the end of a warm March day. More: http://t.co/gyPovfTpP4</t>
  </si>
  <si>
    <t>Happy anniversary, @nyc311! Thanks for making help &amp;amp; info about government &amp;amp; City services a click, text, or call away.</t>
  </si>
  <si>
    <t>It’s Red Cross Month. Find out how you can get involved with disaster volunteer efforts: http://t.co/Mf1xFe2O6C.</t>
  </si>
  <si>
    <t>Don’t miss this opportunity! #SolomonFellowship http://t.co/TYGotPjwcF</t>
  </si>
  <si>
    <t>#SolomonFellowship fellows and mentors toured the @UN on Friday. Learn more about their visit: http://t.co/lpa6Ot0c4b</t>
  </si>
  <si>
    <t>#OEMTweetTip: you can bet on *this* to help you if an emergency requires you to evacuate. http://t.co/nrhKq9K5eN</t>
  </si>
  <si>
    <t>On this #WomensDay, we thank the hardworking women of @nycoem (including members of our executive staff, shown here). http://t.co/IjRW4qpNT0</t>
  </si>
  <si>
    <t>Daylight saving time begins today. We may gain one hour of daylight, but don't lose these important to-dos. http://t.co/7hykg5g3V9</t>
  </si>
  <si>
    <t>RT @notifynyc: .@NYC_DOT ASP suspended 3/7. NYC Parking meters remain in effect. http://t.co/xeDU7YGqnN. ASL: http://t.co/Pvbgpp8zRa.</t>
  </si>
  <si>
    <t>Make a plan on the go with the #ReadyNYC app. 
-iOS: http://t.co/P1a8BfBwYz
-Android: https://t.co/kbOBM8ORsH http://t.co/RalzSTUQ6g</t>
  </si>
  <si>
    <t>.@CoolSargeUSAF, here are more resources for pet owners from @nycoem: http://t.co/PXh97Vad1o (webpage) &amp;amp; http://t.co/snZ3u5Ac26 (guide).</t>
  </si>
  <si>
    <t>Have you taken this month's Ready New York quiz? You can enter for a chance to win a Go Bag! http://t.co/SXiY3ezc5r #ReadyNewYork</t>
  </si>
  <si>
    <t>Hi, @Rodeogal. There is an Android version of #ReadyNYC. You can download it here: https://t.co/kbOBM8ORsH</t>
  </si>
  <si>
    <t>RT @NWSNewYorkNY: 7:10p: All advisories/warnings have expired. Accumulating snow has largely ended. Treacherous travel expected 2nite on un…</t>
  </si>
  <si>
    <t>A Winter Weather Advisory remains in effect until 7 PM. For forecast updates, visit http://t.co/AuYng6CAkt. @NWSNewYorkNY</t>
  </si>
  <si>
    <t>RT @NotifyNYC: .@NYC_DOT ASP suspended 3/6. NYC Parking meters remain in effect. http://t.co/xeDU7YGqnN. ASL video: http://t.co/Pvbgpp8zRa</t>
  </si>
  <si>
    <t>RT @nwsnewyorkny: 4:42p: Central Park, NY snowfall measurement of 7.0" for the event so far.</t>
  </si>
  <si>
    <t>NYC Emergency Management wishes New Yorkers a safe and joyous Purim.</t>
  </si>
  <si>
    <t>RT @SouthHarlemCERT: Measuring #snow today in #Harlem! So far, 3.1" &amp;amp; falling fast! @CoCoRaHS #NYCCERT @NWSNewYorkNY http://t.co/rCDM3OgHxl</t>
  </si>
  <si>
    <t>Track @NYCSanitation plows &amp;amp; salt spreaders in your neighborhood by visiting the PlowNYC application on http://t.co/kLUimeSGuN.</t>
  </si>
  <si>
    <t>What it's like being a mentor in the City's first fellowship dedicated to emergency management: http://t.co/yCGldywBqC #SolomonFellowship</t>
  </si>
  <si>
    <t>RT @nycsanitation: 2,300 spreaders and plows out on NYC roads clearing snow. Thanks to DOT, DEP and Parks for extra plows. Drive carefully.</t>
  </si>
  <si>
    <t>A Winter Storm Warning remains in effect for NYC. For forecast updates, visit http://t.co/AuYng6CAkt.</t>
  </si>
  <si>
    <t>Heaviest snow is expected Thursday AM, with low visibilities and dangerous driving conditions. More info: http://t.co/HPQoGMk76J</t>
  </si>
  <si>
    <t>MT @nwsnewyorkny: Latest briefing for the upcoming storm: http://t.co/rkAKjdS9OH</t>
  </si>
  <si>
    <t>.@nycoem Issues Hazardous Travel Advisory for Thursday, March 5. Read the press release: http://t.co/NXW0kBTaaP</t>
  </si>
  <si>
    <t>MT @notifynyc: Winter Storm Warning: SI, BK &amp;amp; QN &amp;amp; Winter Storm Watch: MN, BX from 7 PM, 3/4 to 7 PM, 3/5. Info: http://t.co/f3GhoDNM8i.</t>
  </si>
  <si>
    <t>Though raining today, @nwsnewyorkny says expect heavy snow tonight into Thursday: http://t.co/6e8SUEKLIP</t>
  </si>
  <si>
    <t>RT @NWSNewYorkNY: Expect to see snow begin west of NYC by 3 pm, and east of NYC between 4 and 5 pm. Mixing begins S to N after dark.</t>
  </si>
  <si>
    <t>Stay informed during a weather emergency. Sign up for @NotifyNYC. Registration is free: http://t.co/lELRetfnQj http://t.co/nIloEtBqbU</t>
  </si>
  <si>
    <t>NYC Emergency Management has issued a travel advisory for the Tues. PM rush and Wed. AM rush. Read the press release: http://t.co/ENuWnMoFjy</t>
  </si>
  <si>
    <t>.@nycoem staff members discussed @NotifyNYC &amp;amp; the future of the program with @nyccouncil. Get signed up today! http://t.co/nzw7lBYkrr</t>
  </si>
  <si>
    <t>Don't miss this exciting opportunity, graduate students!  #SolomonFellowship http://t.co/0uGevScIMD</t>
  </si>
  <si>
    <t>#OEMTweetTip: spring forward but remember to check your supplies: http://t.co/nrhKq9K5eN</t>
  </si>
  <si>
    <t>RT @NWSNewYorkNY: Winter Weather Advisories for the entire region. See the graphic for details. http://t.co/NE9ujBGLfK</t>
  </si>
  <si>
    <t>NYC Emergency Management has issued a travel advisory for Sunday and the Monday AM Rush. Read the press release here: http://t.co/7axij9YoDP</t>
  </si>
  <si>
    <t>RT @NYCSanitation: DSNY issues equipment readiness 'snow alert' for 12pm, Sun. March 1. Salt spreaders will be ready. Drive carefully. http…</t>
  </si>
  <si>
    <t>Community spaces can help support the City's emergency operations or be used for community outreach events. Info: http://t.co/s7xRqZTuHw</t>
  </si>
  <si>
    <t>RT @NWSNewYorkNY: Take a look at some impressive snow depth numbers for our area due to the prolonged stretch of cold weather. http://t.co/…</t>
  </si>
  <si>
    <t>You wouldn't include a #blackandblue (or #whiteandgold) dress in your emergency supplies, but these items should be: http://t.co/mvXbSfX4Et</t>
  </si>
  <si>
    <t>RT @NotifyNYC: @NYC_DOT Alternate Side Parking rules suspended 2/27. Meters in effect: http://t.co/0YjJqPgH94. ASL: http://t.co/7NosWNEfgT.</t>
  </si>
  <si>
    <t>Earlier today, @nycoem hosted a cyber exercise with City agency partners discussing cyber threat and preparedness. http://t.co/e9twiQvioq</t>
  </si>
  <si>
    <t>Happy to participate in today's #PrepareAThon chat! More info about how you can be prepared &amp;amp; get involved: http://t.co/uSGxbIF0AS</t>
  </si>
  <si>
    <t>Community means collaboration. That means working with local, state, and federal partners, CBOs, NGOs and nonprofits. #PrepareAThon</t>
  </si>
  <si>
    <t>.@NashuaOEM absolutely! It's a great way to work with local partners. #prepareathon</t>
  </si>
  <si>
    <t>RT @PrepareAthon: 10 ways to participate in America's #PrepareAthon can be found here http://t.co/xWDhqxTcXm</t>
  </si>
  <si>
    <t>A4 #2: Stay informed with @NotifyNYC and other official notification programs. #PrepareAThon</t>
  </si>
  <si>
    <t>A4: The #ReadyNYC mobile app (for iOS &amp;amp; Android) helps New Yorkers build their emergency plan, and share it with others. #PrepareAThon</t>
  </si>
  <si>
    <t>Also, leveraging CERTs is a great way to get the community involved in events. #NYCCERT #PrepareAThon</t>
  </si>
  <si>
    <t>2/2 Community Space Survey Network IDs spaces that could support NYC's emergency operations/be used for community outreach. #PrepareAThon</t>
  </si>
  <si>
    <t>1/2 Latest initiative that gets the whole community involved: Community Space Survey Network: http://t.co/s7xRqZTuHw #PrepareAThon</t>
  </si>
  <si>
    <t>We encourage New Yorkers to be ready for *any* emergency through the #ReadyNewYork campaign: http://t.co/CQuaCKdsaN #PrepareAThon</t>
  </si>
  <si>
    <t>Other ways @nycoem has participated in #PrepareAThon: conducting agencywide shelter-in-place drills. They have been very effective!</t>
  </si>
  <si>
    <t>2/2: NYers donated new/unopened items. The completed bags were then given to NYC families in need in October. #PrepareAThon</t>
  </si>
  <si>
    <t>1/2: As part of National Preparedness Month (and #PrepareAThon), @nycoem hosted a Go Bag supplies drive throughout the 5 boroughs.</t>
  </si>
  <si>
    <t>Right now: Follow #PrepareAthon &amp;amp; learn about tools your community can use to prepare for disasters. http://t.co/PdKhmGNZUQ @PrepareAthon</t>
  </si>
  <si>
    <t>In Brooklyn on Friday? Stop by the City's post-disaster housing model: https://t.co/Q5lkdFAzCx #WhatIfNYC</t>
  </si>
  <si>
    <t>Today! Join us as we participate in the @prepareathon TweetChat at 2 PM. Learn about the campaign and how you can participate. #prepareathon</t>
  </si>
  <si>
    <t>.@nycoem remembers those lost and affected by the 1993 World Trade Center bombing. https://t.co/aVRtd77eKG</t>
  </si>
  <si>
    <t>RT @NotifyNYC: .@NYC_DOT Alternate Side Parking rules suspended 2/26. Meters in effect. Info: http://t.co/xLPtSTFQwr. ASL: http://t.co/Uz7T…</t>
  </si>
  <si>
    <t>NYC Citizen Corps is hosting Commodity Distribution Point training for community organizations &amp;amp; volunteers! Sign up: http://t.co/32GOHqeV7G</t>
  </si>
  <si>
    <t>2/26 &amp;amp; 3/3: community symposium on counter-terrorism &amp;amp; safety awareness. http://t.co/vz1Sijw5hQ @nypdnews @fdny @NYSDHSES @ChaimDeutsch</t>
  </si>
  <si>
    <t>Join tomorrow's TweetChat at 2PM EST to get the @PrepareAthon inside scoop &amp;amp; learn how to prepare your community for disaster. #PrepareAthon</t>
  </si>
  <si>
    <t>MT @PlaNYC: NYC's Risk Landscape guide includes hazards such as #FloodRisk &amp;amp; ways to respond and prepare for risks: http://t.co/FEwCC1F5YZ</t>
  </si>
  <si>
    <t>.@JoeEspoNYC recognizes the important work of our partners at the EIAG - Consortium of Private Universities meeting. http://t.co/jOVdaVXPGw</t>
  </si>
  <si>
    <t>RT @NYCSanitation: DSNY issues equipment readiness 'snow alert' for 10pm Tues., Feb. 24. Salt spreaders will be ready. Drive carefully. htt…</t>
  </si>
  <si>
    <t>We’re joining the #PrepareAthon conversation on 2/26 at 2PM ET to learn how to increase community preparedness and so should you!</t>
  </si>
  <si>
    <t>As a reminder, report heat &amp;amp; hot water issues quickly &amp;amp; easily by downloading the @nyc311 mobile app: http://t.co/T7u0d4BDaH. #SafeNYC</t>
  </si>
  <si>
    <t>Check on your neighbors, friends &amp;amp; relatives ― especially the elderly &amp;amp; those with disabilities &amp;amp; access &amp;amp; functional needs. #SafeNYC</t>
  </si>
  <si>
    <t>Please exercise caution during this period of extreme cold weather. #SafeNYC</t>
  </si>
  <si>
    <t>.@nycoem issues a cold weather alert for dangerously cold temperatures &amp;amp; subzero wind chills Monday night. http://t.co/xguEcxRRD1</t>
  </si>
  <si>
    <t>RT @NotifyNYC: .@NYC_DOT Alternate Side Parking rules suspended 2/24. Meters in effect. Info: http://t.co/xLPtSTFQwr. ASL: http://t.co/Uz7T…</t>
  </si>
  <si>
    <t>Apply to be part of the 2015-2016 class of the #SolomonFellowship. http://t.co/ukBUe6qVsn</t>
  </si>
  <si>
    <t>#OEMTweetTip: you have the power to help your community before, during, and after disaster. Get CERT-ified: http://t.co/nrhKq9K5eN #NYCCERT</t>
  </si>
  <si>
    <t>RT @NWSNewYorkNY: Hi everyone. Updated winter weather headlines are attached in the graphic for the upcoming snow and ice. http://t.co/Pv5x…</t>
  </si>
  <si>
    <t>NYC Emergency Management has issued a weather alert for dangerously cold temps Friday night and wintry mix Sat/Sun: http://t.co/2uUOnc4BGe</t>
  </si>
  <si>
    <t>.@NYCSanitation issues equipment readiness ‘snow alert’ for Sat. @ 1pm Spreaders &amp;amp; plows will be ready. http://t.co/5wgMxdaG2N</t>
  </si>
  <si>
    <t>RT @NYCSanitation: DSNY issues equipment readiness 'snow alert' for Sat. Feb. 21 @ 1pm Spreaders &amp;amp; plows will be ready. Drive carefully. ht…</t>
  </si>
  <si>
    <t>You have the power to be prepared. Get #ReadyNYC: 
-iOS: http://t.co/P1a8BfBwYz
-Android: https://t.co/kbOBM8ORsH http://t.co/HRlgaTj5oV</t>
  </si>
  <si>
    <t>MT @nwsnewyorkny: We are monitoring next storm system to bring some snow, changing to wintry mix this weekend. http://t.co/iCggmrDmem</t>
  </si>
  <si>
    <t>.@NYC_DOT Alternate Side Parking rules suspended 2/20 &amp;amp; 2/21. Meters in effect. Info: http://t.co/0YjJqPgH94. ASL: http://t.co/7NosWNEfgT.</t>
  </si>
  <si>
    <t>MT @nwsnewyorkny: Wind chill advisory in effect 12am Fri-10am Fri. More info: http://t.co/lBGJLYMvV2</t>
  </si>
  <si>
    <t>RT @NYCMayorsOffice: Happy Lunar New Year! Thanks to those celebrating for adding to our city’s rich culture.</t>
  </si>
  <si>
    <t>.@akcreunite presented first emergency trailer to the @nycoem and to @redcrossny! http://t.co/QFoxOyScZ2 http://t.co/xz8dYNrHNM</t>
  </si>
  <si>
    <t>Report any loss of heat or hot water to property managers immediately &amp;amp; contact @nyc311 by phone, text, Twitter or mobile app. #SafeNYC</t>
  </si>
  <si>
    <t>Check on your neighbors, friends &amp;amp; relatives ― especially the elderly &amp;amp; those with disabilities &amp;amp; access &amp;amp; functional needs. Stay #SafeNYC.</t>
  </si>
  <si>
    <t>RT @NWSNewYorkNY: Another arctic blast of cold is upon us. The latest forecast information on the upcoming #coldsnap: http://t.co/8yQsXIWvNj</t>
  </si>
  <si>
    <t>RT @NotifyNYC: .@nycoem urges all New Yorkers to prepare for extreme cold weather. Info: http://t.co/kLoKSOM9jv. ASL: http://t.co/fg3qn18dbG</t>
  </si>
  <si>
    <t>.@nycoem issues a cold weather alert for extremely cold temperatures &amp;amp; subzero wind chills Thursday. Press release: http://t.co/qOV2T1Tlzi</t>
  </si>
  <si>
    <t>RT @NYCSanitation: DSNY issues equipment readiness 'snow alert' for 8 p.m. today. Spreaders &amp;amp; plows will be prepared for any accumulations.…</t>
  </si>
  <si>
    <t>Have you registered your space for the NYC Community Space Network? Here's why you should: http://t.co/13CDK28vC3</t>
  </si>
  <si>
    <t>RT @NYCMayorsOffice: Stay warm - file heat or hot water complaints using the @nyc311 app: http://t.co/T7u0d4BDaH http://t.co/MmAI7Oewxv</t>
  </si>
  <si>
    <t>There's still time to enter the Ready New Yorker of the Month Contest for a chance to win a Go Bag: http://t.co/SXiY3ezc5r #ReadyNewYork</t>
  </si>
  <si>
    <t>Graduate students: apply for the City's first fellowship dedicated to emergency management: http://t.co/9mOsilxVHK http://t.co/2Vild7d5yW</t>
  </si>
  <si>
    <t>#OEMTweetTip: feeling patriotic? Remember to include presidents in your your emergency supplies. http://t.co/nrhKq9K5eN</t>
  </si>
  <si>
    <t>History repeating itself? You decide. Today, we remember the President's Day Storm of 2003: http://t.co/Q8ohHESFP5 http://t.co/m13OfpzGaq</t>
  </si>
  <si>
    <t>.@nycoem issues a travel advisory for the Tuesday AM rush. Read the press release: http://t.co/4IpyFsClJH</t>
  </si>
  <si>
    <t>RT @NWSNewYorkNY: Here is some information on the snow forecast for overnight and Tuesday morning. http://t.co/D62B47SY6r</t>
  </si>
  <si>
    <t>RT @NWSNewYorkNY: Big story today will be the strong winds, gusting 50 to 60 mph this am/early afternoon, cold temps in teens, and wind chi…</t>
  </si>
  <si>
    <t>RT @NWSNewYorkNY: Sun Night into Mon, hazardous wind chills expected. Wind Chill Advisories and Wind Chill Warnings are in effect. http://t…</t>
  </si>
  <si>
    <t>RT @NWSNewYorkNY: Latest headlines regarding this winter storm. Most of NE NJ, NYC, Nassau now in high wind warning. See attached. http://t…</t>
  </si>
  <si>
    <t>RT @NotifyNYC: .@NWSNewYorkNY High Wind Warning citywide from midnight-2PM, 2/15. 30-40MPH winds, gusts up to 60MPH expected. Info: http://…</t>
  </si>
  <si>
    <t>We love helping NYC be prepared through planning, response, education and sharing information. Have a safe and Happy Valentine’s Day!</t>
  </si>
  <si>
    <t>RT @NWSNewYorkNY: Our latest snowfall 4cast is shown in graphic. Uncertainties still exist in location of snow bands, affecting amounts htt…</t>
  </si>
  <si>
    <t>.@NWSNewYorkNY has forecast snow &amp;amp; bitterly cold temperatures this weekend. Be safe. Get forecast updates: http://t.co/AuYng6CAkt.</t>
  </si>
  <si>
    <t>Love being prepared? Get the #ReadyNYC mobile app.
-iOS: http://t.co/P1a8BfBwYz
-Android: http://t.co/U8vRQnDQMX http://t.co/UH66SNhFYR</t>
  </si>
  <si>
    <t>Happy to help! Be safe. RT @MassEMA: @nycoem @NYCSanitation @NYC_DOT Thank You from Massachusetts!</t>
  </si>
  <si>
    <t>.@nychousing: we are bringing in additional inspectors this weekend, and extending all tour hours. #SafeNYC</t>
  </si>
  <si>
    <t>.@nycdhs: we increase our outreach to ensure the safety of the homeless population. #SafeNYC</t>
  </si>
  <si>
    <t>.@joeesponyc: Advance Warning System message has been sent to service providers &amp;amp; a Winter Weather Advisory is in effect for NYC. #SafeNYC</t>
  </si>
  <si>
    <t>.@fdny: practice safe home heating tips. Check your carbon monoxide detectors. CO is a colorless, odorless gas. #SafeNYC</t>
  </si>
  <si>
    <t>.@nychousing: we have received over 156,000 calls regarding loss of heat/hot water. Notify your landlord/building owners. #safenyc</t>
  </si>
  <si>
    <t>.@nychousing: if you experience a loss of heat or hot water, please call @nyc311 or use the 311 app. You can do so anonymously. #SafeNYC</t>
  </si>
  <si>
    <t>.@nycha: please call our call center of you have a loss of heat or hot water. #SafeNYC</t>
  </si>
  <si>
    <t>.@nycseniors: the Department for the Aging has been preparing for days for this weather and has communicated through all channels. #safenyc</t>
  </si>
  <si>
    <t>.@nycdhs Cmsr: we are increasing the number of homeless outreach vans. If you see a homeless person who needs help, call @nyc311. #SafeNYC</t>
  </si>
  <si>
    <t>.@nycsanitation’s Kathryn Garcia: plows cannot scrape the asphalt. We hope to have a safe holidays weekend. #SafeNYC</t>
  </si>
  <si>
    <t>.@nycsanitation’s Kathryn Garcia: when we are fighting snow in this type of weather, the salt isn’t always as effective. #SafeNYC</t>
  </si>
  <si>
    <t>.@nychealthy @drmarytbassett: if you see someone in distress, call 911. Limit your outdoor exposure, dress warm &amp;amp; check on others. #SafeNYC</t>
  </si>
  <si>
    <t>.@nychealthy @drmarytbassett: it’s important to dress appropriately for this weather. Cover up... wear layers, a hat and gloves. #SafeNYC</t>
  </si>
  <si>
    <t>.@JoeEspoNYC: very cold and windy conditions are expected this weekend. Pay attention to your body and stay safe. #SafeNYC</t>
  </si>
  <si>
    <t>City agencies are briefing NYC about the weather conditions for this weekend. http://t.co/at7y8Q4C0a</t>
  </si>
  <si>
    <t>MT @nwsnewyorkny: Briefing package on winter storm, cold temps, strong winds, &amp;amp; dangerous wind chills: http://t.co/CC3WRa2xIF</t>
  </si>
  <si>
    <t>RT @NYCMayorsOffice: It’s going to be a very cold weekend. If your heat or hot water isn’t working, report it now: http://t.co/KWVl7F5fvH h…</t>
  </si>
  <si>
    <t>RT @NYCMayorsOffice: It’s going to be very, very cold this weekend. Here are some tips from @NYCHealthy: http://t.co/kf5tp4t63z</t>
  </si>
  <si>
    <t>.@PaceUniversity graduate students: apply for the John D. Solomon Fellowship for Public Service: http://t.co/ltm64lZPFC</t>
  </si>
  <si>
    <t>RT @NWSNewYorkNY: Cold temperatures expected through the weekend. See the forecast high and low temps expected. http://t.co/Jhz73Taew1</t>
  </si>
  <si>
    <t>.@NYC_DOT Alternate Side Parking rules suspended 2/13 &amp;amp; 2/14. Meters in effect. http://t.co/0YjJqPgH94. ASL: http://t.co/7NosWNEfgT.</t>
  </si>
  <si>
    <t>RT @NYCMayorsOffice: "As always, please check on your neighbors. The next few nights will be bitterly, bitterly cold." - Mayor @BilldeBlasi…</t>
  </si>
  <si>
    <t>RT @NYCMayorsOffice: "Stay indoors if you don't have to be out. Any prolonged exposure could be dangerous." - Mayor @BilldeBlasio. Watch: h…</t>
  </si>
  <si>
    <t>RT @NYCMayorsOffice: "Temperatures are expected to plummet to near record lows." - Mayor @BilldeBlasio. Watch live on http://t.co/10woidEfE…</t>
  </si>
  <si>
    <t>RT @NYCMayorsOffice: Starting now: Mayor @BilldeBlasio holds a press availability. Watch live on http://t.co/10woidEfEd.</t>
  </si>
  <si>
    <t>.@mcnyedu graduate students: apply for the John D. Solomon Fellowship for Public Service: http://t.co/ltm64lZPFC</t>
  </si>
  <si>
    <t>Convoy of @NYCSanitation huge snow melters + @nyc_dot &amp;amp; @nycoem depart for Boston to lend help. http://t.co/DgL92UymjD</t>
  </si>
  <si>
    <t>RT @NWSNewYorkNY: Updated snowfall forecast for Thu-Thu night. &amp;lt;1" for western sections. 1"- 2" for eastern sections. http://t.co/3RIR45hj3B</t>
  </si>
  <si>
    <t>Have you seen the latest #ReadyNewYork videos? Check them out on @YouTube: https://t.co/QaRXs2dE9H</t>
  </si>
  <si>
    <t>.@adelphiu graduate students: apply for the John D. Solomon Fellowship for Public Service: http://t.co/ltm64lZPFC</t>
  </si>
  <si>
    <t>.@fordhamnotes graduate students: apply for the John D. Solomon Fellowship for Public Service: http://t.co/ltm64lZPFC</t>
  </si>
  <si>
    <t>The Urban Post-Disaster Housing Prototype is available for public viewing. Request your tour today: http://t.co/DDnkOahsNi #WhatIfNYC #IDHU</t>
  </si>
  <si>
    <t>One of the many perks about being part of the John D. Solomon Fellowship for Public Service? Opportunities like this: http://t.co/0hyXoSRL2L</t>
  </si>
  <si>
    <t>RT @NYCDHS: HOPE is tonight! You can still sign up here: http://t.co/ICsIMUpQU6. Join 3,000 of your fellow NYers and make a difference!</t>
  </si>
  <si>
    <t>#OEMTweetTip: show your love for preparedness by picking meeting places with your family members. http://t.co/nrhKq9K5eN</t>
  </si>
  <si>
    <t>.@cunynewswire graduate students: apply for the John D. Solomon Fellowship for Public Service: http://t.co/ltm64lZPFC</t>
  </si>
  <si>
    <t>RT @NWSNewYorkNY: Winter Weather Advisories remain in effect for the region. visit http://t.co/0cofXEqkfH for all the latest updates. http:…</t>
  </si>
  <si>
    <t>.@nycoem issues travel advisory for Monday AM and PM rush. Read the press release: http://t.co/cigq7K3Wvm</t>
  </si>
  <si>
    <t>RT @NWSNewYorkNY: Winter Weather Advisories continue for the entire area. Here is the latest graphic. http://t.co/ObW2xRqHOp</t>
  </si>
  <si>
    <t>RT @NotifyNYC: .@NYC_DOT Alternate Side Parking rules suspended 2/9. Meters in effect. http://t.co/xLPtSTFQwr. ASL: http://t.co/Uz7TqGUfBP.</t>
  </si>
  <si>
    <t>.@suny graduate students: apply for the John D. Solomon Fellowship for Public Service: http://t.co/ltm64lZPFC</t>
  </si>
  <si>
    <t>RT @NWSNewYorkNY: Winter Weather Advisory issued for the entire region. Visit http://t.co/0cofXEHVEh for all the details. http://t.co/Yj3On…</t>
  </si>
  <si>
    <t>.@nycoem is participating in the JCRC Annual Congressional Breakfast #JCRCcongbfast. http://t.co/cO5K75KvWE</t>
  </si>
  <si>
    <t>RT @NWSNewYorkNY: Snow and Ice expected as Winter Storm develops and impacts the area Sunday Night through Monday. http://t.co/jmdfCh01mZ</t>
  </si>
  <si>
    <t>RT @NYCSanitation: DSNY issues equipment readiness 'snow alert' for Sunday, 2/8@ noon. Spreaders will be loaded while other crews collect t…</t>
  </si>
  <si>
    <t>.@nyuniversity graduate students: apply for the John D. Solomon Fellowship for Public Service: http://t.co/ltm64lZPFC</t>
  </si>
  <si>
    <t>RT @NWSNewYorkNY: Wintry weather is possible this weekend, specifically Sunday night through Monday. Please see more on this graphic: http:…</t>
  </si>
  <si>
    <t>Not sharing is not an emergency plan. Use the #ReadyNYC app, available for iOS &amp;amp; Android, to make a plan &amp;amp; share it! http://t.co/WyowANBJKU</t>
  </si>
  <si>
    <t>.@hofstrau graduate students: apply for the John D. Solomon Fellowship for Public Service: http://t.co/ltm64lZPFC</t>
  </si>
  <si>
    <t>RT @NWSNewYorkNY: Gusty winds tonight 30 to 35 mph out of the NW. Temps falling into the teens now, into single digits overnight. Stay warm!</t>
  </si>
  <si>
    <t>Did you know that the John D. Solomon Fellowship for Public Service has its own blog? http://t.co/F9ooFzXUOg #NYCSolomonFellowship</t>
  </si>
  <si>
    <t>RT @NYCDHS: Make a real long lasting impact on the lives of homeless NYers on Monday, Feb. 9: http://t.co/X7MlFFsJtJ  #HOPE2015</t>
  </si>
  <si>
    <t>RT @NYCHomelessServices: Make a real long lasting impact on the lives of homeless NYers on Monday, Feb. 9: http://t.co/X7MlFFsJtJ #HOPE2015</t>
  </si>
  <si>
    <t>.@stjohnsu graduate students: apply for the John D. Solomon Fellowship for Public Service: http://t.co/ltm64lZPFC</t>
  </si>
  <si>
    <t>RT @NWSNewYorkNY: An arctic cold front will bring a period of snow late 2nite into Thursday morning. A general 1 to 2 inches forecast: http…</t>
  </si>
  <si>
    <t>Be #ReadyNewYork by entering for a chance to win a Go Bag: http://t.co/xQaPv7xkOm</t>
  </si>
  <si>
    <t>.@columbia graduate students: apply for the John D. Solomon Fellowship for Public Service: http://t.co/ltm64lZPFC</t>
  </si>
  <si>
    <t>.@FELIX357 the class is offered to  #NYCCERT volunteers throughout the year.</t>
  </si>
  <si>
    <t>.@AshBMcConnell the class offers #NYCCERT volunteers best practices about social media and the use of photography in social media.</t>
  </si>
  <si>
    <t>Offering an advance training for #NYCCERT on social media and photography. http://t.co/LACJ2D7FJF</t>
  </si>
  <si>
    <t>RT @notifynyc: Alternate Side Parking rules suspended 2/4-2/7. Meters in effect. http://t.co/0YjJqPgH94. ASL: http://t.co/7NosWNEfgT.</t>
  </si>
  <si>
    <t>RT @NYCASP: #NYCASP is suspended tomorrow, Wed, Feb. 4, thru Sat, Feb. 7 to facilitate snow removal. Parking meters will remain in effect.</t>
  </si>
  <si>
    <t>RT @NYCSanitation: DSNY issues equipment readiness 'snow alert' for Wed., Feb. 4 @ 10 p.m. Drive carefully. http://t.co/2I2KXRAVsU</t>
  </si>
  <si>
    <t>Press release: @nycoem Announces Open Enrollment for the John D. Solomon Fellowship for Public Service: http://t.co/GYLnbyHNFM</t>
  </si>
  <si>
    <t>RT @NYCMayorsOffice: This morning at 11 a.m., watch the State of #OurCity address: http://t.co/ZRaDmlCmLJ. http://t.co/RJbvQZkEZF</t>
  </si>
  <si>
    <t>RT @NWSNewYorkNY: Winter Weather Advisory extended till 9am for sig. icing into am commute. Use extra caution if you must travel! http://t.…</t>
  </si>
  <si>
    <t>Watch Commissioners of NYC Emergency Management, @NYCSanitation &amp;amp; @NYC_DOT update New Yorkers on winter weather: http://t.co/jJCqhfcWiO</t>
  </si>
  <si>
    <t>RT @NotifyNYC: Due to icing conditions, expect @LIRR delays and cancellations tonight. Info: http://t.co/ziATWLAWxN.</t>
  </si>
  <si>
    <t>@NWSNewYorkNY Winter Weather Advisory extended to 1 AM; icy and dangerous travel conditions through the evening.</t>
  </si>
  <si>
    <t>Snow is falling in NYC on top of slush and ice from earlier. Standing water will freeze, creating dangerous travel and slippery sidewalks.</t>
  </si>
  <si>
    <t>RT @nyc311: UPDATE: @NYCASP is suspended Tue, Feb 3 to facilitate snow removal. Parking meters will remain in effect.</t>
  </si>
  <si>
    <t>RT @NWSNewYorkNY: Please see special weather statement on sleet changing to snow NYC, LI, metro NE NJ. Hazardous driving conditions.  https…</t>
  </si>
  <si>
    <t>RT @NotifyNYC: .@MTA Due to stalled train, no 7 train btwn Time Square (MN) &amp;amp; Main Street (QN).  Use alternate routes and extensive delays.</t>
  </si>
  <si>
    <t>RT @NWSNewYorkNY: Very hazardous icy road conditions expected through the evening. See below. http://t.co/SvK8yNjrDi</t>
  </si>
  <si>
    <t>RT @NWSNewYorkNY: Snow and ice forecasts updated. See, http://t.co/HoDHpNiutk. More freezing rain expected across much of NYC, Long Island,…</t>
  </si>
  <si>
    <t>#OEMTweetTip: we know you've been working hard to keep your New Year's resolution to be ready. Take the next step: http://t.co/nrhKqaASCZ</t>
  </si>
  <si>
    <t>Please exercise caution and allow additional travel time.</t>
  </si>
  <si>
    <t>RT @MTA: We are operating regularly scheduled service this morning. Please be cautious walking on snowy or icy surfaces. http://t.co/EI01zZ…</t>
  </si>
  <si>
    <t>.@NYCSchools will be open on Mon, 2/2. View this message in American Sign Language (ASL) with audio and subtitles: https://t.co/kgNMBBwbKB</t>
  </si>
  <si>
    <t>.@NYCSchools will be open on Mon, 2/2. Field trips are cancelled, but after-school activities will occur as scheduled.</t>
  </si>
  <si>
    <t>RT @NWSNewYorkNY: Here is the snow and ice forecast for the storm. Morning commute will be impacted by snow, evening commute by ice. http:/…</t>
  </si>
  <si>
    <t>View the Hazardous Travel Advisory for tomorrow, Monday, 2/2., in American Sign Language: http://t.co/XuJm34yVUk.</t>
  </si>
  <si>
    <t>Mayor de Blasio Issues Severe Weather Warning for New York City: http://t.co/n2mHmdIwtc</t>
  </si>
  <si>
    <t>RT @NYCMayorsOffice: At 3pm, Mayor @BilldeBlasio will give an update on tonight’s weather. Watch on http://t.co/10woiev32p.</t>
  </si>
  <si>
    <t>RT @NotifyNYC: Alternate Side Parking rules suspended 2/2. Meters in effect. http://t.co/0YjJqQ7uxg. http://t.co/7NosWOv2F5</t>
  </si>
  <si>
    <t>RT @NotifyNYC: NWS issues a Winter Storm Warning for NYC from 7 PM, Sun,2/1 to 6 PM, Mon, 2/2. For updates, visit: http://t.co/jsdLTt3RY4.</t>
  </si>
  <si>
    <t>.@NYCOEM’s Mobile Data Center on the scene of a 7-Alarm Fire on Kent Ave &amp;amp; N 11th St, BK. http://t.co/AFDukVlWEU</t>
  </si>
  <si>
    <t>RT @NotifyNYC: Residents in the area of fire at Kent Ave &amp;amp; N 11th St(BK) should limit smoke exposure and seek immediate medical attn if nee…</t>
  </si>
  <si>
    <t>RT @NWSNewYorkNY: Here is the snow and ice forecast for the upcoming storm. Stay tuned for more updates! http://t.co/rYB6ZCqL6H</t>
  </si>
  <si>
    <t>RT @NWSNewYorkNY: Here is a briefing on the upcoming storm. http://t.co/tRxyMRf9xl</t>
  </si>
  <si>
    <t>RT @NWSNewYorkNY: Potential winter storm as low approaches from west Sun Night through Mon. Winter Storm Watch in effect. See below. http:/…</t>
  </si>
  <si>
    <t>RT @NYCSanitation: DSNY issues 'snow alert' for Sunday, 2/1, starting at 5 pm. Salt spreaders &amp;amp; plows will be readied for snow clearing dut…</t>
  </si>
  <si>
    <t>RT @NWSNewYorkNY: Hi everyone on this very cold and frigid morning! Wind chill advisories and wind advisories remain in effect. http://t.co…</t>
  </si>
  <si>
    <t>RT @NOAANCDC: Regional Snowfall Index ranks #Blizzardof2015 26th of 423 Northeast snowstorms http://t.co/u5n2rz696E http://t.co/p3DTMTdsYd</t>
  </si>
  <si>
    <t>MT @nwsnewyorkny: Briefing on the weather hazards tonight - Sat and the potential winter storm late Sun night - Mon http://t.co/CC3WRaTl6R</t>
  </si>
  <si>
    <t>As light snow ends, cold and windy conditions move in today into Sat. Snow is expected late Sun night into Mon AM: http://t.co/jsdLTt3RY4.</t>
  </si>
  <si>
    <t>Be prepared. Request a #ReadyNewYork event (like this training event shown here) today: http://t.co/AC98iMPrfU. http://t.co/BUB4ykFexP</t>
  </si>
  <si>
    <t>Per @NWSNewYorkNY: snow is expected late tonight into Friday, followed by frigid temperatures. Forecast updates: http://t.co/jsdLTt3RY4.</t>
  </si>
  <si>
    <t>.@nycoem issues weather advisory. Read the press release: http://t.co/bmi08kjUii</t>
  </si>
  <si>
    <t>Be ready for the next emergency with #ReadyNYC.
-iOS: http://t.co/P1a8BgskmL
-Android: https://t.co/kbOBM96sAL http://t.co/0efRU0uNts</t>
  </si>
  <si>
    <t>RT @NWSNewYorkNY: Light snow is forecast overnight into Friday morning. A general 1 to 2 inches of new snow expected. http://t.co/iF1HiKWZRY</t>
  </si>
  <si>
    <t>Cold temperatures are in store for NYC beginning Friday: http://t.co/sOoR89IBKX
For forecast updates, visit http://t.co/jsdLTt3RY4</t>
  </si>
  <si>
    <t>Video: see 191 Community Emergency Response Team volunteers celebrate their graduation. http://t.co/NbDc1rZ4WB #WayBackWednesday #NYCCERT</t>
  </si>
  <si>
    <t>RT @notifynyc: @NYCASP rules suspended Thu 1/29 - Sat 1/31. Meters in effect. http://t.co/0YjJqQ7uxg. http://t.co/7NosWOv2F5</t>
  </si>
  <si>
    <t>#OEMTweetTip: whether you're ready for the #SuperBowl, here's one preparedness item you should tackle: http://t.co/nrhKqaASCZ</t>
  </si>
  <si>
    <t>The Winter Weather Advisory for NYC has been cancelled. A few snow showers or flurries may occur. Forecast updates: http://t.co/jsdLTt3RY4.</t>
  </si>
  <si>
    <t>Please RT BLOOD EMERGENCY due to storm. Please donate! call 800-933-2566 or find a drive here http://t.co/iE9ztuzGMH http://t.co/7Gu7p8VuzW</t>
  </si>
  <si>
    <t>VIDEO: Take a behind-the-scenes look at @nycoem's work coordinating the response to last night's storm. #SafeNYC https://t.co/LW7547FAPB</t>
  </si>
  <si>
    <t>RT @NYCMayorsOffice: .@NYCParks are now open. 
@NYCSchools reopen tomorrow. 
@NYCASP is still suspended.
Listen for more updates: http:/…</t>
  </si>
  <si>
    <t>.Mayor de Blasio has announced NYC Public Schools will be open on Wed, 1/28. After school activities will occur as scheduled. @NYCSchools</t>
  </si>
  <si>
    <t>RT @NYCMayorsOffice: "Things are getting back to normal, but do not be overconfident." - Mayor @BilldeBlasio. Watch on http://t.co/10woiev3…</t>
  </si>
  <si>
    <t>RT @NYCMayorsOffice: "Alternate side parking, however, will be suspended tomorrow, as it is today." - Mayor @BilldeBlasio. Watch on http://…</t>
  </si>
  <si>
    <t>RT @NYCMayorsOffice: "School will be open tomorrow." - Mayor @BilldeBlasio. Watch on http://t.co/10woiev32p.</t>
  </si>
  <si>
    <t>RT @NYCMayorsOffice: "Parks are now open throughout the city." - Mayor @BilldeBlasio. Watch on http://t.co/10woiev32p.</t>
  </si>
  <si>
    <t>RT @NYCMayorsOffice: "People need to be careful and the farther east you go in the city, the more careful you have to be." - Mayor @BilldeB…</t>
  </si>
  <si>
    <t>RT @NYCMayorsOffice: "It's going to take today and into tomorrow to continue that cleanup." - Mayor @BilldeBlasio. Watch on http://t.co/10w…</t>
  </si>
  <si>
    <t>RT @NYCMayorsOffice: "People did a great job of getting out of the way and helping Sanitation do what they do so well." - Mayor @BilldeBlas…</t>
  </si>
  <si>
    <t>RT @NYCMayorsOffice: "That allowed the Sanitation Department to do an extraordinary job." - Mayor @BilldeBlasio. Watch on http://t.co/10woi…</t>
  </si>
  <si>
    <t>RT @NYCMayorsOffice: "The good news is the people of this city understood how serious the threat was." - Mayor @BilldeBlasio. Watch on http…</t>
  </si>
  <si>
    <t>RT @NYCMayorsOffice: "In the vast majority of the city, we did not even hit 10 inches." - Mayor @BilldeBlasio. Watch on http://t.co/10woiev…</t>
  </si>
  <si>
    <t>RT @NYCMayorsOffice: "Prepare for the worst. Hope for the best." - Mayor @BilldeBlasio. Live on http://t.co/10woiev32p.</t>
  </si>
  <si>
    <t>RT @NYCMayorsOffice: "We obviously missed the worst of this storm." - Mayor @BilldeBlasio. Watch live on http://t.co/10woiev32p.</t>
  </si>
  <si>
    <t>RT @NYCParks: New York City parks are now open. Please use caution in parks under winter conditions. #SafeNYC</t>
  </si>
  <si>
    <t>RT @NYCMayorsOffice: Starting soon, Mayor @BilldeBlasio will give an update on winter weather conditions. Watch live on http://t.co/10woiev…</t>
  </si>
  <si>
    <t>Working with agency partners to keep #NYCSafe. http://t.co/EGLzyzAcPV</t>
  </si>
  <si>
    <t>MTA LIRR, Metro-North, Staten Island RR, Amtrak, NJT trains resumed w/limited service. NJT buses resume @ 11A. #SafeNYC #Blizzard2015</t>
  </si>
  <si>
    <t>RT @nwsnewyorkny: Updated snowfall totals can be found at the following link: https://t.co/OsfAnkcKJu</t>
  </si>
  <si>
    <t>RT @NotifyNYC: NYC Subway &amp;amp; Bus service resumed w/ limited service. Full Sunday schedule to begin at noon. Expect residual delays. #SafeNYC</t>
  </si>
  <si>
    <t>NYC Subway &amp;amp; Bus service resumed w/limited service. Full Sunday schedule to begin at noon. Expect residual delays. #SafeNYC #alert</t>
  </si>
  <si>
    <t>RT @NWSNewYorkNY: Here are our latest snowfall totals.  https://t.co/scVXvqGIIB These will be updated throughout the day</t>
  </si>
  <si>
    <t>RT @NotifyNYC: Travel Ban Lifted: All residents are allowed to travel on roadways as of 7:30 A. Staten Island Ferry service resumed. #SafeN…</t>
  </si>
  <si>
    <t>RT @nycgob: RT @NYC_MOPD: El Servicio Paratransit (AAR) ha sido suspendido hoy, martes 27 de enero. Para viajes por necesidad médica, llame…</t>
  </si>
  <si>
    <t>RT @nycgob: RT @NYCCouncil: Averigua cuándo fue la última vez que limpiaron nieve de tu calle en: http://t.co/HppmJHEN4o #blizzardof2015 #s…</t>
  </si>
  <si>
    <t>RT @NWSNewYorkNY: Extremely heavy snow falling at the NWS NY office under classic heavy snow band. Yellows/oranges very heavy snow: http://…</t>
  </si>
  <si>
    <t>RT @NWSNewYorkNY: 12:35a: Heavy snow with 1/4 mile visibility now being reported in Central Park with gusty winds. 5.5" snow total so far.</t>
  </si>
  <si>
    <t>RT @NYCMayorsOffice: After a hard day at the office, @nycoem Commissioner @JoeEspoNYC went home and shoveled his front walk. #SafeNYC http:…</t>
  </si>
  <si>
    <t>Don't forget about your pets! Bring your pets indoors out of the storm. #Blizzard2015 #SafeNYC</t>
  </si>
  <si>
    <t>RT @NYC_DOT: #StatenIslandFerry service suspended tonight. Last boat to leave #Whitehall no later than 11:30pm; final boat from #StGeorge d…</t>
  </si>
  <si>
    <t>.@notifynyc: #SafeNYC #Blizzard2015: NYC Subway, Metro North, LIRR, MTA Bus suspended as of 11PM and NJ Transit suspended as of 8PM tonight.</t>
  </si>
  <si>
    <t>RT @nyctaxi: TLC-licensed drivers/vehicles will not be allowed on City roads after 11 p.m. on 1/26</t>
  </si>
  <si>
    <t>MT @notifynyc: .@NWSNewYorkNY Coastal Flood Warning: Brooklyn &amp;amp; southern Queens, 12AM tonight - 5AM, 1/27. Info: http://t.co/jsdLTt3RY4.</t>
  </si>
  <si>
    <t>RT @NYCSchools: UPDATE: Regents exams will be rescheduled to Thursday, January 29, 2015. More info here: http://t.co/p3tZs2NoT8 | #Blizzard…</t>
  </si>
  <si>
    <t>RT @notifynyc: NYC Public Schools closed, Tues, 1/27. For more info http://t.co/SU8RnU3Pfm. http://t.co/kQsYV96YQp #Blizzard2015 #SafeNYC</t>
  </si>
  <si>
    <t>RT @notifynyc: .@NYCASP Alternate Side Parking rules suspended thru Wed 1/28. Meters remain in effect. https://t.co/wwc564prKp</t>
  </si>
  <si>
    <t>RT @NYCMayorsOffice: "People who have any problems with heat or hot water, please report it immediately to 311." - Mayor @BilldeBlasio on h…</t>
  </si>
  <si>
    <t>RT @NYCMayorsOffice: "We are officially announcing that our schools will be closed tomorrow." - Mayor @BilldeBlasio. Live on http://t.co/10…</t>
  </si>
  <si>
    <t>RT @NYCMayorsOffice: "We will close our parks at 6 p.m." - Mayor @BilldeBlasio. Live on http://t.co/10woiev32p. #SafeNYC</t>
  </si>
  <si>
    <t>RT @NYCMayorsOffice: "We need to let sanitation, police, fire do their jobs." - Mayor @BilldeBlasio. Live on http://t.co/10woiev32p. #SafeN…</t>
  </si>
  <si>
    <t>RT @NYCMayorsOffice: "I'm ordering that at 11 o'clock tonight our streets will only be available to emergency vehicles." - Mayor @BilldeBla…</t>
  </si>
  <si>
    <t>RT @NYCMayorsOffice: "Best thing to do: Stay indoors. Stay off the roads. Stay off the sidewalks." - Mayor @BilldeBlasio on http://t.co/10w…</t>
  </si>
  <si>
    <t>RT @NYCMayorsOffice: "You can't underestimate this storm." - Mayor @BilldeBlasio. Live on http://t.co/10woiev32p. #SafeNYC</t>
  </si>
  <si>
    <t>RT @NYCMayorsOffice: "We are adding 40% more ambulances this afternoon and evening." - Mayor @BilldeBlasio. Watch live on http://t.co/10woi…</t>
  </si>
  <si>
    <t>RT @NYCMayorsOffice: "Over 1800 snow plows have been deployed." - Mayor @BilldeBlasio. Watch now on http://t.co/10woiev32p. #SafeNYC</t>
  </si>
  <si>
    <t>RT @NYCMayorsOffice: "Get off the streets, get off the sidewalks as this emergency deepens." - Mayor @BilldeBlasio. Watch now on http://t.c…</t>
  </si>
  <si>
    <t>RT @NYCMayorsOffice: "Recognize this as an emergency. It is not business as usual." - Mayor @BilldeBlasio. Watch live on http://t.co/10woie…</t>
  </si>
  <si>
    <t>RT @NYCMayorsOffice: "We are today issuing a winter weather state of emergency." - Mayor @BilldeBlasio. Watch now: http://t.co/10woiev32p.</t>
  </si>
  <si>
    <t>RT @NYCMayorsOffice: "This will most likely be one of the largest blizzards in the history of New York City." - Mayor @BilldeBlasio. Live: …</t>
  </si>
  <si>
    <t>RT @NYCMayorsOffice: WATCH NOW: Mayor @BilldeBlasio gives an update on blizzard preparations live on http://t.co/10woiev32p. #SafeNYC</t>
  </si>
  <si>
    <t>MT @NotifyNYC: Lower level Manhattan Bridge not open to MN bound traffic until 1/28 AM rush hr. MN bound traffic should use upper level.</t>
  </si>
  <si>
    <t>RT @NYCParks: Please avoid using parks today &amp;amp; tomorrow. Ice &amp;amp; snow can cause dangerous conditions, like falling branches &amp;amp; frozen paths. #…</t>
  </si>
  <si>
    <t>Tip: offer to help individuals who require assistance, including seniors and persons with disabilities and access and functional needs.</t>
  </si>
  <si>
    <t>RT @NWSNewYorkNY: Periods of snow, light to occasionally moderate with 1/2 to 3/4 mile visibility today. We have updated briefing here, htt…</t>
  </si>
  <si>
    <t>If you haven't done so, make sure your emergency supply kits are stocked. Here's what you should include: http://t.co/tDgYI7x65A</t>
  </si>
  <si>
    <t>RT @NYCMayorsOffice: Read @nycoem's Winter Weather page to prepare for tomorrow's expected storm: http://t.co/jt5jCNuUgS</t>
  </si>
  <si>
    <t>.@NotifyNYC: Based on expected storm, all after-school activities, PSAL, adult ed, field trips cancelled on Mon. Regents exams as scheduled.</t>
  </si>
  <si>
    <t>Per @NYCDHS, it's rescheduled for a later date: 2/9. RT @photovagabonder: @NYCDHS @nycoem is the count cancelled or postponed? #HOPE2015</t>
  </si>
  <si>
    <t>Información en español: Twitter oficial del Gobierno de Ciudad de Nueva York --&amp;gt; @nycgob.</t>
  </si>
  <si>
    <t>.@NYCDHS' Monday night #HOPE2015 count of homeless cancelled due to coming storm.</t>
  </si>
  <si>
    <t>RT @NYCParks: NYC Parks advises New Yorkers to avoid using parks until Wednesday morning, when we will provide an update on park conditions.</t>
  </si>
  <si>
    <t>RT @NYCParks: Heavy ice and snow can cause hazardous conditions in parks, including falling branches and treacherous frozen park paths.</t>
  </si>
  <si>
    <t>RT @NYCParks: NYC Parks urges caution during the snow storm predicted for Monday afternoon through Tuesday evening.</t>
  </si>
  <si>
    <t>RT @nyc311: UPDATE: @NYCASP is suspended tom., Mon, Jan 26, &amp;amp; Tue, Jan 27, to facilitate snow removal. Parking meters will remain in effect.</t>
  </si>
  <si>
    <t>RT @NYCMayorsOffice: "It is likely that schools will be closed on Tuesday." - Mayor @BilldeBlasio. Watch on http://t.co/10woiev32p.</t>
  </si>
  <si>
    <t>RT @NYCMayorsOffice: "The City's doing everything we know how to do to keep you safe." - Mayor @BilldeBlasio. Live on http://t.co/10woiev32…</t>
  </si>
  <si>
    <t>RT @NYCMayorsOffice: "Anyone with a heat or hot water problem, please call 311 immediately." - Mayor @BilldeBlasio. Watch now on http://t.c…</t>
  </si>
  <si>
    <t>RT @NYCMayorsOffice: "All New Yorkers should stay off the road tomorrow." - Mayor @BilldeBlasio. Watch live on http://t.co/10woiev32p.</t>
  </si>
  <si>
    <t>RT @NYCMayorsOffice: "We're in constant touch with the National Weather Service." - Mayor @BilldeBlasio. Watch live on http://t.co/10woiev3…</t>
  </si>
  <si>
    <t>RT @NYCMayorsOffice: "When you can stay indoors, stay indoors. When you can stay off the roads, stay off the roads." - Mayor @BilldeBlasio.</t>
  </si>
  <si>
    <t>RT @NYCMayorsOffice: "We will ensure that all hands are on deck for this crisis." - Mayor @BilldeBlasio. Watch live on http://t.co/10woiev3…</t>
  </si>
  <si>
    <t>RT @nycmayorsoffice: "We are blessed with the finest workforce anywhere in this country, ready for emergencies." - Mayor @BilldeBlasio.</t>
  </si>
  <si>
    <t>RT @nycmayorsoffice: "Don't understimate this storm." - Mayor @BilldeBlasio. Watch live on http://t.co/wwHqONmhtg.</t>
  </si>
  <si>
    <t>RT @NYCMayorsOffice: "We are facing most likely one of the largest snow storms in the history of this city." - Mayor @BilldeBlasio. Live: h…</t>
  </si>
  <si>
    <t>RT @nycsanitation: DSNY issues snow alert for Monday, Jan. 26 @ 12:01 a.m. Salt spreaders &amp;amp; plows are ready.</t>
  </si>
  <si>
    <t>.@NWSNewYorkNY Blizzard Warning for NYC, 1PM Mon-12AM Wed morning: 20-30" of snow + wind gusts to 65mph. http://t.co/jsdLTt3RY4 #alert</t>
  </si>
  <si>
    <t>RT @NYCMayorsOffice: Starting soon, Mayor @BilldeBlasio will deliver a special weather update. Watch live on http://t.co/10woiev32p.</t>
  </si>
  <si>
    <t>.@VGentile43, thanks for helping us get the word out. @NWSNewYorkNY has upgraded the forecast for #NYC to a Blizzard Watch. Stay safe!</t>
  </si>
  <si>
    <t>Update: NYC is now under a Blizzard Watch for Monday afternoon through Tuesday evening, per @NWSNewYorkNY: http://t.co/AuYng7bMk5</t>
  </si>
  <si>
    <t>Know the difference between a watch, warning and advisory? Find the answer here: http://t.co/km0kyTybvX</t>
  </si>
  <si>
    <t>RT @NotifyNYC: Correction: Winter Storm Watch in effect from 1/26, 1PM to 1/28, 12AM. 10-14” of snow expected. Info: http://t.co/jsdLTt3RY4.</t>
  </si>
  <si>
    <t>RT @nwsnewyorkny: Here is some information regarding the potential major winter storm early next week. http://t.co/AmfRLWoMy4</t>
  </si>
  <si>
    <t>Press release: @nycsanitation, @nyc_dot, and @nycoem Issue Weather Update: http://t.co/AMzN9bfrOj</t>
  </si>
  <si>
    <t>RT @NYCSanitation: DSNY &amp;amp; @NYC_DOT asking emergency snow laborers to report for work @ 8 am Sunday to clear snow. http://t.co/70ssncUuZm ht…</t>
  </si>
  <si>
    <t>RT @NWSNewYorkNY: More snowfall expected. All warnings cancelled, Winter Weather Advisories in effect for entire tri-state through 6pm. htt…</t>
  </si>
  <si>
    <t>More than @NYCSanitation 2,100 snow clearing vehicles still working on snow/icy spots across 5 boros. Track progress: http://t.co/X0p7c90mh2</t>
  </si>
  <si>
    <t>RT @NWSNewYorkNY: Record snowfall: JFK: 3.4"/2.8" in 1971, BDR: 5.5"/1.7" in 1965, EWR: 5.1"/4.8" in 1948, ISP: 3.1"/0.1" in 2005. (record/…</t>
  </si>
  <si>
    <t>RT @NWSNewYorkNY: Steady precipitation is coming to an end and will transition to a more scattered nature through the day. http://t.co/XzNB…</t>
  </si>
  <si>
    <t>RT @NWSNewYorkNY: This graphic shows the melting layer moving through earlier today, with obs from PING showing transition to rain. http://…</t>
  </si>
  <si>
    <t>RT @NotifyNYC: .@ConEdison: Power outage in Jackson Hts, Corona, QN in ZIPs 11368, 11369, 11373 &amp;amp; 11373. Report service loss to 800-75-CONE…</t>
  </si>
  <si>
    <t>RT @nycgov: UPDATE: @NYCASP is suspended today, Saturday, January 24, to facilitate snow removal. Parking meters will remain in effect.</t>
  </si>
  <si>
    <t>Be prepared for slippery roads and limited visibilities, especially during the morning hours. Forecast updates: http://t.co/jsdLTt3RY4.</t>
  </si>
  <si>
    <t>RT @NotifyNYC: .@ConEdison: Power outage in Bay Ridge, BK in ZIPs 11219, 11220, 11204 &amp;amp; 11218. Rpt service loss to 800-75-CONED or http://t…</t>
  </si>
  <si>
    <t>RT @NWSNewYorkNY: 3:07 Advisory expanded to include all of Suffolk and southern New London. Updated snowfall forecast here http://t.co/8DIV…</t>
  </si>
  <si>
    <t>RT @nwsnewyorkny: Here is the latest on the Complex Winter Storm heading toward the region. http://t.co/B30XiMtMoa</t>
  </si>
  <si>
    <t>Press release: NYC Emergency Management Issues Travel Advisory for Saturday: http://t.co/hVpnZwD9cC</t>
  </si>
  <si>
    <t>RT @NotifyNYC: .@NYCASP Alternate Side Parking rules suspended for Sat, 1/24 for snow removal. Meters remain in effect. http://t.co/xLPtSTX…</t>
  </si>
  <si>
    <t>Volunteers are still needed for @nycdhs’ #HOPE2015 (happening Monday). Help make a difference. Sign up here: https://t.co/fSspBhqhwg</t>
  </si>
  <si>
    <t>RT @nwsnewyorkny: Here is the latest briefing on the upcoming storm! http://t.co/GeJIp1CGSl</t>
  </si>
  <si>
    <t>RT @NYCSanitation: DSNY issues equipment readiness 'snow alert' for Fri., 1/23 @ 10 p.m. Salt spreaders &amp;amp; plows are being readied. Drive ca…</t>
  </si>
  <si>
    <t>.@nycoem's new Community Space Survey is critical to helping NYC prepare for emergencies &amp;amp; outreach to communities. http://t.co/s7xRr0Ki5I</t>
  </si>
  <si>
    <t>Wintry mix forecast for late Friday into Saturday, per @NWSNewYorkNY: http://t.co/dOqxtmNnmS. For forecast updates: http://t.co/jsdLTt3RY4.</t>
  </si>
  <si>
    <t>Smile! Queens 4 CERT's seniors members welcomed its newest volunteers at the team's meeting on 1/15.  #NYCCERT http://t.co/hzcv8OrdO8</t>
  </si>
  <si>
    <t>.@nycoem Issues Travel Advisory for Overnight Wednesday into Thursday AM Rush: http://t.co/g9CvYj4N4W</t>
  </si>
  <si>
    <t>#NYCCERT is participating in @NYCDHS' #HOPE2015. Will you? https://t.co/fSspBhqhwg</t>
  </si>
  <si>
    <t>While severe weather is not expected, New Yorkers should stay tuned to the forecast. Visit http://t.co/jsdLTt3RY4 for updates.</t>
  </si>
  <si>
    <t>Your community space could potentially support NYC's emergency operations or be used for community outreach events: http://t.co/s7xRr0Ki5I</t>
  </si>
  <si>
    <t>NYC CERT Team Chiefs gathered at @nycoem for a meeting yesterday to discuss new program initiatives &amp;amp; more. #NYCCERT http://t.co/tfOGCCnzpo</t>
  </si>
  <si>
    <t>.@NYCSanitation issues equipment readiness 'snow alert' for Weds., 1/21 @ 2 PM. Spreaders will be loaded/ready to salt. Drive carefully.</t>
  </si>
  <si>
    <t>MT @Readygov: Commute to work by car, bus, or subway? Make a commuter emergency plan: http://t.co/u9YuidR07s http://t.co/BAOMmeJhjI</t>
  </si>
  <si>
    <t>#OEMTweetTip: help make your community safer, stronger &amp;amp; better prepared to respond to and recover from emergencies. http://t.co/nrhKqaASCZ</t>
  </si>
  <si>
    <t>MT @nwsnewyorkny: We'll be tracking the potential light snow event for Wed/Wed PM as the day goes by. Today, dry with near seasonal maxes.</t>
  </si>
  <si>
    <t>.@NWSNewYorkNY issues citywide Areal Flood Warning until 6:00PM. Heavy rainfall will cause highway &amp;amp; street flooding. http://t.co/mDluRg8P4Q</t>
  </si>
  <si>
    <t>RT @FDNY: It's damp and slippery outside. Be careful and only call 911 for serious emergencies. For all non-emergencies call 311.</t>
  </si>
  <si>
    <t>RT @NWSNewYorkNY: Freezing Rain Update. See Below. http://t.co/EhI4Jfl0L9</t>
  </si>
  <si>
    <t>Honor Martin Luther King, Jr.’s memory by volunteering with @NYCService: http://t.co/JQDDbqjsN4 #MLKDayNYC http://t.co/v7KVabIL4D</t>
  </si>
  <si>
    <t>Own/operate a business? You can get current, accurate information about emergencies with CorpNet: http://t.co/wY7UOdl6cX</t>
  </si>
  <si>
    <t>.@nycoem was honored with a 2014 Partnership Award from @nydisnet for #KnowYourZone and COOP campaigns! Thank you! http://t.co/9XTVqHxmiE</t>
  </si>
  <si>
    <t>You may have made your emergency plan, but don't forget your pet(s)! Get tips and information here: http://t.co/nuCVpfM9cP #ReadyNewYork</t>
  </si>
  <si>
    <t>Five years ago this week, @NotifyNYC expanded to include public school notifications. Have you signed up yet? http://t.co/3yxkMjV3bW</t>
  </si>
  <si>
    <t>RT @FDNY: The #FDNY performed rescues &amp;amp; secured the plane after @Captsully's Miracle on the Hudson, 6 years ago today. #FDNY150 http://t.co…</t>
  </si>
  <si>
    <t>Are you #ReadyNewYork? Take this month's quiz for a chance to win a Go Bag: http://t.co/SXiY3f8o53</t>
  </si>
  <si>
    <t>Thanks @NYCSeniors for co-hosting #NYCSeniorsChat. Missed today's discussion? Check it out here on #Facebook: http://t.co/P7oHkmeeEN</t>
  </si>
  <si>
    <t>Have a question for this morning's chat on Facebook? Tweet us or @nycseniors using the hashtag #NYCSeniorsChat.</t>
  </si>
  <si>
    <t>Today! Join @nycseniors and @nycoem for #NYCSeniorsChat on Facebook: http://t.co/KThwXHLk9J http://t.co/OvRdW1KJgS</t>
  </si>
  <si>
    <t>.@DStubenrod, you can find details of opportunities here: http://t.co/V3aoO8h9VQ. For training resources, check out http://t.co/2Yx36igYW9.</t>
  </si>
  <si>
    <t>RT @NYCMayorsOffice: FACT: It's free to get an @IDNYC in 2015. So what are you waiting for? http://t.co/ReOtcCkH49 http://t.co/IOm5A9V3FJ</t>
  </si>
  <si>
    <t>Hi, @DStubenrod. You can apply via NYC Careers website: https://t.co/1EYNHHW0KU. Search by Job ID # as indicated on each posting. Good luck!</t>
  </si>
  <si>
    <t>Tomorrow! Join @nycoem and @NYCSeniors for a chat about helping seniors prepare for winter weather hazards. http://t.co/lnhXykcPdg</t>
  </si>
  <si>
    <t>On @LinkedIn? Follow NYC Emergency Management for updates (including info about job/internship opportunities): https://t.co/hGkIfspt6C</t>
  </si>
  <si>
    <t>A John D. Solomon Fellow shares her account of her work at the @redcrossny. Read it here: http://t.co/1bfImwcBHX</t>
  </si>
  <si>
    <t>Acompaña a @NYCSeniors y @nycoem esta semana para diálogo en FB sobre cómo ayudar a #ancianos esta temporada: http://t.co/tVRDniPTbs</t>
  </si>
  <si>
    <t>#OEMTweetTip: be "apptastic" and prepare on your smartphone with #ReadyNYC. http://t.co/nrhKqaASCZ</t>
  </si>
  <si>
    <t>RT @NWSNewYorkNY: Winter weather Advisory lifted for Long Island and NYC. In affect elsewhere. Watch for elevated roadways, even if its &amp;gt;32.</t>
  </si>
  <si>
    <t>RT @NotifyNYC: @nycoem issues Travel Advisory: Monday morning, 1/12/15 due to snow &amp;amp; ice conditions. Info: http://t.co/svIVmkc1Pw.</t>
  </si>
  <si>
    <t>MT @NYCSanitation issues ‘snow alert’ for Mon., Jan. 12 @ 12 AM. Spreaders will be ready to salt roads.</t>
  </si>
  <si>
    <t>You can get critical information on your phone in real time with #TwitterAlerts: https://t.co/hsjivs1gf5 &amp;amp; https://t.co/qeUx8Kf26G</t>
  </si>
  <si>
    <t>Join @NYCDHS for its annual Homeless Outreach Population Estimate (HOPE) on 1/26.  Register to volunteer: https://t.co/fSspBhqhwg</t>
  </si>
  <si>
    <t>RT @NotifyNYC: .@NYCASP Alternate Side Parking rules suspended for rest of today, 1/9 for snow removal. Meters remain in effect. http://t.c…</t>
  </si>
  <si>
    <t>Per @NWSNewYorkNY: band of mod-heavy snow moving east through NYC  through 9am. Snow accumulating quickly, making travel hazardous. Be safe!</t>
  </si>
  <si>
    <t>+@nyc311 RT @brennan_dawn: @nycoem @nycgov @NYCSeniors my 73yr old mom just got out of the hospital from the flu and there's barely any heat</t>
  </si>
  <si>
    <t>Learn how you can help seniors prepare this winter. Join the conversation with @nycoem and @nycseniors next week. http://t.co/XcvpRpha5o</t>
  </si>
  <si>
    <t>Hazards like winter weather can also affect your property. Find out what steps you can take to reduce your risk: http://t.co/axG7ExTlYz</t>
  </si>
  <si>
    <t>.@nycsanitation issues 'snow alert' for Fri., 1/9 @ 5 a.m. Spreaders ready to salt roads. Normal refuse/recycling pickups still planned.</t>
  </si>
  <si>
    <t>Remember: if your home loses heat, contact @nyc311. NEVER use a gas stove or oven to heat your home, or use a generator indoors.</t>
  </si>
  <si>
    <t>Cold weather continues in NYC. Be safe! Winter health and safety tips: http://t.co/CRe8LyeFZY</t>
  </si>
  <si>
    <t>TY @ShenMilsomWilke for hosting yesterday's #NYCCERT MN Team Chief Meeting! cc: @galeabrewer, Alize Beal @mayorsCAU. http://t.co/B6fHW5dfmr</t>
  </si>
  <si>
    <t>Please welcome the new fellows in the John D. Solomon Fellowship for Public Service program: http://t.co/X1VzPPx61O</t>
  </si>
  <si>
    <t>RT @NWSNewYorkNY: Current radar shows some snow showers moving through. Don't be surprised if you see some flakes yourself! http://t.co/Pfe…</t>
  </si>
  <si>
    <t>NYC is no stranger to winter weather this time of year. Who remembers the Blizzard of 1996?
Here's a recap: http://t.co/6sKPZjjQgX</t>
  </si>
  <si>
    <t>Want more winter weather health &amp;amp; safety tips? Check out the @nycoem website: http://t.co/CRe8LyeFZY #wintersafety</t>
  </si>
  <si>
    <t>Yesterday, #NYCCERT members assisted @NWSNewYorkNY &amp;amp; @CoCoRaHS with snow measurements: http://t.co/RelPJVJTRT (photo via @SouthHarlemCERT)</t>
  </si>
  <si>
    <t>It's cold out there. Stay warm and safe with these tips from @JoeEspoNYC: http://t.co/65c7SKgRDq #wintersafety</t>
  </si>
  <si>
    <t>RT @NotifyNYC: .@NWSNewYorkNY Wind Chill Advisory in effect Wed evening, 1/7. Prepare for upcoming frigid weather: http://t.co/71P85osBYB.</t>
  </si>
  <si>
    <t>RT @NWSNewYorkNY: Wind Chill Advisory in effect from 7 pm Wed to 8 am Thu. Wind chills of -10 to -20 are forecast! http://t.co/oAH3C4sbGw</t>
  </si>
  <si>
    <t>RT @NYCMayorsOffice: Mayor @BilldeBlasio urges New Yorkers to take precautions in dealing with cold weather this week http://t.co/usY7d9jhp1</t>
  </si>
  <si>
    <t>Mark your calendars: join @nycseniors/@nycoem for a #Facebook chat!  #NYCSeniorsChat http://t.co/tVRDniPTbs</t>
  </si>
  <si>
    <t>.@nycsanitation has dispatched 400 + salt spreaders citywide to handle snow on roads. Track them at http://t.co/kLUimfahCR. Drive carefully.</t>
  </si>
  <si>
    <t>Resolve to get #ReadyNYC on your iPhone or Android.  
-iOS: http://t.co/P1a8BgskmL
-Android: https://t.co/kbOBM96sAL http://t.co/685X9C1m9a</t>
  </si>
  <si>
    <t>RT @NYCSanitation: DSNY issues 'snow alert' for 9 a.m. on Tuesday, 1/6. Drive carefully. http://t.co/j9DyXgC9Yu</t>
  </si>
  <si>
    <t>#OEMTweetTip: donate one to help save three in January. Learn more: http://t.co/nrhKqaASCZ</t>
  </si>
  <si>
    <t>MT @nycservice: Check out opportunities NYC has to offer! Start the #NewYear by connecting to your community at http://t.co/LNqxJi7fyC.</t>
  </si>
  <si>
    <t>RT @NWSNewYorkNY: Here is a graphical look at our precipitation type forecast &amp;amp; approximate timing for this weekend. http://t.co/1jaP5Gybdy</t>
  </si>
  <si>
    <t>.@NWSNewYorkNY is forecasting unsettled weather this weekend. Check out this graphic for more details: http://t.co/WUJKXuMH6G</t>
  </si>
  <si>
    <t>Test your knowledge for a chance to win a Go Bag with the Ready New Yorker of the Month quiz: http://t.co/wyhoYGech3 #ReadyNewYork</t>
  </si>
  <si>
    <t>Thank you #NYCCERT for assisting the #ConeyIsland #PolarBearPlunge! http://t.co/pjE1MSYuVz</t>
  </si>
  <si>
    <t>.@NotifyNYC now has more than 250,000 subscribers! Be sure you’re “in the know” in 2015: http://t.co/3yxkMjV3bW</t>
  </si>
  <si>
    <t>NYC Emergency Management wishes New Yorkers a safe and #HappyNewYear. We hope you resolve to be prepared in 2015! http://t.co/i3ceqBCsfS</t>
  </si>
  <si>
    <t>.@nycasp has released its 2015 Holiday Alternate Side Parking Suspensions. Get it here: http://t.co/nazx1BTTXw #nycasp</t>
  </si>
  <si>
    <t>RT @nyc311: Tomorrow is New Year’s Day. Gov’t offices will be closed. @NYCASP, mail &amp;amp; trash pickup will be suspended: http://t.co/RIPUbQ2CA0</t>
  </si>
  <si>
    <t>#ReadyNewYork expands its suite of resources with a new video series, mobile application and more. Press release: http://t.co/PM4C4EKHGR</t>
  </si>
  <si>
    <t>As you ring in the New Year, resolve to get involved! Find out about disaster volunteer opportunities: http://t.co/KzZwRGZSjQ</t>
  </si>
  <si>
    <t>There's plenty of time to make a New Year's resolution. Stay informed when emergencies happen with @NotifyNYC. http://t.co/KAKCncAH00</t>
  </si>
  <si>
    <t>#ReadyNYC can help you plan ahead in case of an emergency. Available for iOS (http://t.co/P1a8BgskmL) &amp;amp; Android (https://t.co/kbOBM96sAL)</t>
  </si>
  <si>
    <t>As 2014 draws to a close, what have you learned about emergency preparedness this past year? Tweet us with the hashtag #ResolveToBeReadyNYC.</t>
  </si>
  <si>
    <t>Join #NYCCERT members as they participate in @NYCDHS' #HOPENYC 2015 on Jan. 26. Learn more: https://t.co/fSspBhqhwg</t>
  </si>
  <si>
    <t>Make a plan before disaster strikes with #ReadyNYC, now available for iOS and Android. Get it today! http://t.co/9y53P46aB2</t>
  </si>
  <si>
    <t>The @NYCMayorsFund has started a Heroes Relief Effort to support the families of Rafael Ramos and Wenjian Liu: http://t.co/TLI1nRLxIS</t>
  </si>
  <si>
    <t>#OEMTweetTip: resolve to be ready in 2015. http://t.co/nrhKqaASCZ</t>
  </si>
  <si>
    <t>Have leftover unopened canned goods from the holidays? Consider donating to a local food pantry or add them to your emergency supplies.</t>
  </si>
  <si>
    <t>NYC Emergency Management wishes a safe and Happy #Kwanzaa to all who are celebrating.</t>
  </si>
  <si>
    <t>Learn more about the NJ/NY Regional Medical Ambulance Bus Fleet, and how it supports emergency response: http://t.co/QU7IQXry4K</t>
  </si>
  <si>
    <t>NYC Emergency Management wishes New Yorkers a safe and #MerryChristmas. http://t.co/CA2rIumL2V</t>
  </si>
  <si>
    <t>Great tip! MT @FDNY: Remember to keep your tree at least 3 ft from heat sources, like fireplaces, radiators, candles, heat vents or lights.</t>
  </si>
  <si>
    <t>Wet weather expected in NYC through early tomorrow morning. More details via @NWSNewYorkNY: http://t.co/wDrv3GU1vP</t>
  </si>
  <si>
    <t>RT @nycgov: Watch @NYCSanitation's 60 second video on what types of electronics will be banned from disposal in 2015. http://t.co/q5mCuG9ZwS</t>
  </si>
  <si>
    <t>RT @nycHealthy: The patient isolated at Bellevue has tested negative for the Ebola virus.</t>
  </si>
  <si>
    <t>At 9:00 PM, at request of the Mayor, buildings and landmarks on NYC’s skyline will dim lights in honor of slain NYPD Officers Liu and Ramos.</t>
  </si>
  <si>
    <t>MT @nycHealthy: Due to travel history &amp;amp; symptoms, a patient is currently being evaluated for Ebola at Bellevue. http://t.co/jwrRzAUOQA</t>
  </si>
  <si>
    <t>NYC Emergency Management observes a moment of silence to pay tribute to fallen Officers Ramos and Liu: http://t.co/U4xw8pGzrD</t>
  </si>
  <si>
    <t>At 2:47 p.m. today, please join us and Mayor @BilldeBlasio in a moment of silence in memory of Officers Ramos and Liu.</t>
  </si>
  <si>
    <t>Traveling for the holidays? Stay informed. Know before you go with @NotifyNYC: http://t.co/3yxkMjV3bW</t>
  </si>
  <si>
    <t>Winter is here. In the event of a weather emergency, tune in to the NYC Severe Weather website for information: http://t.co/iRttYdGc20</t>
  </si>
  <si>
    <t>#OEMTweetTip: give a gift of preparedness this holiday season. http://t.co/nrhKqaASCZ</t>
  </si>
  <si>
    <t>Our thoughts and prayers are with the NYPD and the families of Officers Liu and Ramos during this time of solidarity. http://t.co/LhypVo8X3M</t>
  </si>
  <si>
    <t>Our thoughts and prayers are with the NYPD and the families of Officers Lin and Ramos during this time of solidarity. http://t.co/tOwV8Gdgnn</t>
  </si>
  <si>
    <t>Winter is coming, and @nycoem wants you to be prepared this season. Check out our tips featuring @JoeEspoNYC: http://t.co/65c7SKgRDq</t>
  </si>
  <si>
    <t>Give your time to @NYCService this holiday season. Find a volunteer opportunity here: http://t.co/LNqxJi7fyC</t>
  </si>
  <si>
    <t>This holiday season, consider contributing to the emergency preparedness of the City as a whole by donating blood. @NYBloodCenter</t>
  </si>
  <si>
    <t>RT @notifynyc: There will be a #fireworks display at 7:30 PM, 12/18 over the Hudson River near Battery Park City, Manhattan.</t>
  </si>
  <si>
    <t>What's that sound? In case you need to be reminded about staying informed, @NotifyNYC is on @pandora_radio. http://t.co/Nv1dF1zXBT</t>
  </si>
  <si>
    <t>MT @nycHealthy: NYC is Ebola-free, but the City continues to aggressively ensure the health &amp;amp; safety of all NYers: http://t.co/qJoFi9sTEw</t>
  </si>
  <si>
    <t>Gifting an iPhone this holiday season? Add the #ReadyNYC mobile app so they can be prepared! http://t.co/P1a8BgskmL http://t.co/FKEBc70mch</t>
  </si>
  <si>
    <t>.@WhiteHouse initiative launches http://t.co/JEbL5MXYVk to empower 1st responders &amp;amp; survivors: http://t.co/GP3Q0XYKIo (via @whitehouseostp)</t>
  </si>
  <si>
    <t>"[He] believed emergency preparedness should be viewed as a responsibility of citizenship in the 21st century." http://t.co/zSIHbksKtH</t>
  </si>
  <si>
    <t>NYC Emergency Management wishes New Yorkers and their families a safe and #HappyHanukkah. http://t.co/zA2LzmcmfS</t>
  </si>
  <si>
    <t>The New York City Urban Area Working Group just released its fall newsletter. Check it out: http://t.co/bSN7z8xOfw</t>
  </si>
  <si>
    <t>Photo album: CERT Cycle 23 celebrates graduation: http://t.co/v0CXdSyit4 #NYCCERT</t>
  </si>
  <si>
    <t>/@nyc311: Winter’s coming. Register as a temporary snow laborer &amp;amp; work to help remove snow for winter weather events: http://t.co/ryx4eeB7cy</t>
  </si>
  <si>
    <t>Lunch time w/ @nycoem's Winter Weather Fun Day - #NYC winter weather plan trivia &amp;amp; knowledge games for snow season http://t.co/IVQBwxF2Yy</t>
  </si>
  <si>
    <t>How does @nycoem develop the City's emergency plans? What types are there? Find the answer here: http://t.co/zGEXm0YHAj</t>
  </si>
  <si>
    <t>#OEMTweetTip: this holiday season, get fired up about candle safety. http://t.co/nrhKqaASCZ</t>
  </si>
  <si>
    <t>John D. Solomon Fellowship Program for Public Service fellows &amp;amp; mentors visited @NYChealthy's offices last week: http://t.co/qcd2PWTQ9o</t>
  </si>
  <si>
    <t>Photo album: #NYCCERT fall cycle participants put skills to the test in disaster simulation: http://t.co/qZ1JKHJtbv</t>
  </si>
  <si>
    <t>#ThrowbackThursday: more than 750 students at Staten Island's P.S. 41 were trained in emergency preparedness (2009): http://t.co/DvLanGKnf1</t>
  </si>
  <si>
    <t>What's it like seeing the Emergency Operations Center in action? John D. Solomon Fellow Claudia says... http://t.co/R5ugdT5wuK (via @Tumblr)</t>
  </si>
  <si>
    <t>MT @notifynyc: Controlled fire &amp;amp; disaster drill at Cadman Plz E &amp;amp; Red Cross Pl, BK @ 6:30PM for #NYCCERT. @FDNY/@NYPDnews will be present.</t>
  </si>
  <si>
    <t>.@NotifyNYC, NYC's official source for emergency info, made its debut 7 years ago today. Not connected yet? Sign up! http://t.co/3yxkMjV3bW</t>
  </si>
  <si>
    <t>Decking the halls? "Yule" be safer if you follow these tips: 
Via @FDNY: http://t.co/z955AawJjX
Via @NFPA: http://t.co/RaBiaNsBaJ</t>
  </si>
  <si>
    <t>MT @NotifyNYC: Controlled fire &amp;amp; disaster drill for #NYCCERT at New Dorp Lane &amp;amp; Hylan Blvd, SI @ 6:30PM. @FDNY/@NYPDnews will be present.</t>
  </si>
  <si>
    <t>The wind advisory &amp;amp; flood watches are cancelled. A few rivers/streams remain above flood stage this eve. No additional flooding expected.</t>
  </si>
  <si>
    <t>Prepared for emergencies? You better get #ReadyNYC with our mobile app (made with @nycdoitt): http://t.co/y62ENLH39J http://t.co/Fl6Er0kysJ</t>
  </si>
  <si>
    <t>RT @notifynyc: Areal Flood Warning:BX,MN,QN,BK,until 4 PM.Heavy rainfall will cause flooding of roadways &amp;amp; streets: http://t.co/f3GhoEmY7U</t>
  </si>
  <si>
    <t>RT @notifynyc: #Flooding: Extensive #traffic delays in vicinity of Rockaway Blvd &amp;amp; Brookville Blvd, QN. Consider alternate routes.</t>
  </si>
  <si>
    <t>Not just for businesses: Partners in Preparedness includes nonprofits, community groups &amp;amp; colleges like @WeAreTouro: http://t.co/3BysLVBHa4</t>
  </si>
  <si>
    <t>MT @NWSNewYorkNY: Flood advisories for and around all of our coastal areas into early afternoon. http://t.co/klMpHerzPv</t>
  </si>
  <si>
    <t>Here's the latest information about the nor'easter in our area, courtesy of @NWSNewYorkNY. http://t.co/JsDAoUd3yV</t>
  </si>
  <si>
    <t>RT @NotifyNYC: Due to protest activity, expect traffic delays &amp;amp; emergency personnel near Atlantic Ave &amp;amp; 4th Ave, BK. Consider alternate rou…</t>
  </si>
  <si>
    <t>Press release: NYC Emergency Management issues travel advisory in advance of impending nor'easter. http://t.co/qtXfdeOKKh</t>
  </si>
  <si>
    <t>Heavy rain's expected tomorrow. Check catch basins &amp;amp; safely clear them of debris to prevent flooding: http://t.co/zwzBr8amJ7 (via @nycwater)</t>
  </si>
  <si>
    <t>RT @NWSNewYorkNY: Multiple headlines currently in effect for our area for the upcoming nor'easter. More info: http://t.co/cdxNmWrcrt</t>
  </si>
  <si>
    <t>Last week, ABC Studios hosted members of NYC’s Partners in Preparedness program for a scenario-driven exercise http://t.co/eV29mTSFXJ</t>
  </si>
  <si>
    <t>#OEMTweetTip: whether winter weather is forecast, “snow how” to shovel responsibly. http://t.co/nrhKqaASCZ</t>
  </si>
  <si>
    <t>Per @NYC_DOT, today is another NYC #GridlockAlert Day - please use mass transit if possible http://t.co/lIVFzUu1aJ</t>
  </si>
  <si>
    <t>Today marks the anniversary of the Ready New York for Kids program. http://t.co/3ZtJN43Agp</t>
  </si>
  <si>
    <t>RT @NotifyNYC: Due to #protest activity expect extensive #traffic delays in the areas of Herald Square &amp;amp; Union Square, MN. Consider alterna…</t>
  </si>
  <si>
    <t>RT @NotifyNYC: Due to #protest activity expect extensive #traffic delays in the area of Flatbush Ave &amp;amp; Atlantic Ave in Brooklyn. Consider a…</t>
  </si>
  <si>
    <t>RT @NYCTBus: #ServAdv: e/b #BM1, #BM2, #BM3, #BM4 buses are detoured due to NYPD activity at the FDR Dr &amp;amp; Brooklyn Bridge. See http://t.co/…</t>
  </si>
  <si>
    <t>RT @NotifyNYC: #Protest activity: Expect extensive traffic delays on the Brooklyn Bridge in both directions. Consider alternate routes.</t>
  </si>
  <si>
    <t>RT @NotifyNYC: #Protest activity: extensive #traffic delays on the upper &amp;amp; lower levels of eastbound MN Bridge. Consider alternate routes.</t>
  </si>
  <si>
    <t>NYC Emergency Management issues Traffic Advisory: http://t.co/zh6zVWBDRn</t>
  </si>
  <si>
    <t>Ready New York: My Emergency Plan is a workbook that helps all New Yorkers make a disaster plan. Watch the video: http://t.co/zAFTIuuM1c</t>
  </si>
  <si>
    <t>It’s the International Day of Persons with Disabilities. Learn about how @NYC_MOPD helps those with special needs: http://t.co/yuQgIU7W0c</t>
  </si>
  <si>
    <t>Community Emergency Response Teams are active in the NYC community boards. Here’s a photo of Queens 14:  #NYCCERT http://t.co/VtF822az3n</t>
  </si>
  <si>
    <t>Another #GivingTuesday idea: offer to be part of someone's emergency support network, so you can help each other get through an emergency.</t>
  </si>
  <si>
    <t>Today is #GivingTuesday. Consider making a donation to a volunteer agency involved in disaster relief. http://t.co/WlsX1PN8FL</t>
  </si>
  <si>
    <t>NYC is no stranger to severe weather, but check this out: http://t.co/zUTy8FlJJx #Brisbane #Australia</t>
  </si>
  <si>
    <t>Did you know? NYC Emergency Management's HQ is a green building. It's even received an architecture award! http://t.co/JDPaOtvmSw</t>
  </si>
  <si>
    <t>Are you #ReadyNewYork? Take the December quiz and find out: http://t.co/wyhoYGech3</t>
  </si>
  <si>
    <t>#OEMTweetTip: if the power goes out, don't be in the dark about what to do. http://t.co/nrhKqaASCZ</t>
  </si>
  <si>
    <t>The 2014 Atlantic hurricane season. Thankfully, it was a quiet season, but you should still #knowyourzone! http://t.co/Kas5Z8FfOa</t>
  </si>
  <si>
    <t>#FlashbackFriday: debut of “We Are New York: The Storm,” a resource for English-language Learners. http://t.co/NZ8WahYH2a @NYCImmigrants</t>
  </si>
  <si>
    <t>NEW! Report #HeatSeasonNYC complaints on the updated @nyc311 app (iOS and Android) at http://t.co/Q9fYQn2Mf9. @nycdoitt @nychousing</t>
  </si>
  <si>
    <t>#Thanksgiving may be over, but @FDNY's simple cooking safety tips can (and should) be followed any day: http://t.co/V4LASJUfUG</t>
  </si>
  <si>
    <t>RT @nyc311: Schools are closed today, but gov't offices are open. @NYCSanitation, mail and @NYCASP are in effect: http://t.co/dE4G97iXxf</t>
  </si>
  <si>
    <t>Have extra canned food left over from your #Thanksgiving feast? Consider adding them to your emergency supply kit. http://t.co/tDgYI7x65A</t>
  </si>
  <si>
    <t>NYC Emergency Management wishes New Yorkers and their families a safe and Happy Thanksgiving. http://t.co/CYriHY78ML</t>
  </si>
  <si>
    <t>The Winter Weather Advisory has been cancelled. For forecast updates, visit http://t.co/jsdLTt3RY4.</t>
  </si>
  <si>
    <t>.@NWSNewYorkNY updated storm total snowfall map posted. Amounts lowered coastal CT and in NYC. Amounts raised inland. http://t.co/IYTeJrZ0Cq</t>
  </si>
  <si>
    <t>RT @nwsnewyorkny: 1:30pm, 0.2" of snow measured at Central Park, NY as of 1 PM.</t>
  </si>
  <si>
    <t>RT @nyc311: Tomorrow is Macy's 88th Annual #Thanksgiving Day Parade. Check to see which streets will be closed: http://t.co/cg0rjfcjM0</t>
  </si>
  <si>
    <t>Tomorrow is #Thanksgiving. Schools &amp;amp; Gov't offices are closed. @NYCASP, meters, mail &amp;amp; sanitation are suspended: http://t.co/fMGmGXAXLw</t>
  </si>
  <si>
    <t>Photo: NYC Emergency Management is activated. http://t.co/MBXEiVr3kv</t>
  </si>
  <si>
    <t>OEM is activated &amp;amp; working with agency partners. #winterweather @nycsanitation @nypdnews @nyc_dot @fdny @conedison @nycbuildings @nycparks</t>
  </si>
  <si>
    <t>MT @NWSNewYorkNY: Currently seeing some sleet &amp;amp; snow mixing in with the rain. More snow N &amp;amp; W of the city. http://t.co/xc7dbay8LF</t>
  </si>
  <si>
    <t>RT @Readygov: Traveling for #Thanksgiving? Pack an emergency kit for each person in your car: http://t.co/kprL79c3BP http://t.co/whlT30jruQ</t>
  </si>
  <si>
    <t>If you are traveling today, please exercise caution and follow these safety tips: http://t.co/CRe8LyeFZY</t>
  </si>
  <si>
    <t>RT @NWSNewYorkNY: Check out the updated snowfall forecast and Warnings/Advisories! http://t.co/l7KmTkU0Sz</t>
  </si>
  <si>
    <t>RT @NYC_DOT: Today is another NYC #GridlockAlert Day - please use mass transit if possible http://t.co/XTZaMijML5 http://t.co/CdiSXYuxYJ</t>
  </si>
  <si>
    <t>RT @NWSNewYorkNY: Latest video briefing on Winter storm for tomorrow, Wednesday November 26. https://t.co/2xc3Go8mot</t>
  </si>
  <si>
    <t>RT @NotifyNYC: .@nycoem issues Hazardous Travel Advisory for tomorrow, Wednesday, 11/26. http://t.co/KzGCGKY2ON ASL -http://t.co/XuJm34yVUk</t>
  </si>
  <si>
    <t>NYC Emergency Management Issues Travel Advisory for Wednesday. Read the press release: http://t.co/27lnJVrJ5t</t>
  </si>
  <si>
    <t>.@nwsnewyorkny updated winter storm warnings and have included #NYC in a winter weather advisory for Wednesday. http://t.co/RQuVOMdcRn</t>
  </si>
  <si>
    <t>.@ConEdison’s getting ready for wet, heavy snow. Downed power lines are dangerous. Watch video about restoring power http://t.co/Xh50206gGg</t>
  </si>
  <si>
    <t>RT @nwsnewyorkny: Updated snowfall totals for the Tri-State from Wednesday Morning into early Thursday Morning. http://t.co/hOB2jIYMZk</t>
  </si>
  <si>
    <t>.@nwsnewyorkny notes that tomorrow's Winter Storm Watch has expanded to include NYC: http://t.co/EQFmIKeTr6</t>
  </si>
  <si>
    <t>MT @JoeEspoNYC: Team of 4 @NYC_Buildings structural engineers &amp;amp; 2 @nycoem emergency managers are helping in #Buffalo after record snowfall.</t>
  </si>
  <si>
    <t>RT @NWSNewYorkNY: Here is an update on the significant winter storm on Wednesday. http://t.co/16zLMLSkRf</t>
  </si>
  <si>
    <t>RT @NYCSanitation: DSNY issues 'snow alert' for Wednesday, 11/26 @ 7 a.m.. Plows &amp;amp; salt spreaders will be ready. Drive carefully. http://t.…</t>
  </si>
  <si>
    <t>Last week, John D. Solomon Fellows visited the @FDNY Fire Academy on #RandallsIsland. Check out photos on @Tumblr: http://t.co/aDnIT7k9Kl</t>
  </si>
  <si>
    <t>MT @NWSNewYorkNY: Wind advisory-most coastal areas today. Winter storm watch-Wed-Early Thu for interior areas. See http://t.co/jsdLTt3RY4.</t>
  </si>
  <si>
    <t>#OEMTweetTip: in addition to preparing yourself &amp;amp; your families for emergencies, take steps to protect your property: http://t.co/nrhKqaASCZ</t>
  </si>
  <si>
    <t>Over the weekend, #NYCCERT (including @EH_CERT &amp;amp; @SouthHarlemCERT) participated in the NYPD Harlem Job Fair.  http://t.co/4N3xtWbvw4</t>
  </si>
  <si>
    <t>RT @StatenIslUSA: Free flu shots at Borough Hall on Tuesday! http://t.co/7Ln1GPWwkU</t>
  </si>
  <si>
    <t>The @FDNY Special Operations Command Task Force will join the Incident Management Team already helping in #Buffalo http://t.co/vjHBkCuJZL</t>
  </si>
  <si>
    <t>RT @FDNY: #FDNY’s sending 41 members of Special Operations Command to #Buffalo to help the city after record snowfall http://t.co/u6CvuVA76w</t>
  </si>
  <si>
    <t>.@ENERGY's app lets you access &amp;amp; share data about nearby gas stations &amp;amp; power outages during energy emergencies. http://t.co/wH54W9UipG</t>
  </si>
  <si>
    <t>Check out "NYC's Risk Landscape: A Guide to Hazard Mitigation," developed by @nycoem, @nycplanning and @planyc: http://t.co/8Y2g28cGao</t>
  </si>
  <si>
    <t>NYC: take steps to prepare and protect your property from hazards. #ReduceYourRisk http://t.co/YLF4TYMsWQ</t>
  </si>
  <si>
    <t>New Reduce Your Risk campaign outlines steps property owners can take steps to protect their property from hazards: http://t.co/ElznImVH61</t>
  </si>
  <si>
    <t>Press release: New tools debut to help New Yorkers understand &amp;amp; prepare for risks NYC faces today &amp;amp; in the future: http://t.co/L3JuZpRS0D</t>
  </si>
  <si>
    <t>.@stopthemold, please contact @NYCHA directly. For guidance on mold remediation, visit @NYChealthy's webpage here: http://t.co/9QyVbuaCAq</t>
  </si>
  <si>
    <t>Get the facts about Ebola at the upcoming town hall meeting at Elmhurst Hospital Center on Tuesday, Nov. 25. http://t.co/5cLtQhYES2</t>
  </si>
  <si>
    <t>ICYMI: Yesterday, a patient at Bellevue tested negative for Ebola. Read @nychealthy &amp;amp; @HHCnyc: joint statement: http://t.co/jwrRzAUOQA</t>
  </si>
  <si>
    <t>.@FDNY is sending 35 members of the Incident Management Team to #Buffalo to help the city after the record snowfall. http://t.co/W5epnx7C8h</t>
  </si>
  <si>
    <t>Remember: sign up for @NotifyNYC for emergency alerts and important City services: http://t.co/3yxkMjV3bW</t>
  </si>
  <si>
    <t>'Tis the season for NYC’s #GridlockAlert Days. First up is TOMORROW. Learn more from @NYC_DOT: http://t.co/XTZaMijML5</t>
  </si>
  <si>
    <t>How easy is it for your business to join #PartnersInPreparedness? Find out here: http://t.co/iBZih7si9b. P.S. It's free!</t>
  </si>
  <si>
    <t>10 days left until the end of the Atlantic hurricane season, but that doesn't mean you shouldn't #knowyourzone: http://t.co/nAGSJ3lOEI</t>
  </si>
  <si>
    <t>Thank you @AdCouncil &amp;amp; @deutschinc for working with NYC Emergency Management on our preparedness campaign.  #ACDinner http://t.co/WwHrTZ0EUC</t>
  </si>
  <si>
    <t>All maps lead to #GISDay. #GISDay2014 http://t.co/j5BfVdXkPr</t>
  </si>
  <si>
    <t>Did you know? New York City's Hurricane Evacuation Zone Finder is GIS-based! #KnowYourZone: http://t.co/Ljc9SX2O6T #GISDay #GISDay2014</t>
  </si>
  <si>
    <t>Geographic information systems (GIS) support NYC Emergency Management's planning ops &amp;amp; emergency response: http://t.co/ANkE33bnmB. #GISDay</t>
  </si>
  <si>
    <t>NYC Emergency Management's GIS team is celebrating #GISDay! http://t.co/UD4Q76fe6G</t>
  </si>
  <si>
    <t>RT @NYCSanitation: Why are some snow plows out tonight? DSNY is holding a “snow drill” to fine-tune snow fighting operations.</t>
  </si>
  <si>
    <t>It's quite cold out today. Remember: if you building lacks heat/hot water, contact @nyc311: http://t.co/0tzlf0Qwxe</t>
  </si>
  <si>
    <t>MT @nwsnewyorkny: Wondering why January-like temps will be upon us the next few days? Check out the graphic: http://t.co/4wQeu27f4S</t>
  </si>
  <si>
    <t>Severe Thunderstorm Warning has been cancelled. For forecast updates, visit http://t.co/jsdLTt3RY4.</t>
  </si>
  <si>
    <t>Flashback to 2013: NYC Emergency Management hosted a multiagency drill involving a radiological dispersal device: http://t.co/5FVrW2Z5Ho</t>
  </si>
  <si>
    <t>RT @nwsnewyorkny: OKX issues Severe Thunderstorm Warning for Kings, Nassau, Queens [NY] till 3:15 PM EST http://t.co/z3a7LghJXY…</t>
  </si>
  <si>
    <t>#OEMTweetTip: it pays to be prepared. Speaking of which, have you added *this* to your supplies yet? http://t.co/nrhKqaASCZ</t>
  </si>
  <si>
    <t>Per @NWSNewYorkNY: Rain today, January-like Tuesday and Wednesday: http://t.co/Ob7xA1rOuU</t>
  </si>
  <si>
    <t>Thankfully, there's no sign of snow in #NYC. But you should still be prepared. Find out how: http://t.co/2vWxISFdKX</t>
  </si>
  <si>
    <t>NYC Severe Weather (http://t.co/iRttYdGc20) is a site for residents to learn more about how severe weather emergencies are affecting NYC.</t>
  </si>
  <si>
    <t>MT @NWSNewYorkNY: 1st flakes of season forecast. Rain changing to all snow inland, mixing w/ snow at the coast. http://t.co/toQ6p3SvgH</t>
  </si>
  <si>
    <t>November is almost halfway over, but there's still time to enter the Ready New Yorker of the Month Contest: http://t.co/wyhoYGech3</t>
  </si>
  <si>
    <t>Have questions about snow operations? Check out this great resource from @NYCSanitation: http://t.co/KaeQfTiEWR</t>
  </si>
  <si>
    <t>.@NYCSantiation issues 'snow alert' for 8 PM. Salt spreaders are loaded and ready to be deployed. Drive carefully. http://t.co/4KdUndEc6W</t>
  </si>
  <si>
    <t>Not only can you make a plan with the Ready NYC mobile app, but you also can share your plan with family &amp;amp; friends: http://t.co/P1a8BfBwYz</t>
  </si>
  <si>
    <t>Looking for a career in emergency management? Find your path: http://t.co/2L42LeJAFs</t>
  </si>
  <si>
    <t>Fire suppression skills are tested by #NYCCERT fall training cycle participants. http://t.co/bd1ZIPNIIy</t>
  </si>
  <si>
    <t>Yes, business continuity can successfully mix information &amp;amp; fun. Just ask APG US, featured Partner in Preparedness: http://t.co/TjoUHRBY5C</t>
  </si>
  <si>
    <t>ICYMI RT @NYChealthy: Read the latest statement updating New Yorkers about Ebola: http://t.co/jwrRzA41so</t>
  </si>
  <si>
    <t>Such a pleasure hosting @feastongood hackathon participants last month! MT @mmlee: New #disastertech #hackathon blog: http://t.co/2DI5PgMAR4</t>
  </si>
  <si>
    <t>RT @NYCMayorsOffice: Retweet if you’re proud of New York City’s veterans. #VeteransDay http://t.co/CYKKLooKYd</t>
  </si>
  <si>
    <t>Thank you for your service. #VeteransDay http://t.co/pKEK8kTr6l</t>
  </si>
  <si>
    <t>RT @NYCMayorsOffice: "Let's spread the truth about Ebola. It's a very hard disease to contract." - Mayor @BilldeBlasio.</t>
  </si>
  <si>
    <t>RT @NYCMayorsOffice "Dr. Spencer is Ebola free and New York City is Ebola free." - Mayor @BilldeBlasio. Watch: http://t.co/wwHqON4Glc.</t>
  </si>
  <si>
    <t>The Atlantic hurricane season may end Nov. 30, but you should still #knowyourzone. http://t.co/yojm1Nxkuu</t>
  </si>
  <si>
    <t>#OEMTweetTip: Need to prepare your home for cold weather? The ball is in your court. http://t.co/nrhKq9K5eN</t>
  </si>
  <si>
    <t>Today is the first-ever New York City Missing Persons Day. Learn more about this important event: http://t.co/ckx4mNIIzO</t>
  </si>
  <si>
    <t>With #BigHero6, @FEMA's Ready Kids &amp;amp; @AdCouncil show kids "you can be a hero by being prepared." Watch: http://t.co/HTl1lTkMVO</t>
  </si>
  <si>
    <t>MT @NWSNewYorkNY: Watches, Warnings, &amp;amp; Advisories, oh my! What do they mean? Find out here: http://t.co/ZSfhRVzMJL #winterprep</t>
  </si>
  <si>
    <t>Today, NYC’s speed limit will officially change to #25MPH unless posted otherwise. http://t.co/yt1GdS4N5t http://t.co/T1eJT4TBDV @NYC_DOT</t>
  </si>
  <si>
    <t>Make an emergency plan on the go! Download the Ready NYC mobile app: http://t.co/P1a8BfBwYz http://t.co/9eTviVIq8y @NYCDoITT</t>
  </si>
  <si>
    <t>RT @NWSNewYorkNY: Today's winter weather awareness topic is winter floods. Learn about them here. #winterprep http://t.co/DcEUxuceXr</t>
  </si>
  <si>
    <t>Calling community organizations &amp;amp; volunteers: NYC Citizen Corps is hosting Commodity Distribution Point training: http://t.co/GnSip75q9s</t>
  </si>
  <si>
    <t>MT @notifynyc: Controlled fire &amp;amp; disaster drill at 110th Street &amp;amp; 66th Road, QN @ 6:30PM on 11/6. @FDNY/@NYPDnews will be present. #NYCCERT</t>
  </si>
  <si>
    <t>RT @NWSNewYorkNY: Today's topic for winter weather awareness week is ice storms. #winterprep http://t.co/u5nUmofNsp</t>
  </si>
  <si>
    <t>MT @NWSNewYorkNY: Keeping with Winter Weather Awareness Week, ths graphic shows the difference between sleet &amp;amp; hail! http://t.co/FM4UAH9Cxt</t>
  </si>
  <si>
    <t>Winter Weather Awareness Week continues! Find out what is considered "heavy snow," according to @NWSNewYorkNY: http://t.co/WgStw4dqLG</t>
  </si>
  <si>
    <t>Scott Richmond, John D. Solomon Fellow at @FDNY, discusses his experience (so far):  http://t.co/h6q3HvwFSq</t>
  </si>
  <si>
    <t>.@TDSCouch every family should have two meeting places: one near your home, and one further away (even outside your neighborhood).</t>
  </si>
  <si>
    <t>RT @nycgov: #NYC are you ready to vote today? Polls are open from 6am to 9pm. Find yours: http://t.co/EumZGfc6Gm #nycvotes</t>
  </si>
  <si>
    <t>Happy Election Day! As you cast your votes, consider “electing” your polling place as your family meeting place in case of emergency.</t>
  </si>
  <si>
    <t>RT @NWSNewYorkNY: This week is winter weather awareness week. Here are things to have at home, work, or in car to prepare! #winterprep http…</t>
  </si>
  <si>
    <t>Happy anniversary, #NYCCERT. Thank you to the program volunteers &amp;amp; team chiefs for all you do! http://t.co/SCj1zM3KWD</t>
  </si>
  <si>
    <t>RT @nychealthy: Looking for reliable Ebola information? Visit http://t.co/nud2vbMVgT  for up-to-date Ebola resources in multiple languages.</t>
  </si>
  <si>
    <t>#OEMTweetTip: Flu season is here. Take steps to be prepared: http://t.co/nrhKq9K5eN</t>
  </si>
  <si>
    <t>It's almost time to "fall back," NYC. Daylight saving time ends at 2 AM on Sunday! http://t.co/WQMqDnLZsg</t>
  </si>
  <si>
    <t>Be safe this #Halloween. Check out these tips from @NYPDnews: http://t.co/uEtiA0qFEw</t>
  </si>
  <si>
    <t>Wet weather expected in our area this weekend, per @NWSNewYorkNY: http://t.co/VnAijYBZX1</t>
  </si>
  <si>
    <t>Don't be scared; it's easy to be prepared! Visit http://t.co/oCGr7Kj7oX for tips and information. #HappyHalloween</t>
  </si>
  <si>
    <t>At #Ebola town hall discussion at @CityCollegeNY. @galeabrewer @nycHealthy @NYCImmigrants http://t.co/qm27JSKCPk</t>
  </si>
  <si>
    <t>See NYC CERTs test their skills in a hands-on training exercise at Randall's Island: http://t.co/YtTaGXpqbg @NYPDnews @FDNY #NYCCERT</t>
  </si>
  <si>
    <t>RT @NYCMayorsOffice: Ignore the #Ebola myths. Get the facts. http://t.co/5CJPyrkfCc http://t.co/2DEcZhnRol</t>
  </si>
  <si>
    <t>MT @galeabrewer: TONIGHT 5:30-9 Ebola forum w/ OEM, @MSF_USA @AfriVax @Dana_March @nycHealthy @NYCCHR @NYCImmigrants http://t.co/fVOHxcox4A</t>
  </si>
  <si>
    <t>Get notifications that are official and free by signing up for @NotifyNYC: http://t.co/afzixxir6T</t>
  </si>
  <si>
    <t>Ready New York for Kids guides launched 7 years ago today. There have been some great changes since: http://t.co/nOX6pmTfWe #ReadyNewYork</t>
  </si>
  <si>
    <t>.@nycoem, @nycHealthy and @NYCImmigrants on hand at the #Ebola town hall discussion at @BronxMuseum. http://t.co/IrSC4imZlk</t>
  </si>
  <si>
    <t>MT @nycgov: Show your support for biz in #NYCneighborhoods hit by #Sandy &amp;amp; share your experience using #ShopSandyBiz http://t.co/rhctQHtgrv</t>
  </si>
  <si>
    <t>Remembering #Sandy, OEM will join New York State tonight at 8 PM in a moment of silence to honor the lives lost. http://t.co/fRwqnWDNqF</t>
  </si>
  <si>
    <t>Join @nychealthy tonight for town hall in the #Bronx 6-8PM at @BronxMuseum (1040 Grand Concourse) re: #Ebola: http://t.co/YY19rvMGvc</t>
  </si>
  <si>
    <t>RT @notifynyc: A Helio Courier aircraft will be flying above Times Square conducting a photo shoot tonight from 6PM-10PM &amp;amp; 12AM-2AM (10/29).</t>
  </si>
  <si>
    <t>11 years ago, #StatenIsland was hit by an F0 tornado: http://t.co/GlabbILPyY</t>
  </si>
  <si>
    <t>.@NYCSchools &amp;amp; @NYChealthy developed family &amp;amp; school guidance on the low risk of Ebola: http://t.co/E8NS9MLBGu</t>
  </si>
  <si>
    <t>RT @nycHealthy: The child patient at #Bellevue Hospital has tested negative for Ebola. Joint statement w/ @HHCnyc: http://t.co/jwrRzA41so</t>
  </si>
  <si>
    <t>Three years ago today, Ready New York: My Emergency Plan made its debut. http://t.co/LbAICuVKT1 #ReadyNewYork</t>
  </si>
  <si>
    <t>RT @notifynyc: @NASA orbital rocket launch 10/27 at 6:45 PM from Wallops Flight Facility, VA. Launch may be visible in NYC.</t>
  </si>
  <si>
    <t>.@NotifyNYC: West Point demo: Parachute jump out of a helicopter over Yankee Stadium, 2x daily on 10/28 &amp;amp; 10/29, 1x on 11/8. Rain date 11/5.</t>
  </si>
  <si>
    <t>#OEMTweetTip: Daylight saving time ends Sunday. Take the extra hour and check your emergency supplies: http://t.co/nrhKq9K5eN</t>
  </si>
  <si>
    <t>.@nycHealthy continues to work w/ Bellevue @HHCnyc @HealthNYGov to ensure all staff caring for the patient are following safety protocols.</t>
  </si>
  <si>
    <t>.@paumzito The Android version of the app will be available in the coming months. Thanks!</t>
  </si>
  <si>
    <t>RT @nychealthy: .@nycHealthy's team of disease detectives is tracing the patient's contacts to identify anyone at potential risk</t>
  </si>
  <si>
    <t>RT @nychealthy: Preliminary Ebola test results for the child recently admitted to Bellevue will be available within 12 hours.</t>
  </si>
  <si>
    <t>MT @nychealthy: After consulting w/ Bellevue &amp;amp; @CDCgov, @nycHealthy has decided to conduct a test for the Ebola virus for the patient.</t>
  </si>
  <si>
    <t>RT @nychealthy: The child who was recently admitted to Bellevue developed a fever at the hospital this morning: http://t.co/jwrRzA41so</t>
  </si>
  <si>
    <t>RT @nychealthy: The Bellevue patient was in one of the three Ebola epidemic countries within the past 21 days: http://t.co/jwrRzA41so</t>
  </si>
  <si>
    <t>RT @nychealthy: Last night, EMS HAZ TAC Units transferred a patient, who is a minor, to Bellevue Hospital. MORE: http://t.co/jwrRzA41so</t>
  </si>
  <si>
    <t>RT @nycHealthy: Fact: Travelers returning from to African countries outside Guinea, Sierra Leone &amp;amp; Liberia are NOT at risk of #Ebola. http:…</t>
  </si>
  <si>
    <t>RT @NYCMayorsOffice: Flu symptoms can be confused with Ebola symptoms, so please get a flu shot: http://t.co/h9OLcVnfJb</t>
  </si>
  <si>
    <t>“There is no reason for New Yorkers or visitors to be alarmed.” – Mayor @BilldeBlasio, on the patient being treated for Ebola at Bellevue.</t>
  </si>
  <si>
    <t>FACT: You cannot contract Ebola unless you come into direct contact with the bodily fluids of an infected person. http://t.co/nud2vbMVgT</t>
  </si>
  <si>
    <t>Mayor @BilldeBlasio gave updates on the patient currently being treated for Ebola at Bellevue Hospital. Watch here: http://t.co/vIXFJBjvZJ</t>
  </si>
  <si>
    <t>RT @JoeEspoNYC: We plan every day at @nycoem, &amp;amp; we’re actively working w/ partner agencies on response to NYC's 1st Ebola patient. http://t…</t>
  </si>
  <si>
    <t>RT @nycgob: RT @nycHealthy: Lo que sabemos del calendario del paciente de #ébola en Bellevue: http://t.co/S5jTFbYGxV http://t.co/o6zJwZG6YC</t>
  </si>
  <si>
    <t>RT @nychealthy: What we know about the timeline of the Ebola patient at Bellevue: http://t.co/S5jTFbYGxV http://t.co/o6zJwZG6YC</t>
  </si>
  <si>
    <t>RT @NYCMayorsOffice: "We insist on cooperation in terms of knowing where someone's been and their symptoms." - Mayor @BilldeBlasio on http:…</t>
  </si>
  <si>
    <t>RT @NYCMayorsOffice: "Remember: At the bowling alley, he had not yet had a fever." - @DrMaryTBassett, on the patient at Bellevue Hospital: …</t>
  </si>
  <si>
    <t>RT @NYCMayorsOffice: "The people working now cannot transmit the disease." -  @BilldeBlasio on the medical staff at Bellevue Hospital on ht…</t>
  </si>
  <si>
    <t>RT @NYCMayorsOffice: "If you use the protection devices the right way every time, all the time...we will be able to keep healthcare workers…</t>
  </si>
  <si>
    <t>RT @NYCMayorsOffice: "We have been training for two and a half months on this." - @RamRajuMD on medical professionals at Bellevue Hospital.</t>
  </si>
  <si>
    <t>RT @NYCMayorsOffice: "The capacity of our medical community to address this issue is extraordinary." - Mayor @BilldeBlasio live on http://t…</t>
  </si>
  <si>
    <t>RT @NYCMayorsOffice: "We have to make sure that that flow of medical personnel continues." - Mayor @BilldeBlasio live on http://t.co/10woid…</t>
  </si>
  <si>
    <t>RT @NYCMayorsOffice: "These individuals who are going there to serve are the people who will end this crisis." - Mayor @BilldeBlasio on htt…</t>
  </si>
  <si>
    <t>RT @NYCMayorsOffice: "So we have three individuals. Fiancee and two friends. All well. All quarantined." - Mayor @BilldeBlasio live on http…</t>
  </si>
  <si>
    <t>RT @NYCMayorsOffice: "In the instance that the sites are cleared...business can continue as usual at those sites." - Mayor @BilldeBlasio: h…</t>
  </si>
  <si>
    <t>RT @NYCMayorsOffice: “This is not a virus that is easily transmitted.” – @DrMaryTBassett live on http://t.co/10woidEfEd.</t>
  </si>
  <si>
    <t>RT @NYCMayorsOffice: "If they go to any of our emergency rooms, they will not be asked about their documentation status." - Mayor @BilldeBl…</t>
  </si>
  <si>
    <t>RT @NYCMayorsOffice: "A personal doctor's office is not an appropriate place for something of this seriousness." - Mayor @BilldeBlasio on h…</t>
  </si>
  <si>
    <t>RT @NYCMayorsOffice: "We don't see any possibility that he contaminated his apartment." - @DrMaryTBassett on the apartment of the patient a…</t>
  </si>
  <si>
    <t>RT @NYCMayorsOffice: "We got great news today about Nurse Pham in Dallas. She has been cleared." - Mayor @BilldeBlasio on http://t.co/10woi…</t>
  </si>
  <si>
    <t>RT @NYCMayorsOffice: "Yesterday morning between 10 and 11 was the first time this patient noticed a temperature elevation and that was 100.…</t>
  </si>
  <si>
    <t>RT @NYCMayorsOffice: "We and other localities are going to be monitoring any individual who has returned from those nations." - Mayor @Bill…</t>
  </si>
  <si>
    <t>RT @NYCMayorsOffice: "Look at the juxtaposition between what happened in Dallas and here...it's an entirely different situation when you're…</t>
  </si>
  <si>
    <t>RT @NYCMayorsOffice: "The history here is that people have only transmitted the disease only when they have a state of fever." - Mayor @Bil…</t>
  </si>
  <si>
    <t>RT @NYCMayorsOffice: "He was feeling well, had no fever, at the time that he left Guinea, which was on the 14th." - @DrMaryTBassett on http…</t>
  </si>
  <si>
    <t>RT @NYCMayorsOffice: "We have been in constant contact with the Center for Disease Control." - Mayor @BilldeBlasio live on http://t.co/10wo…</t>
  </si>
  <si>
    <t>RT @NYCMayorsOffice: "Collaboration and cooperation works. Practice works." - @RamRajuMD, live on http://t.co/10woidEfEd.</t>
  </si>
  <si>
    <t>RT @NYCMayorsOffice: “They are thoroughly prepared.” – Mayor @BilldeBlasio on Bellevue Hospital and its staff. Live on http://t.co/10woidEf…</t>
  </si>
  <si>
    <t>RT @NYCMayorsOffice: "We have visited the Gutter and has been cleared by our department for opening." - @DrMaryTBassett live on http://t.co…</t>
  </si>
  <si>
    <t>RT @NYCMayorsOffice: "He had a temperature of 100.3." - @DrMaryTBassett on the patient being treated for Ebola at Bellevue Hospital. On htt…</t>
  </si>
  <si>
    <t>RT @NYCMayorsOffice: "He is a doctor who valiantly volunteered to work in Guinea." - @DrMaryTBassett on the patient being treated for Ebola.</t>
  </si>
  <si>
    <t>RT @NYCMayorsOffice: "The patient continues to be stable at Bellevue Hospital." - @DrMaryTBassett live on http://t.co/10woidEfEd.</t>
  </si>
  <si>
    <t>RT @NYCMayorsOffice: "It really would help us if every New Yorker goes to get a flu shot." - Mayor @BilldeBlasio live on http://t.co/10woid…</t>
  </si>
  <si>
    <t>RT @NYCMayorsOffice: "Call 911 or go to an emergency room. Those are the only acceptable options." - Mayor @BilldeBlasio live on http://t.c…</t>
  </si>
  <si>
    <t>RT @NYCMayorsOffice: "If you or a loved one feels you meet the qualifications...it is crucial to call 911 immediately." - Mayor @BilldeBlas…</t>
  </si>
  <si>
    <t>RT @NYCMayorsOffice: “Casual contact cannot lead to acquiring this disease.” - Mayor @BilldeBlasio on Ebola. Live on http://t.co/10woidEfEd.</t>
  </si>
  <si>
    <t>RT @NYCMayorsOffice: "The patient's fiancée is being quarantined." Mayor @billdeblasio live on http://t.co/10woidEfEd</t>
  </si>
  <si>
    <t>RT @NYCMayorsOffice: "The patient is now being held in isolation at Bellevue and poses no threat to others." - Mayor @BilldeBlasio on http:…</t>
  </si>
  <si>
    <t>RT @NYCMayorsOffice: "We are fully prepared to handle Ebola." - Mayor @BilldeBlasio on http://t.co/10woidEfEd right now.</t>
  </si>
  <si>
    <t>RT @NYCMayorsOffice: “We have the finest public health system … in the world.” - Mayor @BilldeBlasio live on http://t.co/10woidEfEd.</t>
  </si>
  <si>
    <t>RT @NYCMayorsOffice: "The process played out exactly as the protocol dictated yesterday." - Mayor @BilldeBlasio on the safe transfer of the…</t>
  </si>
  <si>
    <t>RT @NYCMayorsOffice: “I want to thank our Office of Emergency Management Commissioner Joe Esposito.” - Mayor @BilldeBlasio live on http://t…</t>
  </si>
  <si>
    <t>RT @NYCMayorsOffice: "There is no reason for New Yorkers to change their daily routine in any way." - Mayor @BilldeBlasio on http://t.co/10…</t>
  </si>
  <si>
    <t>RT @NYCMayorsOffice: "New Yorkers who have not been exposed to an infected person’s bodily fluids are not at risk." - Mayor @BilldeBlasio: …</t>
  </si>
  <si>
    <t>RT @nycmayorsoffice: "Ebola is an extremely hard disease to contract." - Mayor @BilldeBlasio live from @nycoem on http://t.co/wwHqON4Glc...</t>
  </si>
  <si>
    <t>RT @NYCMayorsOffice: WATCH NOW: Mayor @BilldeBlasio gives updates on patient at Bellevue Hospital from @nycoem live: http://t.co/wwHqON4Glc.</t>
  </si>
  <si>
    <t>RT @nycmayorsoffice: Update: Mayor @BilldeBlasio's press conference @nycoem will be at 11:30, not at 11.</t>
  </si>
  <si>
    <t>RT @nycgob: RT @NYCMayorsOffice: La probabilidad de que un neoyorquino común contraiga #ébola son ínfimas:</t>
  </si>
  <si>
    <t>RT @nycgob: RT @NYCMayorsOffice: @BilldeBlasio habló sobre el paciente con #ébola en Bellevue Hospital: http://t.co/iYdYF0F8Pp</t>
  </si>
  <si>
    <t>RT @NYCMayorsOffice: The odds of a regular New Yorker contracting Ebola are incredibly slim. http://t.co/iYdYF0F8Pp http://t.co/KTf3Ej8Ooj</t>
  </si>
  <si>
    <t>RT @nycHealthy: NYC has been been preparing for months. We are confident that all public &amp;amp; emergency health systems are in place and working</t>
  </si>
  <si>
    <t>RT @NYCMayorsOffice: Mayor @BilldeBlasio spoke earlier about the patient with Ebola at Bellevue Hospital: http://t.co/iYdYF0F8Pp</t>
  </si>
  <si>
    <t>RT @DrMaryTBassett: Bellevue is very prepared to handle the Ebola patient. All protocols are in place and working.</t>
  </si>
  <si>
    <t>RT @nycgob: RT @NYCMayorsOffice: @BilldeBlasio acaba de ofrecer actualización sobre paciente en el hospital Bellevue. Véalo en: http://t.co…</t>
  </si>
  <si>
    <t>RT @NYCMayorsOffice: Mayor @BilldeBlasio just gave an update on the patient at Bellevue Hospital. Watch now: http://t.co/J0xXdu1qM0</t>
  </si>
  <si>
    <t>RT @nycgob: RT @NYCMayorsOffice: “Yo subiría al y usaría el Subway mañana”. Dr. Howard Zucker, de @HealthNYGov en vivo: http://t.co/LRUy0XJ…</t>
  </si>
  <si>
    <t>RT @nycgob: “Cuando el doctor estaba en el Subway, no tenía fiebre”. @DrMaryTBassett sobre paciente e Bellevue. http://t.co/LRUy0XJjGh @NYC…</t>
  </si>
  <si>
    <t>RT @nycgob: RT @NYCMayorsOffice: “Las personas con #ébola pueden contagiar cuando están enfermas, y por los fluidos corporales”. @DrMaryTBa…</t>
  </si>
  <si>
    <t>RT @nycgob: RT @NYCMayorsOffice: “Esta es una enfermedad muy difícil de contraer. No se transmite por el aire”. @BilldeBlasio en http://t.c…</t>
  </si>
  <si>
    <t>RT @nycgob: "Cuando estaba saliendo de su apartamento, no tenía fiebre”. @DrMaryTBassett sobre paciente #ébola: http://t.co/LRUy0XJjGh @NYC…</t>
  </si>
  <si>
    <t>RT @NYCMayorsOffice: "I would get on the subway tomorrow and ride the subway." -@HealthNYGov's Dr. Howard Zucker live on http://t.co/10woid…</t>
  </si>
  <si>
    <t>RT @NYCMayorsOffice: "At the time the doctor was on the subway, he had no fever." - @DrMaryTBassett on the patient at Bellevue Hospital. ht…</t>
  </si>
  <si>
    <t>RT @NYCMayorsOffice: "People with Ebola are contagious when they are sick, and what's contagious about them are body fluids." - @DrMaryTBas…</t>
  </si>
  <si>
    <t>RT @NYCMayorsOffice: "This is a very difficult disease to contract. It is not an airborne disease." - Mayor @BilldeBlasio on http://t.co/10…</t>
  </si>
  <si>
    <t>RT @nycgob: RT @NYCMayorsOffice: “El apartamento está cerrado y sin acceso”. @DrMaryTBassett sobre apt de paciente de #ébola http://t.co/LR…</t>
  </si>
  <si>
    <t>RT @NYCMayorsOffice: "During the time he was leaving his apartment, he had no fever." - @DrMaryTBassett on the Ebola patient at Bellevue: h…</t>
  </si>
  <si>
    <t>RT @nycgob: RT @NYCMayorsOffice: “La primera vez que este paciente tuvo fiebre fue hoy”. @DrMaryTBassett ahora en http://t.co/LRUy0XJjGh.</t>
  </si>
  <si>
    <t>RT @nycgob: RT @NYCMayorsOffice: "Bellevue es legendario… Con la mayor experiencia de combate”. Alcalde @BilldeBlasio en vivo en http://t.c…</t>
  </si>
  <si>
    <t>RT @NYCMayorsOffice: "The apartment is locked and non-accessible." - @DrMaryTBassett on the apartment of the Ebola patient. Live on http://…</t>
  </si>
  <si>
    <t>RT @nycgob: RT @NYCMayorsOffice: “Realmente quiero aplaudir las preparaciones de Bellevue Hospital”. @DrMaryTBassett en vivo en http://t.co…</t>
  </si>
  <si>
    <t>RT @nycgob: RT @NYCMayorsOffice: “Los trabajadores de salud están vistiendo equipo protector. Estaban listos”. @DrMaryTBassett en http://t.…</t>
  </si>
  <si>
    <t>RT @NYCMayorsOffice: "The first time this patient had fever was today." - @DrMaryTBassett on http://t.co/10woidEfEd right now.</t>
  </si>
  <si>
    <t>RT @nycgob: RT @NYCMayorsOffice: “Este es un @nycHealthy fantástico… Estamos felices de colaborar con ellos”. @DrFriedenCDC en http://t.co/…</t>
  </si>
  <si>
    <t>RT @nycgob: RT @NYCMayorsOffice: “Estamos enviando ahora otro equipo de respuesta al #ébola del CDC”. @DrFriedenCDC en http://t.co/LRUy0XJj…</t>
  </si>
  <si>
    <t>RT @NYCMayorsOffice: "Bellevue is legendary...They are the most battle tested." - Mayor @BilldeBlasio live on http://t.co/10woidEfEd.</t>
  </si>
  <si>
    <t>RT @nycgob: RT @NYCMayorsOffice: “Cuando alguien contrae #ébola, al principio no es contagioso”. @DrFriedenCDC (por teléfono) en http://t.c…</t>
  </si>
  <si>
    <t>RT @NYCMayorsOffice: "I really want to applaud the preparations of Bellevue Hospital." - @DrMaryTBassett live on http://t.co/10woidEfEd.</t>
  </si>
  <si>
    <t>RT @NYCMayorsOffice: "The health workers are of course using full protective gear. They were ready." - @DrMaryTBassett live on http://t.co/…</t>
  </si>
  <si>
    <t>RT @nycgob: “Solo se puede contraer #ébola estando expuesto a fluidos corporales”. Dr. Howard Zucker de @HealthNYGov: http://t.co/LRUy0XJjGh</t>
  </si>
  <si>
    <t>RT @nycgob: RT @NYCMayorsOffice: “El paciente mostró los primeros síntomas hoy”. @DrMaryTBassett live on http://t.co/LRUy0XJjGh.</t>
  </si>
  <si>
    <t>RT @nycgob: RT @NYCMayorsOffice: “El paciente está ahora hospitalizado y aislado”. - @DrMaryTBassett en http://t.co/LRUy0XJjGh.</t>
  </si>
  <si>
    <t>RT @nycgob: RT @NYCMayorsOffice: “Quiero aplaudir al alcalde y al equipo del alcalde”. @NYGovCuomo @BilldeBlasio en vivo en http://t.co/LRU…</t>
  </si>
  <si>
    <t>RT @nycgob: RT @NYCMayorsOffice: “Como dijo el alcalde… el #ébola no se transmite por el aire”. @NYGovCuomo y @BilldeBlasio en http://t.co/…</t>
  </si>
  <si>
    <t>RT @nycgob: RT @NYCMayorsOffice: “Estamos tan listos como se podría estar para esta circunstancia”. @NYGovCuomo en vivo en http://t.co/LRUy…</t>
  </si>
  <si>
    <t>RT @nycgob: “Estamos colaborando estrechamente con asociados a nivel estatal y federal para proteger la salud y seguridad de los NYkinos”. …</t>
  </si>
  <si>
    <t>RT @nycgob: “Compartir un vagón del Subway o vivir cerca de alguien con #ébola en sí no pone a uno en riesgo”. Alcalde @BilldeBlasio @NYCMa…</t>
  </si>
  <si>
    <t>RT @nycgob: “Hemos estado preparándonos por meses para la amenaza del #ébola”. Alcalde @BilldeBlasio (ahora en http://t.co/LRUy0XJjGh).</t>
  </si>
  <si>
    <t>RT @NYCMayorsOffice: "This is a fantastic Health Department...We're delighted to work in partnership." - @DrFriedenCDC live on http://t.co/…</t>
  </si>
  <si>
    <t>RT @NYCMayorsOffice: "We are sending an additional CDC Ebola response team, which is in transit now." - @DrFriedenCDC, live on http://t.co/…</t>
  </si>
  <si>
    <t>RT @NYCMayorsOffice: "When someone gets Ebola, they're not infectious initially." - @DrFriedenCDC, over the phone live on http://t.co/10woi…</t>
  </si>
  <si>
    <t>RT @nycgob: “NYC tiene el sistema de salud pública más sólido en el mundo”. Alcalde @BilldeBlasio (ahora en http://t.co/LRUy0XJjGh).</t>
  </si>
  <si>
    <t>RT @nycgob: “Los neoyorquinos que no hayan estado expuestos a fluidos corporales del la persona infectada no corren riesgos”. Alcalde @Bill…</t>
  </si>
  <si>
    <t>RT @nycgob: “El #ébola es una enfermedad sumamente difícil de contraer”. Alcalde @BilldeBlasio
en http://t.co/LRUy0XJjGh</t>
  </si>
  <si>
    <t>RT @nycgob: RT @NYCMayorsOffice: “No hay razón para que los NYkinos se alarmen”. @BilldeBlasio sobre caso de #ébola en #Bellevue. http://t.…</t>
  </si>
  <si>
    <t>RT @NYCMayorsOffice: "You can only get Ebola by being exposed to bodily fluids." - @HealthNYGov's Dr. Howard Zucker live on http://t.co/10w…</t>
  </si>
  <si>
    <t>RT @NYCMayorsOffice: "The first actual symptoms the patient displayed were today." - @DrMaryTBassett live on http://t.co/10woidEfEd.</t>
  </si>
  <si>
    <t>RT @NYCMayorsOffice: "The patient is presently hospitalized in isolation." - @DrMaryTBassett on http://t.co/10woidEfEd.</t>
  </si>
  <si>
    <t>RT @NYCMayorsOffice: "I want to applaud the Mayor and the Mayor's team." - @NYGovCuomo with @BilldeBlasio live on http://t.co/10woidEfEd.</t>
  </si>
  <si>
    <t>RT @NYCMayorsOffice: "As the Mayor mentioned ... Ebola is not an airborne illness." - @NYGovCuomo with @BilldeBlasio live on http://t.co/10…</t>
  </si>
  <si>
    <t>RT @NYCMayorsOffice: "We are as ready as one could be for this circumstance." - @NYGovCuomo live on http://t.co/10woidEfEd.</t>
  </si>
  <si>
    <t>RT @NYCMayorsOffice: "We're working very closely with our state and federal partners...to protect the health and safety of New Yorkers." - …</t>
  </si>
  <si>
    <t>RT @NYCMayorsOffice: "Being on the same subway car, or living near a person with Ebola does not itself put someone at risk." - Mayor @Billd…</t>
  </si>
  <si>
    <t>RT @NYCMayorsOffice: "We've been preparing for months for the threat posed by Ebola." - Mayor @BilldeBlasio on http://t.co/10woidEfEd right…</t>
  </si>
  <si>
    <t>RT @NYCMayorsOffice: “New York City has the world’s strongest public health system.” - Mayor @BilldeBlasio on http://t.co/10woidEfEd right …</t>
  </si>
  <si>
    <t>RT @NYCMayorsOffice: “New Yorkers who have not been exposed to an infected person’s bodily fluids are not at risk.” - Mayor @bIlldeBlasio h…</t>
  </si>
  <si>
    <t>RT @NYCMayorsOffice: "Ebola is an extremely hard disease to contract." - Mayor @BilldeBlasio
on http://t.co/10woidEfEd.</t>
  </si>
  <si>
    <t>RT @NYCMayorsOffice: “There is no reason for New Yorkers to be alarmed.” - Mayor @BilldeBlasio on Ebola case at Bellevue Hospital. http://t…</t>
  </si>
  <si>
    <t>RT @NYCMayorsOffice: NOW: Mayor @BilldeBlasio hosts press conference with @NYGovCuomo at Bellevue Hospital. Live on http://t.co/10woidEfEd</t>
  </si>
  <si>
    <t>RT @nycgob: En unos minutos, el alcalde @BilldeBlasio tendrá una rueda de prensa con @NYGovCuomo en Bellevue Hospital. En vivo: http://t.co…</t>
  </si>
  <si>
    <t>RT @NYCMayorsOffice: THIS JUST IN: At approximately 9 PM, Mayor @BilldeBlasio will host a press conference with @NYGovCuomo at Bellevue Hosp</t>
  </si>
  <si>
    <t>RT @nycHealthy: No te puedes infectar con el Ebola al simplemente al estar cerca de alguien que tiene el virus. Más: http://t.co/nQ9AH9XjVT</t>
  </si>
  <si>
    <t>RT @nycHealthy: Los resultados se esperan en las próximas 12 horas. Más: http://t.co/nQ9AH9XjVT</t>
  </si>
  <si>
    <t>RT @nycHealthy: El paciente está siendo evaluado para otras enfermedades incluyendo salmonela, malaria, o gripe intestinal:</t>
  </si>
  <si>
    <t>RT @nycHealthy: .@nycgov está tomando todas las precauciones necesarias para garantizar la salud y seguridad de todos neoyorquinos:</t>
  </si>
  <si>
    <t>RT @nycHealthy: El paciente regresó de Guinea recientemente, uno de los tres países que actualmente enfrenta el brote de ébola.</t>
  </si>
  <si>
    <t>RT @nycHealthy: No te puedes infectar con el Ebola al simplemente al estar cerca de alguien que tiene el virus. Más: http://t.co/sFAGLHHeyP</t>
  </si>
  <si>
    <t>RT @nycHealthy: Los resultados se esperan en las próximas 12 horas. Más: http://t.co/sFAGLHHeyP</t>
  </si>
  <si>
    <t>RT @nycHealthy: El paciente está siendo evaluado para otras enfermedades incluyendo salmonela, malaria, o gripe intestinal: http://t.co/sFA…</t>
  </si>
  <si>
    <t>RT @nycHealthy: .@nycgov está tomando todas las precauciones necesarias para garantizar la salud y seguridad de todos neoyorquinos: http://…</t>
  </si>
  <si>
    <t>RT @nycHealthy: El paciente regresó de Guinea recientemente, uno de los tres países que actualmente enfrenta el brote de ébola. http://t.co…</t>
  </si>
  <si>
    <t>RT @nycHealthy: El paciente fue llevado a Bellevue por una unidad HAZ TAC altamente capacitada, lleva Equipo de Protección Personal:</t>
  </si>
  <si>
    <t>RT @nycHealthy: Results from the test are expected in the next 12 hours. MORE: http://t.co/jwrRzA41so</t>
  </si>
  <si>
    <t>RT @nycHealthy: .@nycHealthy is working closely w/ @HHCnyc Bellevue @HealthNYGov to ensure all staff caring for the patient follow guideli..</t>
  </si>
  <si>
    <t>RT @nycHealthy: NYC is taking all necessary precautions to ensure the health and safety of all New Yorkers. MORE: http://t.co/jwrRzA41so</t>
  </si>
  <si>
    <t>RT @nycHealthy: You cannot be infected by Ebola simply by being near someone who has the disease. MORE: http://t.co/jwrRzA41so</t>
  </si>
  <si>
    <t>RT @nycHealthy: The chances of the average New Yorker contracting Ebola are extremely slim. MORE: http://t.co/jwrRzA41so</t>
  </si>
  <si>
    <t>RT @nycHealthy: We have established protocols to identify, notify, &amp;amp; if necessary, quarantine any contacts of Ebola cases.</t>
  </si>
  <si>
    <t>RT @nycHealthy: Our disease detectives are actively tracing all of the patient’s contacts to identify anyone with potential risk.</t>
  </si>
  <si>
    <t>RT @nycHealthy: Bellevue is one of five hospitals in NYC designated for the isolation, ID, &amp;amp; treatment of potential Ebola patients.</t>
  </si>
  <si>
    <t>RT @nycHealthy: The patient was transported to Bellevue by a specially trained HAZ TAC unit wearing Personal Protective Equipment:</t>
  </si>
  <si>
    <t>RT @nycHealthy: The patient recently returned from Guinea, one of the three countries currently dealing w/ an Ebola outbreak:</t>
  </si>
  <si>
    <t>MT @nycHealthy: The patient is being evaluated for other possible illnesses: salmonella, malaria, or stomach flu. http://t.co/jwrRzA41so</t>
  </si>
  <si>
    <t>RT @nychealthy: Bellevue Hospital has admitted a patient presenting fever &amp;amp; gastrointestinal symptoms who will be tested for Ebola:...</t>
  </si>
  <si>
    <t>MT @nychealthy: Bellevue Hospital has admitted a patient presenting fever &amp;amp; gastrointestinal symptoms who will be tested for Ebola.</t>
  </si>
  <si>
    <t>NYC Emergency Management hosted a first-of-its-kind regional exercise. View photos &amp;amp; learn more about the exercise: http://t.co/MGCvX2yK6C</t>
  </si>
  <si>
    <t>You have the power to be prepared with the Ready NYC app. Download it today: http://t.co/P1a8BfBwYz @NYCDoITT http://t.co/9eTviVIq8y</t>
  </si>
  <si>
    <t>#WaybackWednesday: NYC Emergency Management co-hosted the HurrEx Sheltering Full-Scale Exercise, on Oct. 22, 2006: http://t.co/IR5QDVDAao</t>
  </si>
  <si>
    <t>MT @nycHealthy: Some NYers at risk for serious #flu complications can't get the flu vaccine. Getting yours helps them not get sick.</t>
  </si>
  <si>
    <t>RT @nyc311: If the heavy rain has caused water to flood or pond on the street or highway, report it online here: http://t.co/eMdRCZ4UrT</t>
  </si>
  <si>
    <t>In #Brooklyn Friday? Visit the City's post-disaster housing model 11 AM-1 PM. You also can request a group tour here: http://t.co/LsIgwB1vXj</t>
  </si>
  <si>
    <t>Think you know your flu facts? Take the Ready New Yorker of the Month quiz for a chance to win a #GoBag: http://t.co/hWwoS9mXTE</t>
  </si>
  <si>
    <t>RT @NYCMayorsOffice: "Volunteering is a 'win-win' for all involved." —@NYCSeniors Commissioner Corrado: http://t.co/ErY5TJawAa #GoodForNYC</t>
  </si>
  <si>
    <t>MT @nycHealthy: Get the facts: town hall on #Ebola &amp;amp; #Enterovirus in #Brooklyn tmrw 6PM w/ @HHCnyc @nycoem @CDCgov http://t.co/J01p0y0mRD</t>
  </si>
  <si>
    <t>Reminder: @NYC_MOPD &amp;amp; @NYCSanitation's NYC Winter Weather Access and Mobility Summit will be held Wednesday, 10/22. http://t.co/fsUDfzsdTM</t>
  </si>
  <si>
    <t>Pour plus d’ information sur le virus d’ #Ebola, cliquez ici: http://t.co/K5kGv6ispj via @nycHealthy</t>
  </si>
  <si>
    <t>Preguntas Frecuentes sobre el Ébola (Español): http://t.co/svndPnfRV5 via @nycHealthy</t>
  </si>
  <si>
    <t>How can busy New Yorkers become Ready New Yorkers? @nycoem &amp;amp; @nycdoitt teamed up to make it happen… http://t.co/ybRaUQZUDN</t>
  </si>
  <si>
    <t>Introducing Ready NYC, a mobile app that encourages New Yorkers to make an emergency plan before disaster strikes. http://t.co/V0Knz10Fxa</t>
  </si>
  <si>
    <t>RT @NYCMayorsOffice: Volunteering isn’t just a nice thing to do. It’s good for your health! http://t.co/yhTOSmLepO http://t.co/tpIfWMjdC3</t>
  </si>
  <si>
    <t>#OEMTweetTip: Think it's nutty for a hurricane to strike NYC at this time of year? Consider this: http://t.co/nrhKq9K5eN</t>
  </si>
  <si>
    <t>OEM is at the FDNY Training Center on Randall's Island today conducting an extensive training exercise… http://t.co/YsDOQdnTZZ</t>
  </si>
  <si>
    <t>OEM is at the FDNY Training Center on Randall's Island today conducting an extensive training exercise… http://t.co/73IidCKTuE</t>
  </si>
  <si>
    <t>Save the date: join @nyc_mopd and @nycsanitation for the NYC Winter Weather Access and Mobility Summit on 10/22. http://t.co/GjLhcvoo6i</t>
  </si>
  <si>
    <t>MT @nycgob: Participa en el debate municipal del #ébola HOY en la Escuela PS 57 de #StatenIsland a las 6PM http://t.co/hnlhVUJmra</t>
  </si>
  <si>
    <t>MT @nychealthy: Join #StatenIsland town hall today. Learn from health professionals &amp;amp; community leaders about #ebola. http://t.co/VkhkbKJEf5</t>
  </si>
  <si>
    <t>MT @femaregion2: Thanks for participating in #ShakeOut &amp;amp; taking action to be better prepared! http://t.co/c3uFavGLwc http://t.co/HhZH63ELnI</t>
  </si>
  <si>
    <t>When disaster strikes, you can let your friends &amp;amp; family know you're okay with @Facebook's Safety Check. Learn more: http://t.co/BXYDorEiNm</t>
  </si>
  <si>
    <t>Happy #Archtober to the City's post-disaster housing model, which is the Building of the Day: http://t.co/zFxHbxDkFp #WhatIfNYC #IDHU</t>
  </si>
  <si>
    <t>NYC Emergency Management staff is #earthquake ready! #ShakeOut http://t.co/PLW8O0XfRO</t>
  </si>
  <si>
    <t>Are you ready to #ShakeOut? At 10:16 AM, practice earthquake safety: drop, cover, and hold on! http://t.co/OzrnyZQofI</t>
  </si>
  <si>
    <t>RT @CDCgov: 1-800-CDC-INFO</t>
  </si>
  <si>
    <t>RT @cdcgov: 2nd health worker exhibited no #Ebola signs/symptoms on Frontier Airlines flight 1143 on 10/13, but passengers should contact...</t>
  </si>
  <si>
    <t>.@cdcgov asking all 132 passengers on Frontier Airlines flight 1143 from CLE to DFW on 10/13 to call 1-800-CDC-INFO: http://t.co/IuV4MQVzu2</t>
  </si>
  <si>
    <t>Talk about a ready business! #ReadyNewYork http://t.co/kvBS3qImB4</t>
  </si>
  <si>
    <t>RT @CDCgov: CDC experts will answer questions on #Ebola in a live Q&amp;amp;A, 10/15, 4PM ET. Follow our CDC Facebook page to participate http://t.…</t>
  </si>
  <si>
    <t>Although earthquakes are uncommon in NYC, tremors occasionally occur and residents should be prepared. Are you ready to #ShakeOut?</t>
  </si>
  <si>
    <t>The City's post-disaster model had many visitors during the #OHNY Weekend. #WhatIfNYC #IDHU http://t.co/9d0n24l35Z</t>
  </si>
  <si>
    <t>#OEMTweetTip: It's National Cyber Security Awareness Month. Stay safe online. http://t.co/nrhKq9K5eN</t>
  </si>
  <si>
    <t>NYC Emergency Management once again will be participating in the Great NorthEast ShakeOut! Join us on 10/16: http://t.co/qbvc2uSesp @NESEC</t>
  </si>
  <si>
    <t>Don't forget about Rockaway Preparedness Day on Sunday, 10/12! http://t.co/lbqYdFrwMk  cc: @redcrossny @FDNY</t>
  </si>
  <si>
    <t>Check out the post-disaster housing model, part of 12th Annual @ohny Weekend 10/11 &amp;amp; 10/12: http://t.co/5ynunEIsro. http://t.co/nFCLu1Ceat</t>
  </si>
  <si>
    <t>Kids home this Columbus Day weekend? Keep them busy with #ReadyNewYork activities (storybooks, games and more)! http://t.co/nOX6pmTfWe</t>
  </si>
  <si>
    <t>What's the difference between Wireless Emergency Alerts (WEA) &amp;amp; @NotifyNYC? Find out the answer here: http://t.co/QDFcabXTX9</t>
  </si>
  <si>
    <t>#ReadyNewYork program offers several event types, from workshops to presentations to fairs. Request one today! http://t.co/AC98iLYDRI</t>
  </si>
  <si>
    <t>MT @JoeEspoNYC: City agencies &amp;amp; state/federal partners met to discuss prep &amp;amp; readiness for potential Ebola patient. http://t.co/mcVZxCAedY</t>
  </si>
  <si>
    <t>RT @CDCgov: Join our #CDCchat at 3PM today as CDC #DiseaseDetectives continue to answer your questions on #Ebola. https://t.co/l16ntg0vwu</t>
  </si>
  <si>
    <t>DYK? Carbon monoxide detectors SHOULD NOT be installed in kitchens or within 5 ft of any cooking appliance, per @FDNY. #FirePreventionWeek</t>
  </si>
  <si>
    <t>RT @NYCDoITT: New Yorkers: own your part of NYC today with a .nyc web address http://t.co/6LYrKJNv6N http://t.co/gwFs7bPDqD</t>
  </si>
  <si>
    <t>Looking for an internship or job in emergency management? Find a career path that's right for you: http://t.co/2L42LeJAFs</t>
  </si>
  <si>
    <t>Are you fire safe? Check out events being held across the five boroughs by @FDNY in honor of #FirePreventionWeek: http://t.co/HVYYBrtGfx</t>
  </si>
  <si>
    <t>There's still time to register for the 12th Annual @ohny Weekend at the post-disaster housing model! http://t.co/5ynunEIsro</t>
  </si>
  <si>
    <t>#OEMTweetTip: It's National Fire Prevention Week. Are you #ReadyNewYork? http://t.co/nrhKq9K5eN cc: @FDNY</t>
  </si>
  <si>
    <t>RT @NotifyNYC: 11AM-1:30PM : Emergency Medical Service staging exercise in Orchard Beach parking lot, in The BX. This is only an exercise.</t>
  </si>
  <si>
    <t>Hurricane season ends Nov. 30. Do you #knowyourzone yet? http://t.co/yojm1Nxkuu</t>
  </si>
  <si>
    <t>“New York is prepared to put end to Ebola outbreak before it starts: officials”: http://t.co/OGXMeai0NU via @NYDailyNews</t>
  </si>
  <si>
    <t>RT @CDCgov: CDC experts answered questions yesterday on #Ebola in #CDCChat. Now available on Storify. Get the facts: http://t.co/nzoUZ8ogzQ</t>
  </si>
  <si>
    <t>Emergencies in a city as large and complex as New York require a coordinated response. Find out more: http://t.co/amb5xepvIB</t>
  </si>
  <si>
    <t>Mark your calendars, Rockaway residents! Learn how you can be prepared for emergencies: http://t.co/lbqYdFrwMk cc: @redcrossny @FDNY</t>
  </si>
  <si>
    <t>RT @CDCgov: CDC experts will answer questions today at 4PM ET on 1st US case of #Ebola. Use #CDCchat to participate. https://t.co/rsX7vnA7U0</t>
  </si>
  <si>
    <t>#tbt: Penn Station Drill featuring #NYCCERT &amp;amp; moulage! About the drill: http://t.co/U2AHzZW08o. Photos: http://t.co/6Qr1JNzcUq</t>
  </si>
  <si>
    <t>MT @NYCMayorsOffice: Mayor @BilldeBlasio just announced the launch of http://t.co/OQbvT0nskq  → http://t.co/ACznoeWwBB  #DigitalNYC</t>
  </si>
  <si>
    <t>Find out how @sloan_kettering prepares its staff &amp;amp; facilities for emergencies as a Partner in Preparedness: http://t.co/TjoUHRBY5C #PIP</t>
  </si>
  <si>
    <t>The post-disaster housing prototype will be #Archtober Building of the Day on 10/16! Info/registration: http://t.co/D4XeHYUoAn</t>
  </si>
  <si>
    <t>#NPM2014 may end today, but  you can be prepared all year long. Visit http://t.co/J8fFRh4qgh for tips and information.</t>
  </si>
  <si>
    <t>Photos: Go Bag Supply Drive at United Senior Citizens Center of Sunset Park: http://t.co/k61poEtEKc #NPM2014 #PrepareAThon cc: @NYCSeniors</t>
  </si>
  <si>
    <t>Partners in Preparedness says this featured activity is perhaps the most important one: http://t.co/TjoUHRBY5C #PIP #PartnersInPreparedness</t>
  </si>
  <si>
    <t>Happy to! #ReadyNewYork RT @PrepareAthon: @nycoem thanks for spreading the word about National PrepareAthon! Day.</t>
  </si>
  <si>
    <t>Did you register your #PrepareAthon event? Do it today to be part of the millions participating! http://t.co/jzfuvJmGVu #npm2014</t>
  </si>
  <si>
    <t>RT @joeesponyc: Folks, there's still time to help your fellow New Yorkers be prepared. Donate supplies for Go Bags: http://t.co/nl4w1JrPIs</t>
  </si>
  <si>
    <t>Thanks to @NYCSeniors for talking about preparing seniors for emergencies! Check out the conversation here: http://t.co/ohVH1T270U #NPM2014</t>
  </si>
  <si>
    <t>Happening now: Tune in to the Facebook chat about helping seniors prepare: http://t.co/LJByruTOfb @NYCSeniors</t>
  </si>
  <si>
    <t>Have a question for today's Facebook chat at 12:30 PM? Tweet us &amp;amp; @NYCSeniors with the hashtag #ReadySeniors.</t>
  </si>
  <si>
    <t>TODAY! Find out how you can help older adults prepare for emergencies. Check out the Facebook chat with @NYCSeniors. http://t.co/WQmyIbaflT</t>
  </si>
  <si>
    <t>RT @NYCMayorsOffice: Read about NYC’s first step to reduce greenhouse gas emissions 80% by 2050: http://t.co/ybMK3k9ssd #NYCBuilttoLast</t>
  </si>
  <si>
    <t>And for the big finale, the last weekend events for #NPM2014 are… http://t.co/VApc6RvawN</t>
  </si>
  <si>
    <t>Get the info on how you can help improve readiness in your community with NYC Citizen Corps: http://t.co/Xm84UFGwZp #GetInvolved #NPM2014</t>
  </si>
  <si>
    <t>An effective organizations is one that does *this*: http://t.co/TjoUHRBY5C #NPM2014</t>
  </si>
  <si>
    <t>Looking for a way to get involved this National Preparedness Month? Participate in the Go Bag supplies drive! http://t.co/nl4w1JrPIs</t>
  </si>
  <si>
    <t>Prepare for the next emergency this #NPM2014 by making a contribution to a volunteer org involved in disaster relief: http://t.co/WlsX1OWlhz</t>
  </si>
  <si>
    <t>Lead the movement to make your community better prepared. http://t.co/kbLj1X2yCq #PrepareAthon #GetInvolved #NPM2014</t>
  </si>
  <si>
    <t>RT @NWSNewYorkNY: Unsettled weather returns to the Tri-State tonight - Thurs with rain, gusty winds and poss minor coastal flooding. http:/…</t>
  </si>
  <si>
    <t>Monday, 9/29: Join us &amp;amp; @NYCSeniors for a Facebook chat to learn about helping older adults prepare for emergencies! http://t.co/WQmyIbaflT</t>
  </si>
  <si>
    <t>Hi, @VZWDrew. Check out the FAQs of the #KnowYourZone website: http://t.co/kqjknKFTuZ</t>
  </si>
  <si>
    <t>OEM's Herman Schaffer, @galeabrewer and #NYCCERT members are participating in the @WHCREBT Harlem Emergency Summit. http://t.co/1yNEOSGuON</t>
  </si>
  <si>
    <t>#GetInvolved by participating in Commodity Distribution Point training (there's one tonight)! Details: http://t.co/GnSip75q9s #NPM2014</t>
  </si>
  <si>
    <t>Remember this #NPM2014 Coordinate BEFORE you Donate! with @SalArmyEDS @FoodBank4NYC @CityHarvest @GoodwillNyNj @NYCares @ReuseNYC</t>
  </si>
  <si>
    <t>Mayor @BilldeBlasio spoke about #NYCBuilttoLast at the @UN. Here's the plan: http://t.co/ybMK3k9ssd #Climate2014...</t>
  </si>
  <si>
    <t>RT @PrepareAthon: A7: Encourage people to register for the National #PrepareAthon Day on 9/30 at http://t.co/kbLj1X2yCq #PrepareChat</t>
  </si>
  <si>
    <t>A7: Outreach to NYC communities through #ReadyNewYork, #KnowYourZone for hurricane preparedness, and more! #PrepareChat</t>
  </si>
  <si>
    <t>A6: NYC residents can learn more about evacuation &amp;amp; disaster sheltering here: http://t.co/5mZGUa82fz. #PrepareChat</t>
  </si>
  <si>
    <t>A5: It's important that residents &amp;amp; businesses check their insurance policies to ensure their property is protected. #PrepareChat</t>
  </si>
  <si>
    <t>A4: NYC residents/orgs can stay connected with: @NotifyNYC, CorpNet, social media (including Twitter Alerts) &amp;amp; more! #PrepareChat</t>
  </si>
  <si>
    <t>A3: It's important for everyone in your household to know what to when disaster strikes. Practice makes perfect!  #PrepareChat</t>
  </si>
  <si>
    <t>You can help fellow New Yorkers create Go Bags by participating in our supplies drive! Details: http://t.co/nl4w1JrPIs #npm2014</t>
  </si>
  <si>
    <t>Five Ready New Yorkers won Go Bags last week. Will you be one of this week's winners? Take this quiz: http://t.co/hWwoS9mXTE</t>
  </si>
  <si>
    <t>Your community needs you! Get involved in your local #CERT and start helping today! http://t.co/ECdaaxXMaQ #GetInvolved #NPM2014 #NYCCERT</t>
  </si>
  <si>
    <t>#NYCCERT members joined fellow CERTs from Nassau, Suffolk, and Westchester Counties for a regional exercise. Photos: http://t.co/GveGKhazyD</t>
  </si>
  <si>
    <t>#OEMTweetTip: This autumn, don't fall out of touch. http://t.co/nrhKq9K5eN</t>
  </si>
  <si>
    <t>One way to get involved this #NPM2014? Make a donation to a disaster relief agency: http://t.co/WlsX1OWlhz. CC: @nycrecycles @nycmayorsfund</t>
  </si>
  <si>
    <t>Skanska Family Health &amp;amp; Safety Day is #ReadyNewYork. Are you? #npm2014 http://t.co/2UZv4PG4Oo</t>
  </si>
  <si>
    <t>TOMORROW: Join us for a Ready New York for Kids event at the @SIKidsMuseum from 12 PM-5 PM! http://t.co/agvTxIJqdB</t>
  </si>
  <si>
    <t>Teach your child how to be prepared with Ready New York for Kids games! http://t.co/4xtW94fLdv http://t.co/NXlkDKY9tf</t>
  </si>
  <si>
    <t>Thank you @NYCService and @newyorkcares for a great @Google Hangout. We hope more New Yorkers get involved by volunteering! #NYCServiceLIVE</t>
  </si>
  <si>
    <t>Herman Schaffer: if you are interested in disaster volunteering, now is the time to get involved. Get some knowledge! #NYCServiceLIVE</t>
  </si>
  <si>
    <t>Special words of encouragement for those interested in volunteering during times of emergencies? Panelists share ideas on #NYCServiceLIVE.</t>
  </si>
  <si>
    <t>.@GBagley_NYCares: we are in a business based on care. #NYCServiceLIVE http://t.co/o4knchuAxi</t>
  </si>
  <si>
    <t>.@GBagley_NYCares shares personally difficult experience in volunteering: seeing devastation post #Sandy. #NYCServiceLIVE</t>
  </si>
  <si>
    <t>Herman Schaffer: the best time to get involved is right now [before disaster]; your community will be stronger for it. #NYCServiceLIVE</t>
  </si>
  <si>
    <t>Paula Gavin of @NYCService: best way for a young person to get involved is to get in touch with their school. #NYCServiceLIVE</t>
  </si>
  <si>
    <t>.@GBagley_NYCares: skills change based on the emergency. Well-managed volunteer programs help people enhance those skills. #NYCServiceLIVE</t>
  </si>
  <si>
    <t>H. Schaffer: there's an incredible benefit of community coming together. Stronger the community, the better the recovery. #NYCServiceLIVE</t>
  </si>
  <si>
    <t>Paula Gavin of @NYCService: Prepare, find a way to get some training, help your neighbors and be patient with assignment. #NYCServiceLIVE</t>
  </si>
  <si>
    <t>.@GBagley_NYCares: needs [after an emergency] aren't always clear. Ever disaster is a little bit different. #NYCServiceLIVE @newyorkcares</t>
  </si>
  <si>
    <t>Herman Schaffer on getting involved: seek out a volunteer opportunity that fits you. http://t.co/o4knchuAxi #NYCServiceLIVE</t>
  </si>
  <si>
    <t>Herman Schaffer of @nycoem: we value our partnerships... We can't do this alone. http://t.co/o4knchuAxi #NYCServiceLIVE</t>
  </si>
  <si>
    <t>.@GBagley_NYCares of @newyorkcares: we are very passionate about volunteerism. #NYCServiceLIVE</t>
  </si>
  <si>
    <t>Paula Gavin of @NYCService: we want to thank you for your service, for past, present &amp;amp; in the future. #NYCServiceLIVE http://t.co/o4knchuAxi</t>
  </si>
  <si>
    <t>RT @NYCService: #NYCService is now broadcasting LIVE on @Google Hangouts on Air! Watch here: http://t.co/TIx356naWG</t>
  </si>
  <si>
    <t>Have a question for today’s Google Hangout? Use the hashtag #NYCServiceLIVE and tag @NYCService! CC:  @newyorkcares @nycoem</t>
  </si>
  <si>
    <t>Today, OEM’s Herman Schaffer will be joining @NYCService for a #GoogleHangout! #NYCServiceLive</t>
  </si>
  <si>
    <t>Discover how OEM is encouraging New Yorkers to be prepared. Check out the #NPM2014 Calendar of Events: http://t.co/VApc6RvawN</t>
  </si>
  <si>
    <t>How can you serve in an emergency? Ask @NYCService+ @nycoem+ @NYCares on @Google Hangouts Live #NYCServiceLive http://t.co/o4knchuAxi</t>
  </si>
  <si>
    <t>RT @notifynyc: .@nycHealthy: Ground-based #mosquito adulticiding in Queens from 8PM 9/18 - 6 AM 9/19. Info: http://t.co/7qJRFh3vUF.</t>
  </si>
  <si>
    <t>Join OEM for a Ready New York for Kids event at the @SIKidsMuseum this Sunday, 9/21! http://t.co/agvTxIJqdB</t>
  </si>
  <si>
    <t>Hi, @melissa_sue. Here's the Calendar of Events (more to come!): http://t.co/s0WTAahA6h. Request an event here: http://t.co/AC98iLYDRI.</t>
  </si>
  <si>
    <t>RT @Readygov: Store at least 1 gallon of water for each person in your house for at least 3 days. #NatlPrep #NPM2014...</t>
  </si>
  <si>
    <t>What can you spare to help NYC prepare? Donate Go Bag items to New Yorkers in need. Details: http://t.co/nl4w1JrPIs http://t.co/9h0Sb6Y3q3</t>
  </si>
  <si>
    <t>.@sanchipoo: in the event of a hurricane, residents in zones may be ordered to evacuate. More FAQs can be found here: http://t.co/kqjknKFTuZ</t>
  </si>
  <si>
    <t>Check the expiration dates of your emergency supplies at least twice per year, such as daylight saving time. #GatherSupplies #NPM2014</t>
  </si>
  <si>
    <t>Make an emergency supply kit for your car. Include items like sand/kitty litter (for added traction if you find yourself stuck). #NPM2014</t>
  </si>
  <si>
    <t>Tip: your Go Bag should be easily accessible if you have to leave your home in a hurry. Keep it by your front door. #GatherSupplies #NPM2014</t>
  </si>
  <si>
    <t>Tip: make copies of your important documents and store them in a waterproof container. #GatherSupplies #NPM2014</t>
  </si>
  <si>
    <t>MT @FEMASandy: In an extended power outage, ATMs &amp;amp; credit card machines may not work. Include extra $$ in your supplies. #NatlPrep #NPM2014</t>
  </si>
  <si>
    <t>Commissioner Esposito speaks at an emergency preparedness forum at #Brooklyn Borough Hall. http://t.co/jrB5g6hb8X</t>
  </si>
  <si>
    <t>Join Citizen Corps tom. for a discussion on how the City plans for sheltering residents during disasters: http://t.co/GBtxUvbvRk #NPM2014</t>
  </si>
  <si>
    <t>Tonight! Join @BPEricAdams for a special preparedness event at Brooklyn Borough Hall. Special guest: @JoeEspoNYC. http://t.co/iS7uc1QcFg</t>
  </si>
  <si>
    <t>Thanks to @google, @NYCService + @nycoem + @NYCares are going live to talk about National Preparedness month &amp;amp; volunteering #NYCServiceLive</t>
  </si>
  <si>
    <t>Are your Go Bag and emergency supply kit stocked? Find out what you should pack in each: http://t.co/7dfytyapWx #NPM2014 #GatherSupplies</t>
  </si>
  <si>
    <t>MT @femaregion2: Having a solar powered charger for your phone can help keep your line of communications open during a disaster. #NPM2014</t>
  </si>
  <si>
    <t>Event: OEM staff will discuss how the City plans for sheltering residents during disasters. Register: http://t.co/GBtxUvbvRk</t>
  </si>
  <si>
    <t>Missed the post-disaster housing prototype #instameet? Find out how you can get a look inside: http://t.co/WYSqyuKpeg #WhatIfNYC #IDHU</t>
  </si>
  <si>
    <t>#OEMTweetTip: Take time to check in your neighbors, especially those who are elderly or have special needs. http://t.co/nrhKq9K5eN</t>
  </si>
  <si>
    <t>We are already halfway through National Preparedness Month! Feeling prepared yet? #NPM2014 #natlprep</t>
  </si>
  <si>
    <t>Does your Go Bag and emergency supply kit have all the essentials? Find out at http://t.co/7dfytyapWx. #GatherSupplies #NPM2014 #natlprep</t>
  </si>
  <si>
    <t>Great graphic! RT @NYPDChiefBanks: Are you ready? #GetReadyNY with @nycoem and make a plan! http://t.co/PB9detIUew</t>
  </si>
  <si>
    <t>Join @BPEricAdams for a special preparedness event at Brooklyn Borough Hall on Tuesday. Special guest: @JoeEspoNYC. http://t.co/iS7uc1QcFg</t>
  </si>
  <si>
    <t>ICYMI: NYC Citizen Corps hosted a workshop about the use of social media before, during &amp;amp; after disasters: http://t.co/FuHiVYn54Y</t>
  </si>
  <si>
    <t>Emergencies don’t take a weekend break, and neither does #NPM2014. The celebration continues with more events! http://t.co/ZXTYzxSUoJ...</t>
  </si>
  <si>
    <t>Thanks to everyone who stopped by the OEM #instameet today! http://t.co/mu6vfMq0dQ</t>
  </si>
  <si>
    <t>10-04: Borough president staff members receive radio training at OEM HQ. http://t.co/MoO5NB8Cah</t>
  </si>
  <si>
    <t>For the big kids, #ReadyNewYork has created "Choose Your Own Path to Preparedness" storybooks: http://t.co/KfZmnFUQRR #MakeAPlan #NPM2014</t>
  </si>
  <si>
    <t>Want to teach young students about planning for emergencies? Look no further: http://t.co/XyoHiWxBHt #MakeAPlan #NPM2014</t>
  </si>
  <si>
    <t>Happening now: Partners participating in Coastal Storm Tabletop at the NYContinuity Business Continuity Symposium: http://t.co/RsNMYygwRY</t>
  </si>
  <si>
    <t>6 months after #EastHarlemExplosion, New Yorkers are reminded that if you smell gas, leave the house &amp;amp; from a safe distance call 911.</t>
  </si>
  <si>
    <t>School's back in session. It's time to teach your kids what to do in case of an emergency: http://t.co/EmpH7bAFJl #MakeAPlan #npm2014</t>
  </si>
  <si>
    <t>Today, OEM's Public/Private Initiatives Unit is hosting its NYContinuity Business Continuity… http://t.co/rfCnDeGaZ0</t>
  </si>
  <si>
    <t>Don’t forget about today's #instameet at the post-disaster housing prototype from 3-5 PM:  http://t.co/dtEbwMX593 #whatifnyc #idhu</t>
  </si>
  <si>
    <t>MT @Mets: Team wore hats to honor  9/11 1st responders including FDNY, NYPD, PAPD, Courts, OEM, Corrections &amp;amp; DSNY. http://t.co/8cDNiy1ask</t>
  </si>
  <si>
    <t>.@Mets Rubén Tejada &amp;amp; Eric Campbell wear OEM hats during batting practice to honor first responders on 9/11. http://t.co/eyxV7T9ZO8</t>
  </si>
  <si>
    <t>If you lived, worked or went to school around #WTC on 9/11, you may be eligible for free treatment: http://t.co/ZZnQSNNAXe</t>
  </si>
  <si>
    <t>RT @NYPDnews: A message from NYPD Police Commissioner William J. Bratton http://t.co/avZ0ZcPn8U #NeverForget</t>
  </si>
  <si>
    <t>RT @FDNY: #FDNY members honor the 343 lost on 9/11 during a remembrance ceremony at the FFs Monument. http://t.co/kDH0xsA9wL</t>
  </si>
  <si>
    <t>Today, OEM remembers the lives lost, and the bravery and dedication of first responders. #neverforget http://t.co/StVgQI6rB5</t>
  </si>
  <si>
    <t>RT @LDN_prepared: We also remember the bravery &amp;amp; dedication of emergency responders on #Sept11 and our colleagues @nycoem</t>
  </si>
  <si>
    <t>Prepare your business/organization. Get started by checking out these brochures: http://t.co/0mj9D8UNCH &amp;amp; http://t.co/CMwmEDnTAo #NPM2014</t>
  </si>
  <si>
    <t>This morning, OEM hosted the inaugural breakfast for the 2014/15 John D. Solomon Fellows. Learn more: http://t.co/L9KZqBlvMQ</t>
  </si>
  <si>
    <t>#NYC Announces #CultureAID for #NPM2014. Check out the new communication network here: http://t.co/b1lL3FPBwh http://t.co/16hBKhc4kv</t>
  </si>
  <si>
    <t>People &amp;amp; pets aren't the only ones that need a plan -- businesses need one, too: http://t.co/JCgf17kA2L #MakeAPlan #NPM2014</t>
  </si>
  <si>
    <t>MT @FEMASandy: #CraigFugate, #FEMA (center) &amp;amp; Jerome Hatfield, FEMA Reg. 2 (front) speak at #NPM2014 event in NYC http://t.co/FOg9bgpwlc</t>
  </si>
  <si>
    <t>Does your plan consider seniors &amp;amp; those with access &amp;amp; functional needs? http://t.co/bc1YxFbTdU #MakeAPlan #NPM2014 http://t.co/9nyadmvQ6z</t>
  </si>
  <si>
    <t>Get a look inside the City's post-disaster housing model this Friday afternoon from 3-5 PM! #whatifnyc… http://t.co/dtEbwMX593</t>
  </si>
  <si>
    <t>#MakeAPlanTip: Designate an emergency contact, preferably someone out of the area. Know who to call: http://t.co/55MYMh9Q4l #NPM2014</t>
  </si>
  <si>
    <t>MT @JoeEspoNYC: Huge congrats to OEM's Frank Lowe, @WhiteHouse Champion of Change for preparing NYC’s seniors: http://t.co/C6g3pKxtDi</t>
  </si>
  <si>
    <t>Great photos! RT @femaregion2: MT @Otter2FEMACorps members are helping NYC prepare! @nycoem http://t.co/NIEhVdPrxF</t>
  </si>
  <si>
    <t>Thanks, @nyc311! @phunkykim, just a note: alternate dates usually mean rain dates.</t>
  </si>
  <si>
    <t>OEM's Frank Lowe is a @whitehouse #ChampionOfChange! Check out the live stream: http://t.co/u5FIPRgu8q (via @YouTube) http://t.co/tguEVUS40i</t>
  </si>
  <si>
    <t>Pets are part of the family. Make a plan for them with the new Ready New York: My Pet's Emergency Plan: http://t.co/snZ3u5Ac26 #npm2014...</t>
  </si>
  <si>
    <t>.@nycHealthy and @nyc311, can you confirm? MT @phunkykim: ground spraying 11358 did they spray last night? mentioned alt time is 9/9.</t>
  </si>
  <si>
    <t>Think you’re a good emergency planner? Take the Readiness Challenge. You know you want to! http://t.co/AMtUMmWfgL #makeaplan #npm2014</t>
  </si>
  <si>
    <t>RT @DavidBamford: Being prepared is checking my go bags and radios and talking to my neighbors @nycoem #NPM2014</t>
  </si>
  <si>
    <t>Event: Learn how to help inform your community before, during &amp;amp; after disaster w/ #socialmedia: https://t.co/JitPWG8rTa #npm2014 #natlprep</t>
  </si>
  <si>
    <t>What does National Preparedness Month mean to you? Tweet back and use the #NPM2014 hashtag!</t>
  </si>
  <si>
    <t>Congratulations to the winners of last week's Ready New Yorker of the Month Contest! Enter for a chance to win: http://t.co/hWwoS9mXTE.</t>
  </si>
  <si>
    <t>RT @NYSRA: Great turnout for our #NYC #event #DisasterPreparation for #Restaurants w/ @HUBNortheast @RedCross @nycoem. #NPM2014 http://t.co…</t>
  </si>
  <si>
    <t>.@nycHealthy: Ground-based #mosquito adulticiding in BX and QN, from 8PM 9/8 - 6 AM 9/9. Info: http://t.co/jFKP5N0Y27.</t>
  </si>
  <si>
    <t>6-out-of -10 households in the U.S. don’t have family plans for emergencies. Don't be part of this statistic! #makeaplan #npm2014</t>
  </si>
  <si>
    <t>#OEMTweetTip: Take time to make an emergency plan. http://t.co/nrhKq9K5eN</t>
  </si>
  <si>
    <t>ICYMI RT @NWSNewYorkNY: Severe Thunderstorm Watch til 9p for our entire area. Stay alert this afternoon/evening! http://t.co/KcugRosJbl</t>
  </si>
  <si>
    <t>MT @Readygov: Get excited for National PrepareAthon! Day! on 9/30. Get info on how to get involved: http://t.co/kIcteK2Qip</t>
  </si>
  <si>
    <t>Recap: National Preparedness Month Kickoff in NYC: http://t.co/YVd8u1cPaZ. #npm2014 #natlprep</t>
  </si>
  <si>
    <t>Important element in emergency preparedness is being in the know. Help your biz stay connected. Learn how: http://t.co/TjoUHRBY5C #npm2014</t>
  </si>
  <si>
    <t>So stylin'! MT @NYCSeniors celebrates #npm2014 w/ Aida Peardo, a senior proudly holding @nycoem's My Emergency Plan. http://t.co/mlae0bn5kq</t>
  </si>
  <si>
    <t>Nuevos anuncios de servicio público lanzados hoy desde @nycoem y @adcouncil. ¿Está Ud. preparado para una emergencia? http://t.co/ulD8yDcS0q</t>
  </si>
  <si>
    <t>Around town this weekend? Stop by the #ReadyNewYork fair on Saturday, @MayorsAlliance's #Adoptapalooza on Sunday! http://t.co/zdmqatCdoA</t>
  </si>
  <si>
    <t>TY for sharing this important message: @CraigatFEMA, @femaregion2, @Readygov, @redcrossny, @galeabrewer, @JoshWLockwood &amp;amp; @AdCouncil.</t>
  </si>
  <si>
    <t>RT @galeabrewer: Be #ReadyNewYork! Check out @nycoem events being held in NYC for #NPM2014 today. http://t.co/f1dAKbfJPu</t>
  </si>
  <si>
    <t>"There are 25 days left in September: make it your mission to be prepared and have an emergency plan this month." -@JoeEspoNYC #npm2014</t>
  </si>
  <si>
    <t>"Talk to your family. The new ads show how making a plan with your family can keep you safe &amp;amp; together in an emergency." -@JoeEspoNYC...</t>
  </si>
  <si>
    <t>MT @galeabrewer: Much thanks to @nycoem for getting out word that September is National Preparedness Month. #NPM2014 http://t.co/tXc7wQ2YSA</t>
  </si>
  <si>
    <t>New PSAs from @nycoem &amp;amp; @adcouncil launched today. Is your family prepared for an emergency? http://t.co/KI5dkjyZSd @fema @readygov #npm2014</t>
  </si>
  <si>
    <t>"Thank you to volunteers working in all five boroughs to talk to NYers today about the importance of preparedness." -@JoeEspoNYC #npm2014</t>
  </si>
  <si>
    <t>Also joined by Amy Gibson-Grant of the @AdCouncil. #natlprep #npm2014</t>
  </si>
  <si>
    <t>In #HeraldSquare, Cmsr @JoeEspoNYC is joined by @CraigatFEMA, @femaregion2's Jerome Hatfield, @galeabrewer, @JoshWLockwood from @redcrossny.</t>
  </si>
  <si>
    <t>Happening now: Commissioner @JoeEspoNYC &amp;amp; @FEMA Administrator @CraigatFEMA kick off #natlprep in NYC. #npm2014 http://t.co/ozQVCUgkbJ</t>
  </si>
  <si>
    <t>RT @jstapfinator: .@nycoem is having #NatlPrep events all over the city today! If you're in the area, check them out! #getready #getprepared</t>
  </si>
  <si>
    <t>Check out Manhattan's #HeraldSquare: http://t.co/8On0qHv3TP. OEM Cmsr @JoeEspoNYC &amp;amp; officials will be on site at 2 PM. Stay tuned!  #npm2014</t>
  </si>
  <si>
    <t>RT @redcrossny: Proud to partner with @nycoem today at the National Preparedness Month kickoff in Herald Square. #NPM2014</t>
  </si>
  <si>
    <t>Strike a pose! fema corps volunteers and John D. Solomon Fellows show off #knowyourzone materials.… http://t.co/5QjHVupQKC</t>
  </si>
  <si>
    <t>Smile! @JoeEspoNYC shares a photo from #NPM2014 at Borough Hall in #Brooklyn: http://t.co/vERaIqd5Ud</t>
  </si>
  <si>
    <t>Hi, @melissa_sue! Queens Borough President Emergency Preparedness Meeting in #RockawayBeach on 9/17. Details: http://t.co/12qpUL5UuL.</t>
  </si>
  <si>
    <t>All aboard the Staten Island Ferry! #NPM2014 http://t.co/7NZsnIHGSV</t>
  </si>
  <si>
    <t>National Preparedness Month has arrived in #Queens at #JamaicaCenter! #npm2014 http://t.co/ODY9mB5SLG</t>
  </si>
  <si>
    <t>Did you know? Today's National Preparedness Month kickoff sites are made possible by volunteers, including #NYCCERT members. #npm2014</t>
  </si>
  <si>
    <t>If you're in the Bronx today, be sure to check out the site at Fordham Plaza.  #npm2014 http://t.co/S0NYX7kCZi</t>
  </si>
  <si>
    <t>Are you #ReadyNewYork, Brooklyn? The Borough Hall team is! #  #npm2014 http://t.co/H0290a0Vzm</t>
  </si>
  <si>
    <t>OEM will be sharing photos from National Preparedness Month sites across NYC today. If you see us, snap a photo and share it! #npm2014</t>
  </si>
  <si>
    <t>Happy to be in SI! RT @DeNicolaNowak: @nycoem Just picked up some info at the SI Ferry term. Thanks for not forgetting us! #forgottenborough</t>
  </si>
  <si>
    <t>National Preparedness Month kicks off in NYC today! #NPM2014 http://t.co/xElYvcwaJa</t>
  </si>
  <si>
    <t>Brooklyn, are you prepared? Join @BPEricAdams at Brooklyn Borough Hall on Tuesday, 9/16. Special guest: @JoeEspoNYC. http://t.co/iS7uc1QcFg</t>
  </si>
  <si>
    <t>Get to know NYC Citizen Corps, the leader of NYC's National Preparedness Month activities: http://t.co/SXpWR9VLED #npm2014 #natlprep</t>
  </si>
  <si>
    <t>RT @MayorsAlliance: Learn to prepare your pet for emergencies at @nycoem table at #Adoptapalooza Sun. 9/7! http://t.co/w3sxpa34zS</t>
  </si>
  <si>
    <t>#TwitterAlerts lets you receive essential info when you need it: https://t.co/hsjivrasQT &amp;amp; https://t.co/pZU4sMwcIH #npm2014 #natlprep</t>
  </si>
  <si>
    <t>RT @JoeEspoNYC: High fives for #BacktoSchoolNYC! Parents, sign up for @NotifyNYC public school advisories to stay informed all year. http:/…</t>
  </si>
  <si>
    <t>Learn more about Wireless Emergency Alerts, and what they mean to you: http://t.co/zgE7R3k4wR #beinformed #npm2014 #natlprep</t>
  </si>
  <si>
    <t>OEM wishes @nycschools students and teachers a great first day! #BacktoSchoolNYC</t>
  </si>
  <si>
    <t>Great to see agencies like @nycdhs encouraging New Yorkers to be prepared!  #NPM2014 #natlprep http://t.co/skEr1mykA6</t>
  </si>
  <si>
    <t>RT @AdCouncil: Do you know how much water you need in case of an emergency? @Readygov #NatlPrep http://t.co/IfHTFLLLoO</t>
  </si>
  <si>
    <t>RT @femaregion2: Be smart – find answers to all your disaster questions here: http://t.co/kbLj1X2yCq #NatlPrep #NPM2014 #BeInformed</t>
  </si>
  <si>
    <t>What types of hazards affect NYC? Find out here: http://t.co/LKBHe1DXPG #natlprep #NPM2014</t>
  </si>
  <si>
    <t>RT@readygov: #NatlPrep Week 1: Learn how to reconnect with your family after a disaster: http://t.co/6fTI9ux3r4</t>
  </si>
  <si>
    <t>One year ago today, the City's Hurricane Sandy Debris Removal Task Force received a prestigious 2013 #GreenStarAward: http://t.co/1MN6Q1XA1j</t>
  </si>
  <si>
    <t>Get involved in National Preparedness Month! Be Disaster Aware, Take Action to Prepare. #NatlPrep http://t.co/5FgcamJEkt</t>
  </si>
  <si>
    <t>#OEMTweetTip: This National Preparedness Month, get ready for the unexpected. http://t.co/nrhKq9K5eN</t>
  </si>
  <si>
    <t>MT @nwsnewyorkny: Today may be warmest day of 2014 across our region. #staycool http://t.co/dnbLW270P4</t>
  </si>
  <si>
    <t>Happy National Preparedness Month! Enter for a chance to win a #GoBag with the Ready New Yorker of the Month Contest: http://t.co/hWwoS9mXTE</t>
  </si>
  <si>
    <t>OEM commissioner Joseph J. Esposito is now on Twitter! Follow him: @JoeEspoNYC</t>
  </si>
  <si>
    <t>Commissioner Esposito, Ready New York, and CERT at the West Indian Day Parade. http://t.co/g8X4Rm0FIu</t>
  </si>
  <si>
    <t>#TBT – 8/28/2011 Hurricane Irene made landfall in Brooklyn. Learn about how hurricanes affect NYC and #knowyourzone: http://t.co/vAKE3stO61</t>
  </si>
  <si>
    <t>A High Surf Advisory is in effect until 8/28. High surf and dangerous rip currents are expected in all NYC beaches http://t.co/lyBWDDMw1C</t>
  </si>
  <si>
    <t>#OEMTweetTip: Pets are part of your family, so include them in your emergency plan. Learn how to from Ready New York: http://t.co/B7qnONPeDQ</t>
  </si>
  <si>
    <t>National Preparedness Month is just 10 days away! Join us September 5 at one of our kickoff events across the city. Details soon! #NPM2014</t>
  </si>
  <si>
    <t>August is National Immunization Awareness Month. Before school starts, check to see if any of your child's vaccines need boosters. #NIAM14</t>
  </si>
  <si>
    <t>RT @fema: The @fema app is now available in Spanish. Intro video in Español: http://t.co/4NFh90EoKh @FEMAespanol http://t.co/6TwhjtG7O0</t>
  </si>
  <si>
    <t>OEM Comsr. Esposito gave a #readyny presentation today @ the Educational Alliance Senior Center.  Learn about RNY: http://t.co/9UhS6OpvNO</t>
  </si>
  <si>
    <t>#OEMTweetTip: Conserve water by taking shorter showers and only running dishwashers when full. Learn more tips: http://t.co/z25ocUHK8L</t>
  </si>
  <si>
    <t>.@FDNY, OEM is always ready &amp;amp; accepted the ALS #icebucketchallenge: https://t.co/9fYehjvLGZ. OEM now challenges @NYCSanitation &amp;amp; @redcrossny</t>
  </si>
  <si>
    <t>Laura Flamenco, a @CCBplusQ #senior has her emergency plan. Make being prepared contagious. http://t.co/R7j3Zb3qf6 (via @NYCSeniors)</t>
  </si>
  <si>
    <t>Challenge accepted, @FDNY! #icebucketchallenge</t>
  </si>
  <si>
    <t>RT @NYCImmigrants: RT @nycoem: Think fast! If a hurricane came to NYC, would you know what to do? http://t.co/73n47PRmQR  #knowyourzone</t>
  </si>
  <si>
    <t>You have the *power* to be prepared. Know what to do if there's an outage: http://t.co/0vO6XJLaiP</t>
  </si>
  <si>
    <t>Wow! @NWSNewYorkNY says the dew point at Central Park was 48 earlier this AM: http://t.co/H8yUb0Xgi3</t>
  </si>
  <si>
    <t>RT @NotifyNYC: Aerial #mosquito larviciding in BX, QN, SI from 6AM-7PM on 8/15, 8/18-19. Info: http://t.co/5hF4qIBu6N http://t.co/KDq5paYNdx</t>
  </si>
  <si>
    <t>.@NotifyNYC: @FDNY &amp;amp; @MTA exercise: Area of 48 St &amp;amp; Madison Ave - East Side Access Tunnel, 7P-10P MN, QN. Expect emergency personnel in area</t>
  </si>
  <si>
    <t>RT @JoyceMSullivan: On my trek to Bx, I saw NYCers come together to direct traffic and keep all cheerful #thisdayinhistory</t>
  </si>
  <si>
    <t>RT @mariaro482136: @nycoem @JonathanNoggle @nycgov im a homecare aide...and i was stuck at work with a client and his family overnight</t>
  </si>
  <si>
    <t>MT @JoyceMSullivan: Walked down 18 dark flights @ Broad and Water. Hoofed it up Bway to GWB. Hopped bus to Bx #thisdayinhistory</t>
  </si>
  <si>
    <t>RT @garrickland: Here's all of Brooklyn walking home from lower Manhattan that evening. #2003Blackout @nycoem http://t.co/zTyXY7X6Ly</t>
  </si>
  <si>
    <t>RT @sweetnycangel: @nycgov @nycoem walking home from city to queens,  took me 5 hours</t>
  </si>
  <si>
    <t>.@veraclaythorne wow! Thanks for sharing your story.</t>
  </si>
  <si>
    <t>RT @garrickland: Working @NYCHA on 14/5th! MT</t>
  </si>
  <si>
    <t>RT @EvanAxelbank: I was intern at @NBCNewYork and was running tapes back and forth from Port Authority to 30 Rock. Wild night</t>
  </si>
  <si>
    <t>RT @JonathanNoggle: @nycgov @nycoem Eating my entire birthday ice cream cake in the dark.</t>
  </si>
  <si>
    <t>RT @PetalWings:  i was in queens in my house and all of a sudden the AC and the fan and tv just shut off...we all were super confused</t>
  </si>
  <si>
    <t>Where were you when the lights went out? OEM remembers the 2003 Northeast blackout: http://t.co/gzaI9MMdhX #thisdayinhistory</t>
  </si>
  <si>
    <t>Then (2003): #ReadyNewYork was announced at Shea Stadium (http://t.co/QgM1YfV4sv). Now: 11+ guides, videos &amp;amp; more: http://t.co/BxYRSAeXJr</t>
  </si>
  <si>
    <t>RT @notifynyc: Ground-based mosquito adulticiding in SI from 8:15PM tonight - 6AM 8/14. Info: http://t.co/5hF4qIBu6N. http://t.co/A9Hq2SV6k7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</si>
</sst>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HYPERLINK("http://www.twitter.com/nycoem/status/808354578336989185", "808354578336989185")</f>
        <v>0</v>
      </c>
      <c r="B2" s="2">
        <v>42716.7051388889</v>
      </c>
      <c r="C2">
        <v>1</v>
      </c>
      <c r="D2">
        <v>3</v>
      </c>
      <c r="E2" t="s">
        <v>5</v>
      </c>
    </row>
    <row r="3" spans="1:5">
      <c r="A3">
        <f>HYPERLINK("http://www.twitter.com/nycoem/status/807266095853932545", "807266095853932545")</f>
        <v>0</v>
      </c>
      <c r="B3" s="2">
        <v>42713.7015046296</v>
      </c>
      <c r="C3">
        <v>13</v>
      </c>
      <c r="D3">
        <v>12</v>
      </c>
      <c r="E3" t="s">
        <v>6</v>
      </c>
    </row>
    <row r="4" spans="1:5">
      <c r="A4">
        <f>HYPERLINK("http://www.twitter.com/nycoem/status/806892386970468352", "806892386970468352")</f>
        <v>0</v>
      </c>
      <c r="B4" s="2">
        <v>42712.6702662037</v>
      </c>
      <c r="C4">
        <v>60</v>
      </c>
      <c r="D4">
        <v>53</v>
      </c>
      <c r="E4" t="s">
        <v>7</v>
      </c>
    </row>
    <row r="5" spans="1:5">
      <c r="A5">
        <f>HYPERLINK("http://www.twitter.com/nycoem/status/806541338023960576", "806541338023960576")</f>
        <v>0</v>
      </c>
      <c r="B5" s="2">
        <v>42711.7015509259</v>
      </c>
      <c r="C5">
        <v>7</v>
      </c>
      <c r="D5">
        <v>10</v>
      </c>
      <c r="E5" t="s">
        <v>8</v>
      </c>
    </row>
    <row r="6" spans="1:5">
      <c r="A6">
        <f>HYPERLINK("http://www.twitter.com/nycoem/status/806501310359080960", "806501310359080960")</f>
        <v>0</v>
      </c>
      <c r="B6" s="2">
        <v>42711.591099537</v>
      </c>
      <c r="C6">
        <v>0</v>
      </c>
      <c r="D6">
        <v>7</v>
      </c>
      <c r="E6" t="s">
        <v>9</v>
      </c>
    </row>
    <row r="7" spans="1:5">
      <c r="A7">
        <f>HYPERLINK("http://www.twitter.com/nycoem/status/806185283129634820", "806185283129634820")</f>
        <v>0</v>
      </c>
      <c r="B7" s="2">
        <v>42710.7190277778</v>
      </c>
      <c r="C7">
        <v>3</v>
      </c>
      <c r="D7">
        <v>3</v>
      </c>
      <c r="E7" t="s">
        <v>10</v>
      </c>
    </row>
    <row r="8" spans="1:5">
      <c r="A8">
        <f>HYPERLINK("http://www.twitter.com/nycoem/status/805840664265129985", "805840664265129985")</f>
        <v>0</v>
      </c>
      <c r="B8" s="2">
        <v>42709.7680555556</v>
      </c>
      <c r="C8">
        <v>0</v>
      </c>
      <c r="D8">
        <v>5</v>
      </c>
      <c r="E8" t="s">
        <v>11</v>
      </c>
    </row>
    <row r="9" spans="1:5">
      <c r="A9">
        <f>HYPERLINK("http://www.twitter.com/nycoem/status/805820352224002048", "805820352224002048")</f>
        <v>0</v>
      </c>
      <c r="B9" s="2">
        <v>42709.7120138889</v>
      </c>
      <c r="C9">
        <v>5</v>
      </c>
      <c r="D9">
        <v>9</v>
      </c>
      <c r="E9" t="s">
        <v>12</v>
      </c>
    </row>
    <row r="10" spans="1:5">
      <c r="A10">
        <f>HYPERLINK("http://www.twitter.com/nycoem/status/805100577747255296", "805100577747255296")</f>
        <v>0</v>
      </c>
      <c r="B10" s="2">
        <v>42707.7258101852</v>
      </c>
      <c r="C10">
        <v>14</v>
      </c>
      <c r="D10">
        <v>5</v>
      </c>
      <c r="E10" t="s">
        <v>13</v>
      </c>
    </row>
    <row r="11" spans="1:5">
      <c r="A11">
        <f>HYPERLINK("http://www.twitter.com/nycoem/status/804731990813642752", "804731990813642752")</f>
        <v>0</v>
      </c>
      <c r="B11" s="2">
        <v>42706.7087037037</v>
      </c>
      <c r="C11">
        <v>7</v>
      </c>
      <c r="D11">
        <v>9</v>
      </c>
      <c r="E11" t="s">
        <v>14</v>
      </c>
    </row>
    <row r="12" spans="1:5">
      <c r="A12">
        <f>HYPERLINK("http://www.twitter.com/nycoem/status/804367006002724864", "804367006002724864")</f>
        <v>0</v>
      </c>
      <c r="B12" s="2">
        <v>42705.7015393519</v>
      </c>
      <c r="C12">
        <v>7</v>
      </c>
      <c r="D12">
        <v>9</v>
      </c>
      <c r="E12" t="s">
        <v>15</v>
      </c>
    </row>
    <row r="13" spans="1:5">
      <c r="A13">
        <f>HYPERLINK("http://www.twitter.com/nycoem/status/804048260948258816", "804048260948258816")</f>
        <v>0</v>
      </c>
      <c r="B13" s="2">
        <v>42704.8219675926</v>
      </c>
      <c r="C13">
        <v>0</v>
      </c>
      <c r="D13">
        <v>12</v>
      </c>
      <c r="E13" t="s">
        <v>16</v>
      </c>
    </row>
    <row r="14" spans="1:5">
      <c r="A14">
        <f>HYPERLINK("http://www.twitter.com/nycoem/status/803993285635280896", "803993285635280896")</f>
        <v>0</v>
      </c>
      <c r="B14" s="2">
        <v>42704.6702662037</v>
      </c>
      <c r="C14">
        <v>22</v>
      </c>
      <c r="D14">
        <v>15</v>
      </c>
      <c r="E14" t="s">
        <v>17</v>
      </c>
    </row>
    <row r="15" spans="1:5">
      <c r="A15">
        <f>HYPERLINK("http://www.twitter.com/nycoem/status/803643479662493696", "803643479662493696")</f>
        <v>0</v>
      </c>
      <c r="B15" s="2">
        <v>42703.7049884259</v>
      </c>
      <c r="C15">
        <v>4</v>
      </c>
      <c r="D15">
        <v>5</v>
      </c>
      <c r="E15" t="s">
        <v>18</v>
      </c>
    </row>
    <row r="16" spans="1:5">
      <c r="A16">
        <f>HYPERLINK("http://www.twitter.com/nycoem/status/803237548457914368", "803237548457914368")</f>
        <v>0</v>
      </c>
      <c r="B16" s="2">
        <v>42702.5848263889</v>
      </c>
      <c r="C16">
        <v>0</v>
      </c>
      <c r="D16">
        <v>3</v>
      </c>
      <c r="E16" t="s">
        <v>19</v>
      </c>
    </row>
    <row r="17" spans="1:5">
      <c r="A17">
        <f>HYPERLINK("http://www.twitter.com/nycoem/status/802965717041709057", "802965717041709057")</f>
        <v>0</v>
      </c>
      <c r="B17" s="2">
        <v>42701.8347106481</v>
      </c>
      <c r="C17">
        <v>4</v>
      </c>
      <c r="D17">
        <v>12</v>
      </c>
      <c r="E17" t="s">
        <v>20</v>
      </c>
    </row>
    <row r="18" spans="1:5">
      <c r="A18">
        <f>HYPERLINK("http://www.twitter.com/nycoem/status/802243005377814528", "802243005377814528")</f>
        <v>0</v>
      </c>
      <c r="B18" s="2">
        <v>42699.8404166667</v>
      </c>
      <c r="C18">
        <v>1</v>
      </c>
      <c r="D18">
        <v>5</v>
      </c>
      <c r="E18" t="s">
        <v>21</v>
      </c>
    </row>
    <row r="19" spans="1:5">
      <c r="A19">
        <f>HYPERLINK("http://www.twitter.com/nycoem/status/802196483210702850", "802196483210702850")</f>
        <v>0</v>
      </c>
      <c r="B19" s="2">
        <v>42699.712037037</v>
      </c>
      <c r="C19">
        <v>28</v>
      </c>
      <c r="D19">
        <v>34</v>
      </c>
      <c r="E19" t="s">
        <v>22</v>
      </c>
    </row>
    <row r="20" spans="1:5">
      <c r="A20">
        <f>HYPERLINK("http://www.twitter.com/nycoem/status/801829084418424832", "801829084418424832")</f>
        <v>0</v>
      </c>
      <c r="B20" s="2">
        <v>42698.6982060185</v>
      </c>
      <c r="C20">
        <v>21</v>
      </c>
      <c r="D20">
        <v>9</v>
      </c>
      <c r="E20" t="s">
        <v>23</v>
      </c>
    </row>
    <row r="21" spans="1:5">
      <c r="A21">
        <f>HYPERLINK("http://www.twitter.com/nycoem/status/801518441312256000", "801518441312256000")</f>
        <v>0</v>
      </c>
      <c r="B21" s="2">
        <v>42697.8409953704</v>
      </c>
      <c r="C21">
        <v>0</v>
      </c>
      <c r="D21">
        <v>9</v>
      </c>
      <c r="E21" t="s">
        <v>24</v>
      </c>
    </row>
    <row r="22" spans="1:5">
      <c r="A22">
        <f>HYPERLINK("http://www.twitter.com/nycoem/status/801471686411517953", "801471686411517953")</f>
        <v>0</v>
      </c>
      <c r="B22" s="2">
        <v>42697.7119791667</v>
      </c>
      <c r="C22">
        <v>7</v>
      </c>
      <c r="D22">
        <v>2</v>
      </c>
      <c r="E22" t="s">
        <v>25</v>
      </c>
    </row>
    <row r="23" spans="1:5">
      <c r="A23">
        <f>HYPERLINK("http://www.twitter.com/nycoem/status/801110574604095488", "801110574604095488")</f>
        <v>0</v>
      </c>
      <c r="B23" s="2">
        <v>42696.7154976852</v>
      </c>
      <c r="C23">
        <v>7</v>
      </c>
      <c r="D23">
        <v>5</v>
      </c>
      <c r="E23" t="s">
        <v>26</v>
      </c>
    </row>
    <row r="24" spans="1:5">
      <c r="A24">
        <f>HYPERLINK("http://www.twitter.com/nycoem/status/801081970377621504", "801081970377621504")</f>
        <v>0</v>
      </c>
      <c r="B24" s="2">
        <v>42696.6365625</v>
      </c>
      <c r="C24">
        <v>0</v>
      </c>
      <c r="D24">
        <v>15</v>
      </c>
      <c r="E24" t="s">
        <v>27</v>
      </c>
    </row>
    <row r="25" spans="1:5">
      <c r="A25">
        <f>HYPERLINK("http://www.twitter.com/nycoem/status/801081969928978432", "801081969928978432")</f>
        <v>0</v>
      </c>
      <c r="B25" s="2">
        <v>42696.6365625</v>
      </c>
      <c r="C25">
        <v>0</v>
      </c>
      <c r="D25">
        <v>15</v>
      </c>
      <c r="E25" t="s">
        <v>27</v>
      </c>
    </row>
    <row r="26" spans="1:5">
      <c r="A26">
        <f>HYPERLINK("http://www.twitter.com/nycoem/status/800800382645653505", "800800382645653505")</f>
        <v>0</v>
      </c>
      <c r="B26" s="2">
        <v>42695.859537037</v>
      </c>
      <c r="C26">
        <v>11</v>
      </c>
      <c r="D26">
        <v>4</v>
      </c>
      <c r="E26" t="s">
        <v>28</v>
      </c>
    </row>
    <row r="27" spans="1:5">
      <c r="A27">
        <f>HYPERLINK("http://www.twitter.com/nycoem/status/800732933028016130", "800732933028016130")</f>
        <v>0</v>
      </c>
      <c r="B27" s="2">
        <v>42695.6734027778</v>
      </c>
      <c r="C27">
        <v>0</v>
      </c>
      <c r="D27">
        <v>1</v>
      </c>
      <c r="E27" t="s">
        <v>29</v>
      </c>
    </row>
    <row r="28" spans="1:5">
      <c r="A28">
        <f>HYPERLINK("http://www.twitter.com/nycoem/status/800720804736618496", "800720804736618496")</f>
        <v>0</v>
      </c>
      <c r="B28" s="2">
        <v>42695.6399421296</v>
      </c>
      <c r="C28">
        <v>7</v>
      </c>
      <c r="D28">
        <v>3</v>
      </c>
      <c r="E28" t="s">
        <v>30</v>
      </c>
    </row>
    <row r="29" spans="1:5">
      <c r="A29">
        <f>HYPERLINK("http://www.twitter.com/nycoem/status/800712943650439169", "800712943650439169")</f>
        <v>0</v>
      </c>
      <c r="B29" s="2">
        <v>42695.6182407407</v>
      </c>
      <c r="C29">
        <v>3</v>
      </c>
      <c r="D29">
        <v>3</v>
      </c>
      <c r="E29" t="s">
        <v>31</v>
      </c>
    </row>
    <row r="30" spans="1:5">
      <c r="A30">
        <f>HYPERLINK("http://www.twitter.com/nycoem/status/800385752647536646", "800385752647536646")</f>
        <v>0</v>
      </c>
      <c r="B30" s="2">
        <v>42694.7153703704</v>
      </c>
      <c r="C30">
        <v>20</v>
      </c>
      <c r="D30">
        <v>22</v>
      </c>
      <c r="E30" t="s">
        <v>32</v>
      </c>
    </row>
    <row r="31" spans="1:5">
      <c r="A31">
        <f>HYPERLINK("http://www.twitter.com/nycoem/status/800018362805997569", "800018362805997569")</f>
        <v>0</v>
      </c>
      <c r="B31" s="2">
        <v>42693.7015625</v>
      </c>
      <c r="C31">
        <v>2</v>
      </c>
      <c r="D31">
        <v>5</v>
      </c>
      <c r="E31" t="s">
        <v>33</v>
      </c>
    </row>
    <row r="32" spans="1:5">
      <c r="A32">
        <f>HYPERLINK("http://www.twitter.com/nycoem/status/799654748634939392", "799654748634939392")</f>
        <v>0</v>
      </c>
      <c r="B32" s="2">
        <v>42692.6981828704</v>
      </c>
      <c r="C32">
        <v>5</v>
      </c>
      <c r="D32">
        <v>4</v>
      </c>
      <c r="E32" t="s">
        <v>34</v>
      </c>
    </row>
    <row r="33" spans="1:5">
      <c r="A33">
        <f>HYPERLINK("http://www.twitter.com/nycoem/status/799286042452893696", "799286042452893696")</f>
        <v>0</v>
      </c>
      <c r="B33" s="2">
        <v>42691.6807523148</v>
      </c>
      <c r="C33">
        <v>13</v>
      </c>
      <c r="D33">
        <v>15</v>
      </c>
      <c r="E33" t="s">
        <v>35</v>
      </c>
    </row>
    <row r="34" spans="1:5">
      <c r="A34">
        <f>HYPERLINK("http://www.twitter.com/nycoem/status/799273095290912769", "799273095290912769")</f>
        <v>0</v>
      </c>
      <c r="B34" s="2">
        <v>42691.6450231482</v>
      </c>
      <c r="C34">
        <v>0</v>
      </c>
      <c r="D34">
        <v>69</v>
      </c>
      <c r="E34" t="s">
        <v>36</v>
      </c>
    </row>
    <row r="35" spans="1:5">
      <c r="A35">
        <f>HYPERLINK("http://www.twitter.com/nycoem/status/799260284065959937", "799260284065959937")</f>
        <v>0</v>
      </c>
      <c r="B35" s="2">
        <v>42691.6096643519</v>
      </c>
      <c r="C35">
        <v>0</v>
      </c>
      <c r="D35">
        <v>43</v>
      </c>
      <c r="E35" t="s">
        <v>37</v>
      </c>
    </row>
    <row r="36" spans="1:5">
      <c r="A36">
        <f>HYPERLINK("http://www.twitter.com/nycoem/status/798970191103328262", "798970191103328262")</f>
        <v>0</v>
      </c>
      <c r="B36" s="2">
        <v>42690.8091666667</v>
      </c>
      <c r="C36">
        <v>8</v>
      </c>
      <c r="D36">
        <v>7</v>
      </c>
      <c r="E36" t="s">
        <v>38</v>
      </c>
    </row>
    <row r="37" spans="1:5">
      <c r="A37">
        <f>HYPERLINK("http://www.twitter.com/nycoem/status/798947333245378560", "798947333245378560")</f>
        <v>0</v>
      </c>
      <c r="B37" s="2">
        <v>42690.746087963</v>
      </c>
      <c r="C37">
        <v>7</v>
      </c>
      <c r="D37">
        <v>3</v>
      </c>
      <c r="E37" t="s">
        <v>39</v>
      </c>
    </row>
    <row r="38" spans="1:5">
      <c r="A38">
        <f>HYPERLINK("http://www.twitter.com/nycoem/status/798575119740309504", "798575119740309504")</f>
        <v>0</v>
      </c>
      <c r="B38" s="2">
        <v>42689.7189814815</v>
      </c>
      <c r="C38">
        <v>3</v>
      </c>
      <c r="D38">
        <v>4</v>
      </c>
      <c r="E38" t="s">
        <v>40</v>
      </c>
    </row>
    <row r="39" spans="1:5">
      <c r="A39">
        <f>HYPERLINK("http://www.twitter.com/nycoem/status/798208922305720321", "798208922305720321")</f>
        <v>0</v>
      </c>
      <c r="B39" s="2">
        <v>42688.7084606482</v>
      </c>
      <c r="C39">
        <v>5</v>
      </c>
      <c r="D39">
        <v>1</v>
      </c>
      <c r="E39" t="s">
        <v>41</v>
      </c>
    </row>
    <row r="40" spans="1:5">
      <c r="A40">
        <f>HYPERLINK("http://www.twitter.com/nycoem/status/797486658203648000", "797486658203648000")</f>
        <v>0</v>
      </c>
      <c r="B40" s="2">
        <v>42686.7153935185</v>
      </c>
      <c r="C40">
        <v>13</v>
      </c>
      <c r="D40">
        <v>8</v>
      </c>
      <c r="E40" t="s">
        <v>42</v>
      </c>
    </row>
    <row r="41" spans="1:5">
      <c r="A41">
        <f>HYPERLINK("http://www.twitter.com/nycoem/status/797101618026205184", "797101618026205184")</f>
        <v>0</v>
      </c>
      <c r="B41" s="2">
        <v>42685.6528819444</v>
      </c>
      <c r="C41">
        <v>34</v>
      </c>
      <c r="D41">
        <v>21</v>
      </c>
      <c r="E41" t="s">
        <v>43</v>
      </c>
    </row>
    <row r="42" spans="1:5">
      <c r="A42">
        <f>HYPERLINK("http://www.twitter.com/nycoem/status/796761934062374912", "796761934062374912")</f>
        <v>0</v>
      </c>
      <c r="B42" s="2">
        <v>42684.7155324074</v>
      </c>
      <c r="C42">
        <v>11</v>
      </c>
      <c r="D42">
        <v>9</v>
      </c>
      <c r="E42" t="s">
        <v>44</v>
      </c>
    </row>
    <row r="43" spans="1:5">
      <c r="A43">
        <f>HYPERLINK("http://www.twitter.com/nycoem/status/796464998134517764", "796464998134517764")</f>
        <v>0</v>
      </c>
      <c r="B43" s="2">
        <v>42683.8961458333</v>
      </c>
      <c r="C43">
        <v>12</v>
      </c>
      <c r="D43">
        <v>2</v>
      </c>
      <c r="E43" t="s">
        <v>45</v>
      </c>
    </row>
    <row r="44" spans="1:5">
      <c r="A44">
        <f>HYPERLINK("http://www.twitter.com/nycoem/status/796428465327185920", "796428465327185920")</f>
        <v>0</v>
      </c>
      <c r="B44" s="2">
        <v>42683.7953356481</v>
      </c>
      <c r="C44">
        <v>4</v>
      </c>
      <c r="D44">
        <v>9</v>
      </c>
      <c r="E44" t="s">
        <v>46</v>
      </c>
    </row>
    <row r="45" spans="1:5">
      <c r="A45">
        <f>HYPERLINK("http://www.twitter.com/nycoem/status/796012505445367808", "796012505445367808")</f>
        <v>0</v>
      </c>
      <c r="B45" s="2">
        <v>42682.6475115741</v>
      </c>
      <c r="C45">
        <v>0</v>
      </c>
      <c r="D45">
        <v>19</v>
      </c>
      <c r="E45" t="s">
        <v>47</v>
      </c>
    </row>
    <row r="46" spans="1:5">
      <c r="A46">
        <f>HYPERLINK("http://www.twitter.com/nycoem/status/795711235526365184", "795711235526365184")</f>
        <v>0</v>
      </c>
      <c r="B46" s="2">
        <v>42681.8161574074</v>
      </c>
      <c r="C46">
        <v>18</v>
      </c>
      <c r="D46">
        <v>11</v>
      </c>
      <c r="E46" t="s">
        <v>48</v>
      </c>
    </row>
    <row r="47" spans="1:5">
      <c r="A47">
        <f>HYPERLINK("http://www.twitter.com/nycoem/status/795418374067068933", "795418374067068933")</f>
        <v>0</v>
      </c>
      <c r="B47" s="2">
        <v>42681.0080208333</v>
      </c>
      <c r="C47">
        <v>0</v>
      </c>
      <c r="D47">
        <v>41</v>
      </c>
      <c r="E47" t="s">
        <v>49</v>
      </c>
    </row>
    <row r="48" spans="1:5">
      <c r="A48">
        <f>HYPERLINK("http://www.twitter.com/nycoem/status/795274603472060416", "795274603472060416")</f>
        <v>0</v>
      </c>
      <c r="B48" s="2">
        <v>42680.6112847222</v>
      </c>
      <c r="C48">
        <v>13</v>
      </c>
      <c r="D48">
        <v>7</v>
      </c>
      <c r="E48" t="s">
        <v>50</v>
      </c>
    </row>
    <row r="49" spans="1:5">
      <c r="A49">
        <f>HYPERLINK("http://www.twitter.com/nycoem/status/794912236124930048", "794912236124930048")</f>
        <v>0</v>
      </c>
      <c r="B49" s="2">
        <v>42679.6113425926</v>
      </c>
      <c r="C49">
        <v>16</v>
      </c>
      <c r="D49">
        <v>27</v>
      </c>
      <c r="E49" t="s">
        <v>51</v>
      </c>
    </row>
    <row r="50" spans="1:5">
      <c r="A50">
        <f>HYPERLINK("http://www.twitter.com/nycoem/status/794544106584285185", "794544106584285185")</f>
        <v>0</v>
      </c>
      <c r="B50" s="2">
        <v>42678.5954976852</v>
      </c>
      <c r="C50">
        <v>0</v>
      </c>
      <c r="D50">
        <v>42</v>
      </c>
      <c r="E50" t="s">
        <v>52</v>
      </c>
    </row>
    <row r="51" spans="1:5">
      <c r="A51">
        <f>HYPERLINK("http://www.twitter.com/nycoem/status/794206272551796738", "794206272551796738")</f>
        <v>0</v>
      </c>
      <c r="B51" s="2">
        <v>42677.6632523148</v>
      </c>
      <c r="C51">
        <v>12</v>
      </c>
      <c r="D51">
        <v>15</v>
      </c>
      <c r="E51" t="s">
        <v>53</v>
      </c>
    </row>
    <row r="52" spans="1:5">
      <c r="A52">
        <f>HYPERLINK("http://www.twitter.com/nycoem/status/793841402329370625", "793841402329370625")</f>
        <v>0</v>
      </c>
      <c r="B52" s="2">
        <v>42676.656400463</v>
      </c>
      <c r="C52">
        <v>14</v>
      </c>
      <c r="D52">
        <v>16</v>
      </c>
      <c r="E52" t="s">
        <v>54</v>
      </c>
    </row>
    <row r="53" spans="1:5">
      <c r="A53">
        <f>HYPERLINK("http://www.twitter.com/nycoem/status/793827545997336576", "793827545997336576")</f>
        <v>0</v>
      </c>
      <c r="B53" s="2">
        <v>42676.6181712963</v>
      </c>
      <c r="C53">
        <v>1</v>
      </c>
      <c r="D53">
        <v>0</v>
      </c>
      <c r="E53" t="s">
        <v>55</v>
      </c>
    </row>
    <row r="54" spans="1:5">
      <c r="A54">
        <f>HYPERLINK("http://www.twitter.com/nycoem/status/793472088476622848", "793472088476622848")</f>
        <v>0</v>
      </c>
      <c r="B54" s="2">
        <v>42675.6372916667</v>
      </c>
      <c r="C54">
        <v>16</v>
      </c>
      <c r="D54">
        <v>16</v>
      </c>
      <c r="E54" t="s">
        <v>56</v>
      </c>
    </row>
    <row r="55" spans="1:5">
      <c r="A55">
        <f>HYPERLINK("http://www.twitter.com/nycoem/status/793161959051059200", "793161959051059200")</f>
        <v>0</v>
      </c>
      <c r="B55" s="2">
        <v>42674.7814930556</v>
      </c>
      <c r="C55">
        <v>8</v>
      </c>
      <c r="D55">
        <v>7</v>
      </c>
      <c r="E55" t="s">
        <v>57</v>
      </c>
    </row>
    <row r="56" spans="1:5">
      <c r="A56">
        <f>HYPERLINK("http://www.twitter.com/nycoem/status/793096512502980608", "793096512502980608")</f>
        <v>0</v>
      </c>
      <c r="B56" s="2">
        <v>42674.6009027778</v>
      </c>
      <c r="C56">
        <v>11</v>
      </c>
      <c r="D56">
        <v>9</v>
      </c>
      <c r="E56" t="s">
        <v>58</v>
      </c>
    </row>
    <row r="57" spans="1:5">
      <c r="A57">
        <f>HYPERLINK("http://www.twitter.com/nycoem/status/792741639517245445", "792741639517245445")</f>
        <v>0</v>
      </c>
      <c r="B57" s="2">
        <v>42673.6216319444</v>
      </c>
      <c r="C57">
        <v>9</v>
      </c>
      <c r="D57">
        <v>3</v>
      </c>
      <c r="E57" t="s">
        <v>59</v>
      </c>
    </row>
    <row r="58" spans="1:5">
      <c r="A58">
        <f>HYPERLINK("http://www.twitter.com/nycoem/status/792355414692229121", "792355414692229121")</f>
        <v>0</v>
      </c>
      <c r="B58" s="2">
        <v>42672.5558564815</v>
      </c>
      <c r="C58">
        <v>40</v>
      </c>
      <c r="D58">
        <v>51</v>
      </c>
      <c r="E58" t="s">
        <v>60</v>
      </c>
    </row>
    <row r="59" spans="1:5">
      <c r="A59">
        <f>HYPERLINK("http://www.twitter.com/nycoem/status/792096259167379456", "792096259167379456")</f>
        <v>0</v>
      </c>
      <c r="B59" s="2">
        <v>42671.8407291667</v>
      </c>
      <c r="C59">
        <v>26</v>
      </c>
      <c r="D59">
        <v>17</v>
      </c>
      <c r="E59" t="s">
        <v>61</v>
      </c>
    </row>
    <row r="60" spans="1:5">
      <c r="A60">
        <f>HYPERLINK("http://www.twitter.com/nycoem/status/792029465358508032", "792029465358508032")</f>
        <v>0</v>
      </c>
      <c r="B60" s="2">
        <v>42671.656412037</v>
      </c>
      <c r="C60">
        <v>2</v>
      </c>
      <c r="D60">
        <v>5</v>
      </c>
      <c r="E60" t="s">
        <v>62</v>
      </c>
    </row>
    <row r="61" spans="1:5">
      <c r="A61">
        <f>HYPERLINK("http://www.twitter.com/nycoem/status/791812453063688192", "791812453063688192")</f>
        <v>0</v>
      </c>
      <c r="B61" s="2">
        <v>42671.0575694444</v>
      </c>
      <c r="C61">
        <v>0</v>
      </c>
      <c r="D61">
        <v>31</v>
      </c>
      <c r="E61" t="s">
        <v>63</v>
      </c>
    </row>
    <row r="62" spans="1:5">
      <c r="A62">
        <f>HYPERLINK("http://www.twitter.com/nycoem/status/791796430587461632", "791796430587461632")</f>
        <v>0</v>
      </c>
      <c r="B62" s="2">
        <v>42671.0133564815</v>
      </c>
      <c r="C62">
        <v>0</v>
      </c>
      <c r="D62">
        <v>212</v>
      </c>
      <c r="E62" t="s">
        <v>64</v>
      </c>
    </row>
    <row r="63" spans="1:5">
      <c r="A63">
        <f>HYPERLINK("http://www.twitter.com/nycoem/status/791672132702986240", "791672132702986240")</f>
        <v>0</v>
      </c>
      <c r="B63" s="2">
        <v>42670.6703587963</v>
      </c>
      <c r="C63">
        <v>15</v>
      </c>
      <c r="D63">
        <v>16</v>
      </c>
      <c r="E63" t="s">
        <v>65</v>
      </c>
    </row>
    <row r="64" spans="1:5">
      <c r="A64">
        <f>HYPERLINK("http://www.twitter.com/nycoem/status/791636447388397568", "791636447388397568")</f>
        <v>0</v>
      </c>
      <c r="B64" s="2">
        <v>42670.5718865741</v>
      </c>
      <c r="C64">
        <v>0</v>
      </c>
      <c r="D64">
        <v>2</v>
      </c>
      <c r="E64" t="s">
        <v>66</v>
      </c>
    </row>
    <row r="65" spans="1:5">
      <c r="A65">
        <f>HYPERLINK("http://www.twitter.com/nycoem/status/791305968890052608", "791305968890052608")</f>
        <v>0</v>
      </c>
      <c r="B65" s="2">
        <v>42669.6599421296</v>
      </c>
      <c r="C65">
        <v>15</v>
      </c>
      <c r="D65">
        <v>4</v>
      </c>
      <c r="E65" t="s">
        <v>67</v>
      </c>
    </row>
    <row r="66" spans="1:5">
      <c r="A66">
        <f>HYPERLINK("http://www.twitter.com/nycoem/status/790931235526758400", "790931235526758400")</f>
        <v>0</v>
      </c>
      <c r="B66" s="2">
        <v>42668.6258680556</v>
      </c>
      <c r="C66">
        <v>0</v>
      </c>
      <c r="D66">
        <v>2</v>
      </c>
      <c r="E66" t="s">
        <v>68</v>
      </c>
    </row>
    <row r="67" spans="1:5">
      <c r="A67">
        <f>HYPERLINK("http://www.twitter.com/nycoem/status/790577744442757120", "790577744442757120")</f>
        <v>0</v>
      </c>
      <c r="B67" s="2">
        <v>42667.6504282407</v>
      </c>
      <c r="C67">
        <v>5</v>
      </c>
      <c r="D67">
        <v>10</v>
      </c>
      <c r="E67" t="s">
        <v>69</v>
      </c>
    </row>
    <row r="68" spans="1:5">
      <c r="A68">
        <f>HYPERLINK("http://www.twitter.com/nycoem/status/790551233157292036", "790551233157292036")</f>
        <v>0</v>
      </c>
      <c r="B68" s="2">
        <v>42667.5772685185</v>
      </c>
      <c r="C68">
        <v>3</v>
      </c>
      <c r="D68">
        <v>1</v>
      </c>
      <c r="E68" t="s">
        <v>70</v>
      </c>
    </row>
    <row r="69" spans="1:5">
      <c r="A69">
        <f>HYPERLINK("http://www.twitter.com/nycoem/status/790252808780079105", "790252808780079105")</f>
        <v>0</v>
      </c>
      <c r="B69" s="2">
        <v>42666.7537731481</v>
      </c>
      <c r="C69">
        <v>7</v>
      </c>
      <c r="D69">
        <v>5</v>
      </c>
      <c r="E69" t="s">
        <v>71</v>
      </c>
    </row>
    <row r="70" spans="1:5">
      <c r="A70">
        <f>HYPERLINK("http://www.twitter.com/nycoem/status/790215548026155008", "790215548026155008")</f>
        <v>0</v>
      </c>
      <c r="B70" s="2">
        <v>42666.6509490741</v>
      </c>
      <c r="C70">
        <v>5</v>
      </c>
      <c r="D70">
        <v>4</v>
      </c>
      <c r="E70" t="s">
        <v>72</v>
      </c>
    </row>
    <row r="71" spans="1:5">
      <c r="A71">
        <f>HYPERLINK("http://www.twitter.com/nycoem/status/790176832326864897", "790176832326864897")</f>
        <v>0</v>
      </c>
      <c r="B71" s="2">
        <v>42666.5441203704</v>
      </c>
      <c r="C71">
        <v>4</v>
      </c>
      <c r="D71">
        <v>3</v>
      </c>
      <c r="E71" t="s">
        <v>73</v>
      </c>
    </row>
    <row r="72" spans="1:5">
      <c r="A72">
        <f>HYPERLINK("http://www.twitter.com/nycoem/status/789836360668573697", "789836360668573697")</f>
        <v>0</v>
      </c>
      <c r="B72" s="2">
        <v>42665.6045949074</v>
      </c>
      <c r="C72">
        <v>3</v>
      </c>
      <c r="D72">
        <v>6</v>
      </c>
      <c r="E72" t="s">
        <v>74</v>
      </c>
    </row>
    <row r="73" spans="1:5">
      <c r="A73">
        <f>HYPERLINK("http://www.twitter.com/nycoem/status/789117899646570496", "789117899646570496")</f>
        <v>0</v>
      </c>
      <c r="B73" s="2">
        <v>42663.622025463</v>
      </c>
      <c r="C73">
        <v>21</v>
      </c>
      <c r="D73">
        <v>14</v>
      </c>
      <c r="E73" t="s">
        <v>75</v>
      </c>
    </row>
    <row r="74" spans="1:5">
      <c r="A74">
        <f>HYPERLINK("http://www.twitter.com/nycoem/status/789093851298467840", "789093851298467840")</f>
        <v>0</v>
      </c>
      <c r="B74" s="2">
        <v>42663.5556597222</v>
      </c>
      <c r="C74">
        <v>5</v>
      </c>
      <c r="D74">
        <v>5</v>
      </c>
      <c r="E74" t="s">
        <v>76</v>
      </c>
    </row>
    <row r="75" spans="1:5">
      <c r="A75">
        <f>HYPERLINK("http://www.twitter.com/nycoem/status/788837194295349248", "788837194295349248")</f>
        <v>0</v>
      </c>
      <c r="B75" s="2">
        <v>42662.8474189815</v>
      </c>
      <c r="C75">
        <v>5</v>
      </c>
      <c r="D75">
        <v>7</v>
      </c>
      <c r="E75" t="s">
        <v>77</v>
      </c>
    </row>
    <row r="76" spans="1:5">
      <c r="A76">
        <f>HYPERLINK("http://www.twitter.com/nycoem/status/788791597358014464", "788791597358014464")</f>
        <v>0</v>
      </c>
      <c r="B76" s="2">
        <v>42662.7215972222</v>
      </c>
      <c r="C76">
        <v>4</v>
      </c>
      <c r="D76">
        <v>1</v>
      </c>
      <c r="E76" t="s">
        <v>78</v>
      </c>
    </row>
    <row r="77" spans="1:5">
      <c r="A77">
        <f>HYPERLINK("http://www.twitter.com/nycoem/status/788746563086610432", "788746563086610432")</f>
        <v>0</v>
      </c>
      <c r="B77" s="2">
        <v>42662.5973263889</v>
      </c>
      <c r="C77">
        <v>12</v>
      </c>
      <c r="D77">
        <v>5</v>
      </c>
      <c r="E77" t="s">
        <v>79</v>
      </c>
    </row>
    <row r="78" spans="1:5">
      <c r="A78">
        <f>HYPERLINK("http://www.twitter.com/nycoem/status/788437974929268736", "788437974929268736")</f>
        <v>0</v>
      </c>
      <c r="B78" s="2">
        <v>42661.745787037</v>
      </c>
      <c r="C78">
        <v>0</v>
      </c>
      <c r="D78">
        <v>27</v>
      </c>
      <c r="E78" t="s">
        <v>80</v>
      </c>
    </row>
    <row r="79" spans="1:5">
      <c r="A79">
        <f>HYPERLINK("http://www.twitter.com/nycoem/status/788089761042927616", "788089761042927616")</f>
        <v>0</v>
      </c>
      <c r="B79" s="2">
        <v>42660.7848958333</v>
      </c>
      <c r="C79">
        <v>16</v>
      </c>
      <c r="D79">
        <v>21</v>
      </c>
      <c r="E79" t="s">
        <v>81</v>
      </c>
    </row>
    <row r="80" spans="1:5">
      <c r="A80">
        <f>HYPERLINK("http://www.twitter.com/nycoem/status/788022265699065856", "788022265699065856")</f>
        <v>0</v>
      </c>
      <c r="B80" s="2">
        <v>42660.5986458333</v>
      </c>
      <c r="C80">
        <v>0</v>
      </c>
      <c r="D80">
        <v>5</v>
      </c>
      <c r="E80" t="s">
        <v>82</v>
      </c>
    </row>
    <row r="81" spans="1:5">
      <c r="A81">
        <f>HYPERLINK("http://www.twitter.com/nycoem/status/788011794359001088", "788011794359001088")</f>
        <v>0</v>
      </c>
      <c r="B81" s="2">
        <v>42660.5697453704</v>
      </c>
      <c r="C81">
        <v>0</v>
      </c>
      <c r="D81">
        <v>0</v>
      </c>
      <c r="E81" t="s">
        <v>83</v>
      </c>
    </row>
    <row r="82" spans="1:5">
      <c r="A82">
        <f>HYPERLINK("http://www.twitter.com/nycoem/status/787682083120480256", "787682083120480256")</f>
        <v>0</v>
      </c>
      <c r="B82" s="2">
        <v>42659.6599189815</v>
      </c>
      <c r="C82">
        <v>11</v>
      </c>
      <c r="D82">
        <v>20</v>
      </c>
      <c r="E82" t="s">
        <v>84</v>
      </c>
    </row>
    <row r="83" spans="1:5">
      <c r="A83">
        <f>HYPERLINK("http://www.twitter.com/nycoem/status/787281942379163648", "787281942379163648")</f>
        <v>0</v>
      </c>
      <c r="B83" s="2">
        <v>42658.5557407407</v>
      </c>
      <c r="C83">
        <v>0</v>
      </c>
      <c r="D83">
        <v>0</v>
      </c>
      <c r="E83" t="s">
        <v>85</v>
      </c>
    </row>
    <row r="84" spans="1:5">
      <c r="A84">
        <f>HYPERLINK("http://www.twitter.com/nycoem/status/787007637221208068", "787007637221208068")</f>
        <v>0</v>
      </c>
      <c r="B84" s="2">
        <v>42657.7988078704</v>
      </c>
      <c r="C84">
        <v>21</v>
      </c>
      <c r="D84">
        <v>25</v>
      </c>
      <c r="E84" t="s">
        <v>86</v>
      </c>
    </row>
    <row r="85" spans="1:5">
      <c r="A85">
        <f>HYPERLINK("http://www.twitter.com/nycoem/status/786958559418474496", "786958559418474496")</f>
        <v>0</v>
      </c>
      <c r="B85" s="2">
        <v>42657.6633796296</v>
      </c>
      <c r="C85">
        <v>6</v>
      </c>
      <c r="D85">
        <v>10</v>
      </c>
      <c r="E85" t="s">
        <v>87</v>
      </c>
    </row>
    <row r="86" spans="1:5">
      <c r="A86">
        <f>HYPERLINK("http://www.twitter.com/nycoem/status/786620088220786688", "786620088220786688")</f>
        <v>0</v>
      </c>
      <c r="B86" s="2">
        <v>42656.729375</v>
      </c>
      <c r="C86">
        <v>2</v>
      </c>
      <c r="D86">
        <v>2</v>
      </c>
      <c r="E86" t="s">
        <v>88</v>
      </c>
    </row>
    <row r="87" spans="1:5">
      <c r="A87">
        <f>HYPERLINK("http://www.twitter.com/nycoem/status/786578730529337344", "786578730529337344")</f>
        <v>0</v>
      </c>
      <c r="B87" s="2">
        <v>42656.6152430556</v>
      </c>
      <c r="C87">
        <v>5</v>
      </c>
      <c r="D87">
        <v>3</v>
      </c>
      <c r="E87" t="s">
        <v>89</v>
      </c>
    </row>
    <row r="88" spans="1:5">
      <c r="A88">
        <f>HYPERLINK("http://www.twitter.com/nycoem/status/786574685970403328", "786574685970403328")</f>
        <v>0</v>
      </c>
      <c r="B88" s="2">
        <v>42656.6040856481</v>
      </c>
      <c r="C88">
        <v>0</v>
      </c>
      <c r="D88">
        <v>74</v>
      </c>
      <c r="E88" t="s">
        <v>90</v>
      </c>
    </row>
    <row r="89" spans="1:5">
      <c r="A89">
        <f>HYPERLINK("http://www.twitter.com/nycoem/status/786222474740527104", "786222474740527104")</f>
        <v>0</v>
      </c>
      <c r="B89" s="2">
        <v>42655.6321643519</v>
      </c>
      <c r="C89">
        <v>9</v>
      </c>
      <c r="D89">
        <v>1</v>
      </c>
      <c r="E89" t="s">
        <v>91</v>
      </c>
    </row>
    <row r="90" spans="1:5">
      <c r="A90">
        <f>HYPERLINK("http://www.twitter.com/nycoem/status/786196318733627392", "786196318733627392")</f>
        <v>0</v>
      </c>
      <c r="B90" s="2">
        <v>42655.5599884259</v>
      </c>
      <c r="C90">
        <v>9</v>
      </c>
      <c r="D90">
        <v>5</v>
      </c>
      <c r="E90" t="s">
        <v>92</v>
      </c>
    </row>
    <row r="91" spans="1:5">
      <c r="A91">
        <f>HYPERLINK("http://www.twitter.com/nycoem/status/785875208594984962", "785875208594984962")</f>
        <v>0</v>
      </c>
      <c r="B91" s="2">
        <v>42654.673900463</v>
      </c>
      <c r="C91">
        <v>3</v>
      </c>
      <c r="D91">
        <v>6</v>
      </c>
      <c r="E91" t="s">
        <v>93</v>
      </c>
    </row>
    <row r="92" spans="1:5">
      <c r="A92">
        <f>HYPERLINK("http://www.twitter.com/nycoem/status/785860874854465536", "785860874854465536")</f>
        <v>0</v>
      </c>
      <c r="B92" s="2">
        <v>42654.6343402778</v>
      </c>
      <c r="C92">
        <v>0</v>
      </c>
      <c r="D92">
        <v>131</v>
      </c>
      <c r="E92" t="s">
        <v>94</v>
      </c>
    </row>
    <row r="93" spans="1:5">
      <c r="A93">
        <f>HYPERLINK("http://www.twitter.com/nycoem/status/785450835404816384", "785450835404816384")</f>
        <v>0</v>
      </c>
      <c r="B93" s="2">
        <v>42653.5028472222</v>
      </c>
      <c r="C93">
        <v>0</v>
      </c>
      <c r="D93">
        <v>5</v>
      </c>
      <c r="E93" t="s">
        <v>95</v>
      </c>
    </row>
    <row r="94" spans="1:5">
      <c r="A94">
        <f>HYPERLINK("http://www.twitter.com/nycoem/status/785154165685231621", "785154165685231621")</f>
        <v>0</v>
      </c>
      <c r="B94" s="2">
        <v>42652.6842013889</v>
      </c>
      <c r="C94">
        <v>12</v>
      </c>
      <c r="D94">
        <v>25</v>
      </c>
      <c r="E94" t="s">
        <v>96</v>
      </c>
    </row>
    <row r="95" spans="1:5">
      <c r="A95">
        <f>HYPERLINK("http://www.twitter.com/nycoem/status/784938803853164544", "784938803853164544")</f>
        <v>0</v>
      </c>
      <c r="B95" s="2">
        <v>42652.0899074074</v>
      </c>
      <c r="C95">
        <v>0</v>
      </c>
      <c r="D95">
        <v>21</v>
      </c>
      <c r="E95" t="s">
        <v>97</v>
      </c>
    </row>
    <row r="96" spans="1:5">
      <c r="A96">
        <f>HYPERLINK("http://www.twitter.com/nycoem/status/784475905141989380", "784475905141989380")</f>
        <v>0</v>
      </c>
      <c r="B96" s="2">
        <v>42650.8125578704</v>
      </c>
      <c r="C96">
        <v>0</v>
      </c>
      <c r="D96">
        <v>19</v>
      </c>
      <c r="E96" t="s">
        <v>98</v>
      </c>
    </row>
    <row r="97" spans="1:5">
      <c r="A97">
        <f>HYPERLINK("http://www.twitter.com/nycoem/status/784464753863294977", "784464753863294977")</f>
        <v>0</v>
      </c>
      <c r="B97" s="2">
        <v>42650.7817824074</v>
      </c>
      <c r="C97">
        <v>9</v>
      </c>
      <c r="D97">
        <v>9</v>
      </c>
      <c r="E97" t="s">
        <v>99</v>
      </c>
    </row>
    <row r="98" spans="1:5">
      <c r="A98">
        <f>HYPERLINK("http://www.twitter.com/nycoem/status/784384125260169216", "784384125260169216")</f>
        <v>0</v>
      </c>
      <c r="B98" s="2">
        <v>42650.5592939815</v>
      </c>
      <c r="C98">
        <v>17</v>
      </c>
      <c r="D98">
        <v>5</v>
      </c>
      <c r="E98" t="s">
        <v>100</v>
      </c>
    </row>
    <row r="99" spans="1:5">
      <c r="A99">
        <f>HYPERLINK("http://www.twitter.com/nycoem/status/784376885836906496", "784376885836906496")</f>
        <v>0</v>
      </c>
      <c r="B99" s="2">
        <v>42650.5393171296</v>
      </c>
      <c r="C99">
        <v>0</v>
      </c>
      <c r="D99">
        <v>45</v>
      </c>
      <c r="E99" t="s">
        <v>101</v>
      </c>
    </row>
    <row r="100" spans="1:5">
      <c r="A100">
        <f>HYPERLINK("http://www.twitter.com/nycoem/status/784059468640387073", "784059468640387073")</f>
        <v>0</v>
      </c>
      <c r="B100" s="2">
        <v>42649.6634143519</v>
      </c>
      <c r="C100">
        <v>1</v>
      </c>
      <c r="D100">
        <v>2</v>
      </c>
      <c r="E100" t="s">
        <v>102</v>
      </c>
    </row>
    <row r="101" spans="1:5">
      <c r="A101">
        <f>HYPERLINK("http://www.twitter.com/nycoem/status/784051334890807296", "784051334890807296")</f>
        <v>0</v>
      </c>
      <c r="B101" s="2">
        <v>42649.6409606481</v>
      </c>
      <c r="C101">
        <v>5</v>
      </c>
      <c r="D101">
        <v>5</v>
      </c>
      <c r="E101" t="s">
        <v>103</v>
      </c>
    </row>
    <row r="102" spans="1:5">
      <c r="A102">
        <f>HYPERLINK("http://www.twitter.com/nycoem/status/783837492743208960", "783837492743208960")</f>
        <v>0</v>
      </c>
      <c r="B102" s="2">
        <v>42649.0508680556</v>
      </c>
      <c r="C102">
        <v>0</v>
      </c>
      <c r="D102">
        <v>4</v>
      </c>
      <c r="E102" t="s">
        <v>104</v>
      </c>
    </row>
    <row r="103" spans="1:5">
      <c r="A103">
        <f>HYPERLINK("http://www.twitter.com/nycoem/status/783776439036502017", "783776439036502017")</f>
        <v>0</v>
      </c>
      <c r="B103" s="2">
        <v>42648.8823958333</v>
      </c>
      <c r="C103">
        <v>3</v>
      </c>
      <c r="D103">
        <v>6</v>
      </c>
      <c r="E103" t="s">
        <v>105</v>
      </c>
    </row>
    <row r="104" spans="1:5">
      <c r="A104">
        <f>HYPERLINK("http://www.twitter.com/nycoem/status/783688779571851264", "783688779571851264")</f>
        <v>0</v>
      </c>
      <c r="B104" s="2">
        <v>42648.6404976852</v>
      </c>
      <c r="C104">
        <v>0</v>
      </c>
      <c r="D104">
        <v>19</v>
      </c>
      <c r="E104" t="s">
        <v>106</v>
      </c>
    </row>
    <row r="105" spans="1:5">
      <c r="A105">
        <f>HYPERLINK("http://www.twitter.com/nycoem/status/783686017714880513", "783686017714880513")</f>
        <v>0</v>
      </c>
      <c r="B105" s="2">
        <v>42648.6328819444</v>
      </c>
      <c r="C105">
        <v>6</v>
      </c>
      <c r="D105">
        <v>7</v>
      </c>
      <c r="E105" t="s">
        <v>107</v>
      </c>
    </row>
    <row r="106" spans="1:5">
      <c r="A106">
        <f>HYPERLINK("http://www.twitter.com/nycoem/status/783314486107176960", "783314486107176960")</f>
        <v>0</v>
      </c>
      <c r="B106" s="2">
        <v>42647.607650463</v>
      </c>
      <c r="C106">
        <v>11</v>
      </c>
      <c r="D106">
        <v>10</v>
      </c>
      <c r="E106" t="s">
        <v>108</v>
      </c>
    </row>
    <row r="107" spans="1:5">
      <c r="A107">
        <f>HYPERLINK("http://www.twitter.com/nycoem/status/783017583897415686", "783017583897415686")</f>
        <v>0</v>
      </c>
      <c r="B107" s="2">
        <v>42646.7883564815</v>
      </c>
      <c r="C107">
        <v>11</v>
      </c>
      <c r="D107">
        <v>10</v>
      </c>
      <c r="E107" t="s">
        <v>109</v>
      </c>
    </row>
    <row r="108" spans="1:5">
      <c r="A108">
        <f>HYPERLINK("http://www.twitter.com/nycoem/status/782993960545480705", "782993960545480705")</f>
        <v>0</v>
      </c>
      <c r="B108" s="2">
        <v>42646.7231712963</v>
      </c>
      <c r="C108">
        <v>9</v>
      </c>
      <c r="D108">
        <v>5</v>
      </c>
      <c r="E108" t="s">
        <v>110</v>
      </c>
    </row>
    <row r="109" spans="1:5">
      <c r="A109">
        <f>HYPERLINK("http://www.twitter.com/nycoem/status/782948479723270144", "782948479723270144")</f>
        <v>0</v>
      </c>
      <c r="B109" s="2">
        <v>42646.597662037</v>
      </c>
      <c r="C109">
        <v>0</v>
      </c>
      <c r="D109">
        <v>212</v>
      </c>
      <c r="E109" t="s">
        <v>111</v>
      </c>
    </row>
    <row r="110" spans="1:5">
      <c r="A110">
        <f>HYPERLINK("http://www.twitter.com/nycoem/status/782930742380732416", "782930742380732416")</f>
        <v>0</v>
      </c>
      <c r="B110" s="2">
        <v>42646.5487152778</v>
      </c>
      <c r="C110">
        <v>6</v>
      </c>
      <c r="D110">
        <v>8</v>
      </c>
      <c r="E110" t="s">
        <v>112</v>
      </c>
    </row>
    <row r="111" spans="1:5">
      <c r="A111">
        <f>HYPERLINK("http://www.twitter.com/nycoem/status/782930037297340417", "782930037297340417")</f>
        <v>0</v>
      </c>
      <c r="B111" s="2">
        <v>42646.5467708333</v>
      </c>
      <c r="C111">
        <v>0</v>
      </c>
      <c r="D111">
        <v>27</v>
      </c>
      <c r="E111" t="s">
        <v>113</v>
      </c>
    </row>
    <row r="112" spans="1:5">
      <c r="A112">
        <f>HYPERLINK("http://www.twitter.com/nycoem/status/781930416529895424", "781930416529895424")</f>
        <v>0</v>
      </c>
      <c r="B112" s="2">
        <v>42643.7883449074</v>
      </c>
      <c r="C112">
        <v>7</v>
      </c>
      <c r="D112">
        <v>4</v>
      </c>
      <c r="E112" t="s">
        <v>114</v>
      </c>
    </row>
    <row r="113" spans="1:5">
      <c r="A113">
        <f>HYPERLINK("http://www.twitter.com/nycoem/status/781867453727051776", "781867453727051776")</f>
        <v>0</v>
      </c>
      <c r="B113" s="2">
        <v>42643.6146064815</v>
      </c>
      <c r="C113">
        <v>7</v>
      </c>
      <c r="D113">
        <v>8</v>
      </c>
      <c r="E113" t="s">
        <v>115</v>
      </c>
    </row>
    <row r="114" spans="1:5">
      <c r="A114">
        <f>HYPERLINK("http://www.twitter.com/nycoem/status/781848830815985664", "781848830815985664")</f>
        <v>0</v>
      </c>
      <c r="B114" s="2">
        <v>42643.5632060185</v>
      </c>
      <c r="C114">
        <v>2</v>
      </c>
      <c r="D114">
        <v>3</v>
      </c>
      <c r="E114" t="s">
        <v>116</v>
      </c>
    </row>
    <row r="115" spans="1:5">
      <c r="A115">
        <f>HYPERLINK("http://www.twitter.com/nycoem/status/781824248016998400", "781824248016998400")</f>
        <v>0</v>
      </c>
      <c r="B115" s="2">
        <v>42643.4953703704</v>
      </c>
      <c r="C115">
        <v>0</v>
      </c>
      <c r="D115">
        <v>32</v>
      </c>
      <c r="E115" t="s">
        <v>117</v>
      </c>
    </row>
    <row r="116" spans="1:5">
      <c r="A116">
        <f>HYPERLINK("http://www.twitter.com/nycoem/status/781636542393704448", "781636542393704448")</f>
        <v>0</v>
      </c>
      <c r="B116" s="2">
        <v>42642.9774074074</v>
      </c>
      <c r="C116">
        <v>4</v>
      </c>
      <c r="D116">
        <v>5</v>
      </c>
      <c r="E116" t="s">
        <v>118</v>
      </c>
    </row>
    <row r="117" spans="1:5">
      <c r="A117">
        <f>HYPERLINK("http://www.twitter.com/nycoem/status/781623942184366080", "781623942184366080")</f>
        <v>0</v>
      </c>
      <c r="B117" s="2">
        <v>42642.9426388889</v>
      </c>
      <c r="C117">
        <v>2</v>
      </c>
      <c r="D117">
        <v>1</v>
      </c>
      <c r="E117" t="s">
        <v>119</v>
      </c>
    </row>
    <row r="118" spans="1:5">
      <c r="A118">
        <f>HYPERLINK("http://www.twitter.com/nycoem/status/781615849299992576", "781615849299992576")</f>
        <v>0</v>
      </c>
      <c r="B118" s="2">
        <v>42642.9203009259</v>
      </c>
      <c r="C118">
        <v>1</v>
      </c>
      <c r="D118">
        <v>7</v>
      </c>
      <c r="E118" t="s">
        <v>120</v>
      </c>
    </row>
    <row r="119" spans="1:5">
      <c r="A119">
        <f>HYPERLINK("http://www.twitter.com/nycoem/status/781574102758912000", "781574102758912000")</f>
        <v>0</v>
      </c>
      <c r="B119" s="2">
        <v>42642.8051041667</v>
      </c>
      <c r="C119">
        <v>0</v>
      </c>
      <c r="D119">
        <v>34</v>
      </c>
      <c r="E119" t="s">
        <v>121</v>
      </c>
    </row>
    <row r="120" spans="1:5">
      <c r="A120">
        <f>HYPERLINK("http://www.twitter.com/nycoem/status/781550840209371136", "781550840209371136")</f>
        <v>0</v>
      </c>
      <c r="B120" s="2">
        <v>42642.7409143519</v>
      </c>
      <c r="C120">
        <v>0</v>
      </c>
      <c r="D120">
        <v>30</v>
      </c>
      <c r="E120" t="s">
        <v>122</v>
      </c>
    </row>
    <row r="121" spans="1:5">
      <c r="A121">
        <f>HYPERLINK("http://www.twitter.com/nycoem/status/781501692542156800", "781501692542156800")</f>
        <v>0</v>
      </c>
      <c r="B121" s="2">
        <v>42642.6052893518</v>
      </c>
      <c r="C121">
        <v>0</v>
      </c>
      <c r="D121">
        <v>221</v>
      </c>
      <c r="E121" t="s">
        <v>123</v>
      </c>
    </row>
    <row r="122" spans="1:5">
      <c r="A122">
        <f>HYPERLINK("http://www.twitter.com/nycoem/status/781465694407954432", "781465694407954432")</f>
        <v>0</v>
      </c>
      <c r="B122" s="2">
        <v>42642.5059606481</v>
      </c>
      <c r="C122">
        <v>0</v>
      </c>
      <c r="D122">
        <v>17</v>
      </c>
      <c r="E122" t="s">
        <v>124</v>
      </c>
    </row>
    <row r="123" spans="1:5">
      <c r="A123">
        <f>HYPERLINK("http://www.twitter.com/nycoem/status/781208370380406784", "781208370380406784")</f>
        <v>0</v>
      </c>
      <c r="B123" s="2">
        <v>42641.7958796296</v>
      </c>
      <c r="C123">
        <v>16</v>
      </c>
      <c r="D123">
        <v>7</v>
      </c>
      <c r="E123" t="s">
        <v>125</v>
      </c>
    </row>
    <row r="124" spans="1:5">
      <c r="A124">
        <f>HYPERLINK("http://www.twitter.com/nycoem/status/781185504742113280", "781185504742113280")</f>
        <v>0</v>
      </c>
      <c r="B124" s="2">
        <v>42641.7327777778</v>
      </c>
      <c r="C124">
        <v>14</v>
      </c>
      <c r="D124">
        <v>12</v>
      </c>
      <c r="E124" t="s">
        <v>126</v>
      </c>
    </row>
    <row r="125" spans="1:5">
      <c r="A125">
        <f>HYPERLINK("http://www.twitter.com/nycoem/status/781135412597231616", "781135412597231616")</f>
        <v>0</v>
      </c>
      <c r="B125" s="2">
        <v>42641.5945486111</v>
      </c>
      <c r="C125">
        <v>0</v>
      </c>
      <c r="D125">
        <v>24</v>
      </c>
      <c r="E125" t="s">
        <v>127</v>
      </c>
    </row>
    <row r="126" spans="1:5">
      <c r="A126">
        <f>HYPERLINK("http://www.twitter.com/nycoem/status/781125790436061184", "781125790436061184")</f>
        <v>0</v>
      </c>
      <c r="B126" s="2">
        <v>42641.5679976852</v>
      </c>
      <c r="C126">
        <v>2</v>
      </c>
      <c r="D126">
        <v>5</v>
      </c>
      <c r="E126" t="s">
        <v>128</v>
      </c>
    </row>
    <row r="127" spans="1:5">
      <c r="A127">
        <f>HYPERLINK("http://www.twitter.com/nycoem/status/781116809516838912", "781116809516838912")</f>
        <v>0</v>
      </c>
      <c r="B127" s="2">
        <v>42641.5432175926</v>
      </c>
      <c r="C127">
        <v>0</v>
      </c>
      <c r="D127">
        <v>103</v>
      </c>
      <c r="E127" t="s">
        <v>129</v>
      </c>
    </row>
    <row r="128" spans="1:5">
      <c r="A128">
        <f>HYPERLINK("http://www.twitter.com/nycoem/status/780834304670756865", "780834304670756865")</f>
        <v>0</v>
      </c>
      <c r="B128" s="2">
        <v>42640.7636574074</v>
      </c>
      <c r="C128">
        <v>22</v>
      </c>
      <c r="D128">
        <v>7</v>
      </c>
      <c r="E128" t="s">
        <v>130</v>
      </c>
    </row>
    <row r="129" spans="1:5">
      <c r="A129">
        <f>HYPERLINK("http://www.twitter.com/nycoem/status/780814544272842752", "780814544272842752")</f>
        <v>0</v>
      </c>
      <c r="B129" s="2">
        <v>42640.7091203704</v>
      </c>
      <c r="C129">
        <v>0</v>
      </c>
      <c r="D129">
        <v>21</v>
      </c>
      <c r="E129" t="s">
        <v>131</v>
      </c>
    </row>
    <row r="130" spans="1:5">
      <c r="A130">
        <f>HYPERLINK("http://www.twitter.com/nycoem/status/780783289506402304", "780783289506402304")</f>
        <v>0</v>
      </c>
      <c r="B130" s="2">
        <v>42640.6228819444</v>
      </c>
      <c r="C130">
        <v>0</v>
      </c>
      <c r="D130">
        <v>22</v>
      </c>
      <c r="E130" t="s">
        <v>132</v>
      </c>
    </row>
    <row r="131" spans="1:5">
      <c r="A131">
        <f>HYPERLINK("http://www.twitter.com/nycoem/status/780757712787345408", "780757712787345408")</f>
        <v>0</v>
      </c>
      <c r="B131" s="2">
        <v>42640.5523032407</v>
      </c>
      <c r="C131">
        <v>7</v>
      </c>
      <c r="D131">
        <v>7</v>
      </c>
      <c r="E131" t="s">
        <v>133</v>
      </c>
    </row>
    <row r="132" spans="1:5">
      <c r="A132">
        <f>HYPERLINK("http://www.twitter.com/nycoem/status/780438149554139136", "780438149554139136")</f>
        <v>0</v>
      </c>
      <c r="B132" s="2">
        <v>42639.670474537</v>
      </c>
      <c r="C132">
        <v>1</v>
      </c>
      <c r="D132">
        <v>4</v>
      </c>
      <c r="E132" t="s">
        <v>134</v>
      </c>
    </row>
    <row r="133" spans="1:5">
      <c r="A133">
        <f>HYPERLINK("http://www.twitter.com/nycoem/status/780392773023330304", "780392773023330304")</f>
        <v>0</v>
      </c>
      <c r="B133" s="2">
        <v>42639.5452546296</v>
      </c>
      <c r="C133">
        <v>7</v>
      </c>
      <c r="D133">
        <v>6</v>
      </c>
      <c r="E133" t="s">
        <v>135</v>
      </c>
    </row>
    <row r="134" spans="1:5">
      <c r="A134">
        <f>HYPERLINK("http://www.twitter.com/nycoem/status/780097235199688704", "780097235199688704")</f>
        <v>0</v>
      </c>
      <c r="B134" s="2">
        <v>42638.7297337963</v>
      </c>
      <c r="C134">
        <v>6</v>
      </c>
      <c r="D134">
        <v>10</v>
      </c>
      <c r="E134" t="s">
        <v>136</v>
      </c>
    </row>
    <row r="135" spans="1:5">
      <c r="A135">
        <f>HYPERLINK("http://www.twitter.com/nycoem/status/779734817961283585", "779734817961283585")</f>
        <v>0</v>
      </c>
      <c r="B135" s="2">
        <v>42637.7296527778</v>
      </c>
      <c r="C135">
        <v>1</v>
      </c>
      <c r="D135">
        <v>1</v>
      </c>
      <c r="E135" t="s">
        <v>137</v>
      </c>
    </row>
    <row r="136" spans="1:5">
      <c r="A136">
        <f>HYPERLINK("http://www.twitter.com/nycoem/status/779438986993500160", "779438986993500160")</f>
        <v>0</v>
      </c>
      <c r="B136" s="2">
        <v>42636.9133101852</v>
      </c>
      <c r="C136">
        <v>14</v>
      </c>
      <c r="D136">
        <v>11</v>
      </c>
      <c r="E136" t="s">
        <v>138</v>
      </c>
    </row>
    <row r="137" spans="1:5">
      <c r="A137">
        <f>HYPERLINK("http://www.twitter.com/nycoem/status/779345946035511296", "779345946035511296")</f>
        <v>0</v>
      </c>
      <c r="B137" s="2">
        <v>42636.6565625</v>
      </c>
      <c r="C137">
        <v>12</v>
      </c>
      <c r="D137">
        <v>6</v>
      </c>
      <c r="E137" t="s">
        <v>139</v>
      </c>
    </row>
    <row r="138" spans="1:5">
      <c r="A138">
        <f>HYPERLINK("http://www.twitter.com/nycoem/status/779304850412699648", "779304850412699648")</f>
        <v>0</v>
      </c>
      <c r="B138" s="2">
        <v>42636.5431597222</v>
      </c>
      <c r="C138">
        <v>7</v>
      </c>
      <c r="D138">
        <v>4</v>
      </c>
      <c r="E138" t="s">
        <v>140</v>
      </c>
    </row>
    <row r="139" spans="1:5">
      <c r="A139">
        <f>HYPERLINK("http://www.twitter.com/nycoem/status/779075364022878208", "779075364022878208")</f>
        <v>0</v>
      </c>
      <c r="B139" s="2">
        <v>42635.9098958333</v>
      </c>
      <c r="C139">
        <v>5</v>
      </c>
      <c r="D139">
        <v>5</v>
      </c>
      <c r="E139" t="s">
        <v>141</v>
      </c>
    </row>
    <row r="140" spans="1:5">
      <c r="A140">
        <f>HYPERLINK("http://www.twitter.com/nycoem/status/779033913335353344", "779033913335353344")</f>
        <v>0</v>
      </c>
      <c r="B140" s="2">
        <v>42635.7955208333</v>
      </c>
      <c r="C140">
        <v>1</v>
      </c>
      <c r="D140">
        <v>1</v>
      </c>
      <c r="E140" t="s">
        <v>142</v>
      </c>
    </row>
    <row r="141" spans="1:5">
      <c r="A141">
        <f>HYPERLINK("http://www.twitter.com/nycoem/status/778989792012935168", "778989792012935168")</f>
        <v>0</v>
      </c>
      <c r="B141" s="2">
        <v>42635.6737731481</v>
      </c>
      <c r="C141">
        <v>8</v>
      </c>
      <c r="D141">
        <v>10</v>
      </c>
      <c r="E141" t="s">
        <v>143</v>
      </c>
    </row>
    <row r="142" spans="1:5">
      <c r="A142">
        <f>HYPERLINK("http://www.twitter.com/nycoem/status/778949696597454852", "778949696597454852")</f>
        <v>0</v>
      </c>
      <c r="B142" s="2">
        <v>42635.563125</v>
      </c>
      <c r="C142">
        <v>3</v>
      </c>
      <c r="D142">
        <v>5</v>
      </c>
      <c r="E142" t="s">
        <v>144</v>
      </c>
    </row>
    <row r="143" spans="1:5">
      <c r="A143">
        <f>HYPERLINK("http://www.twitter.com/nycoem/status/778734349474603008", "778734349474603008")</f>
        <v>0</v>
      </c>
      <c r="B143" s="2">
        <v>42634.9688773148</v>
      </c>
      <c r="C143">
        <v>0</v>
      </c>
      <c r="D143">
        <v>6</v>
      </c>
      <c r="E143" t="s">
        <v>145</v>
      </c>
    </row>
    <row r="144" spans="1:5">
      <c r="A144">
        <f>HYPERLINK("http://www.twitter.com/nycoem/status/778671460802039808", "778671460802039808")</f>
        <v>0</v>
      </c>
      <c r="B144" s="2">
        <v>42634.7953356481</v>
      </c>
      <c r="C144">
        <v>7</v>
      </c>
      <c r="D144">
        <v>11</v>
      </c>
      <c r="E144" t="s">
        <v>146</v>
      </c>
    </row>
    <row r="145" spans="1:5">
      <c r="A145">
        <f>HYPERLINK("http://www.twitter.com/nycoem/status/778627444672716800", "778627444672716800")</f>
        <v>0</v>
      </c>
      <c r="B145" s="2">
        <v>42634.6738773148</v>
      </c>
      <c r="C145">
        <v>6</v>
      </c>
      <c r="D145">
        <v>9</v>
      </c>
      <c r="E145" t="s">
        <v>147</v>
      </c>
    </row>
    <row r="146" spans="1:5">
      <c r="A146">
        <f>HYPERLINK("http://www.twitter.com/nycoem/status/778557288252661760", "778557288252661760")</f>
        <v>0</v>
      </c>
      <c r="B146" s="2">
        <v>42634.4802893518</v>
      </c>
      <c r="C146">
        <v>0</v>
      </c>
      <c r="D146">
        <v>3</v>
      </c>
      <c r="E146" t="s">
        <v>148</v>
      </c>
    </row>
    <row r="147" spans="1:5">
      <c r="A147">
        <f>HYPERLINK("http://www.twitter.com/nycoem/status/778334295094095872", "778334295094095872")</f>
        <v>0</v>
      </c>
      <c r="B147" s="2">
        <v>42633.8649421296</v>
      </c>
      <c r="C147">
        <v>0</v>
      </c>
      <c r="D147">
        <v>15</v>
      </c>
      <c r="E147" t="s">
        <v>149</v>
      </c>
    </row>
    <row r="148" spans="1:5">
      <c r="A148">
        <f>HYPERLINK("http://www.twitter.com/nycoem/status/778296512170319873", "778296512170319873")</f>
        <v>0</v>
      </c>
      <c r="B148" s="2">
        <v>42633.7606828704</v>
      </c>
      <c r="C148">
        <v>9</v>
      </c>
      <c r="D148">
        <v>9</v>
      </c>
      <c r="E148" t="s">
        <v>150</v>
      </c>
    </row>
    <row r="149" spans="1:5">
      <c r="A149">
        <f>HYPERLINK("http://www.twitter.com/nycoem/status/778260081439830016", "778260081439830016")</f>
        <v>0</v>
      </c>
      <c r="B149" s="2">
        <v>42633.660150463</v>
      </c>
      <c r="C149">
        <v>2</v>
      </c>
      <c r="D149">
        <v>3</v>
      </c>
      <c r="E149" t="s">
        <v>151</v>
      </c>
    </row>
    <row r="150" spans="1:5">
      <c r="A150">
        <f>HYPERLINK("http://www.twitter.com/nycoem/status/778039416245878784", "778039416245878784")</f>
        <v>0</v>
      </c>
      <c r="B150" s="2">
        <v>42633.0512268519</v>
      </c>
      <c r="C150">
        <v>0</v>
      </c>
      <c r="D150">
        <v>57</v>
      </c>
      <c r="E150" t="s">
        <v>152</v>
      </c>
    </row>
    <row r="151" spans="1:5">
      <c r="A151">
        <f>HYPERLINK("http://www.twitter.com/nycoem/status/777926401039167488", "777926401039167488")</f>
        <v>0</v>
      </c>
      <c r="B151" s="2">
        <v>42632.7393634259</v>
      </c>
      <c r="C151">
        <v>0</v>
      </c>
      <c r="D151">
        <v>81</v>
      </c>
      <c r="E151" t="s">
        <v>153</v>
      </c>
    </row>
    <row r="152" spans="1:5">
      <c r="A152">
        <f>HYPERLINK("http://www.twitter.com/nycoem/status/777926063066378240", "777926063066378240")</f>
        <v>0</v>
      </c>
      <c r="B152" s="2">
        <v>42632.7384375</v>
      </c>
      <c r="C152">
        <v>0</v>
      </c>
      <c r="D152">
        <v>58</v>
      </c>
      <c r="E152" t="s">
        <v>154</v>
      </c>
    </row>
    <row r="153" spans="1:5">
      <c r="A153">
        <f>HYPERLINK("http://www.twitter.com/nycoem/status/777924017454022657", "777924017454022657")</f>
        <v>0</v>
      </c>
      <c r="B153" s="2">
        <v>42632.7327893519</v>
      </c>
      <c r="C153">
        <v>0</v>
      </c>
      <c r="D153">
        <v>80</v>
      </c>
      <c r="E153" t="s">
        <v>155</v>
      </c>
    </row>
    <row r="154" spans="1:5">
      <c r="A154">
        <f>HYPERLINK("http://www.twitter.com/nycoem/status/777923651890970625", "777923651890970625")</f>
        <v>0</v>
      </c>
      <c r="B154" s="2">
        <v>42632.7317824074</v>
      </c>
      <c r="C154">
        <v>0</v>
      </c>
      <c r="D154">
        <v>32</v>
      </c>
      <c r="E154" t="s">
        <v>156</v>
      </c>
    </row>
    <row r="155" spans="1:5">
      <c r="A155">
        <f>HYPERLINK("http://www.twitter.com/nycoem/status/777923142044028928", "777923142044028928")</f>
        <v>0</v>
      </c>
      <c r="B155" s="2">
        <v>42632.7303703704</v>
      </c>
      <c r="C155">
        <v>0</v>
      </c>
      <c r="D155">
        <v>56</v>
      </c>
      <c r="E155" t="s">
        <v>157</v>
      </c>
    </row>
    <row r="156" spans="1:5">
      <c r="A156">
        <f>HYPERLINK("http://www.twitter.com/nycoem/status/777923086666571776", "777923086666571776")</f>
        <v>0</v>
      </c>
      <c r="B156" s="2">
        <v>42632.7302199074</v>
      </c>
      <c r="C156">
        <v>0</v>
      </c>
      <c r="D156">
        <v>489</v>
      </c>
      <c r="E156" t="s">
        <v>158</v>
      </c>
    </row>
    <row r="157" spans="1:5">
      <c r="A157">
        <f>HYPERLINK("http://www.twitter.com/nycoem/status/777923068849164289", "777923068849164289")</f>
        <v>0</v>
      </c>
      <c r="B157" s="2">
        <v>42632.7301736111</v>
      </c>
      <c r="C157">
        <v>0</v>
      </c>
      <c r="D157">
        <v>54</v>
      </c>
      <c r="E157" t="s">
        <v>159</v>
      </c>
    </row>
    <row r="158" spans="1:5">
      <c r="A158">
        <f>HYPERLINK("http://www.twitter.com/nycoem/status/777886747107684352", "777886747107684352")</f>
        <v>0</v>
      </c>
      <c r="B158" s="2">
        <v>42632.6299421296</v>
      </c>
      <c r="C158">
        <v>0</v>
      </c>
      <c r="D158">
        <v>61</v>
      </c>
      <c r="E158" t="s">
        <v>160</v>
      </c>
    </row>
    <row r="159" spans="1:5">
      <c r="A159">
        <f>HYPERLINK("http://www.twitter.com/nycoem/status/777867060919533568", "777867060919533568")</f>
        <v>0</v>
      </c>
      <c r="B159" s="2">
        <v>42632.575625</v>
      </c>
      <c r="C159">
        <v>0</v>
      </c>
      <c r="D159">
        <v>73</v>
      </c>
      <c r="E159" t="s">
        <v>161</v>
      </c>
    </row>
    <row r="160" spans="1:5">
      <c r="A160">
        <f>HYPERLINK("http://www.twitter.com/nycoem/status/777839370883727360", "777839370883727360")</f>
        <v>0</v>
      </c>
      <c r="B160" s="2">
        <v>42632.499212963</v>
      </c>
      <c r="C160">
        <v>0</v>
      </c>
      <c r="D160">
        <v>1053</v>
      </c>
      <c r="E160" t="s">
        <v>162</v>
      </c>
    </row>
    <row r="161" spans="1:5">
      <c r="A161">
        <f>HYPERLINK("http://www.twitter.com/nycoem/status/777825419307483137", "777825419307483137")</f>
        <v>0</v>
      </c>
      <c r="B161" s="2">
        <v>42632.4607060185</v>
      </c>
      <c r="C161">
        <v>0</v>
      </c>
      <c r="D161">
        <v>33</v>
      </c>
      <c r="E161" t="s">
        <v>163</v>
      </c>
    </row>
    <row r="162" spans="1:5">
      <c r="A162">
        <f>HYPERLINK("http://www.twitter.com/nycoem/status/777676081734221824", "777676081734221824")</f>
        <v>0</v>
      </c>
      <c r="B162" s="2">
        <v>42632.0486226852</v>
      </c>
      <c r="C162">
        <v>0</v>
      </c>
      <c r="D162">
        <v>33</v>
      </c>
      <c r="E162" t="s">
        <v>164</v>
      </c>
    </row>
    <row r="163" spans="1:5">
      <c r="A163">
        <f>HYPERLINK("http://www.twitter.com/nycoem/status/777657639840976897", "777657639840976897")</f>
        <v>0</v>
      </c>
      <c r="B163" s="2">
        <v>42631.9977314815</v>
      </c>
      <c r="C163">
        <v>0</v>
      </c>
      <c r="D163">
        <v>50</v>
      </c>
      <c r="E163" t="s">
        <v>165</v>
      </c>
    </row>
    <row r="164" spans="1:5">
      <c r="A164">
        <f>HYPERLINK("http://www.twitter.com/nycoem/status/777657586988515328", "777657586988515328")</f>
        <v>0</v>
      </c>
      <c r="B164" s="2">
        <v>42631.9975810185</v>
      </c>
      <c r="C164">
        <v>0</v>
      </c>
      <c r="D164">
        <v>25</v>
      </c>
      <c r="E164" t="s">
        <v>166</v>
      </c>
    </row>
    <row r="165" spans="1:5">
      <c r="A165">
        <f>HYPERLINK("http://www.twitter.com/nycoem/status/777640905952092160", "777640905952092160")</f>
        <v>0</v>
      </c>
      <c r="B165" s="2">
        <v>42631.9515509259</v>
      </c>
      <c r="C165">
        <v>0</v>
      </c>
      <c r="D165">
        <v>24</v>
      </c>
      <c r="E165" t="s">
        <v>167</v>
      </c>
    </row>
    <row r="166" spans="1:5">
      <c r="A166">
        <f>HYPERLINK("http://www.twitter.com/nycoem/status/777626148201201665", "777626148201201665")</f>
        <v>0</v>
      </c>
      <c r="B166" s="2">
        <v>42631.9108217593</v>
      </c>
      <c r="C166">
        <v>0</v>
      </c>
      <c r="D166">
        <v>48</v>
      </c>
      <c r="E166" t="s">
        <v>168</v>
      </c>
    </row>
    <row r="167" spans="1:5">
      <c r="A167">
        <f>HYPERLINK("http://www.twitter.com/nycoem/status/777608455163109376", "777608455163109376")</f>
        <v>0</v>
      </c>
      <c r="B167" s="2">
        <v>42631.8620023148</v>
      </c>
      <c r="C167">
        <v>0</v>
      </c>
      <c r="D167">
        <v>63</v>
      </c>
      <c r="E167" t="s">
        <v>169</v>
      </c>
    </row>
    <row r="168" spans="1:5">
      <c r="A168">
        <f>HYPERLINK("http://www.twitter.com/nycoem/status/777582672612818944", "777582672612818944")</f>
        <v>0</v>
      </c>
      <c r="B168" s="2">
        <v>42631.7908564815</v>
      </c>
      <c r="C168">
        <v>0</v>
      </c>
      <c r="D168">
        <v>187</v>
      </c>
      <c r="E168" t="s">
        <v>170</v>
      </c>
    </row>
    <row r="169" spans="1:5">
      <c r="A169">
        <f>HYPERLINK("http://www.twitter.com/nycoem/status/777542780549726208", "777542780549726208")</f>
        <v>0</v>
      </c>
      <c r="B169" s="2">
        <v>42631.680775463</v>
      </c>
      <c r="C169">
        <v>0</v>
      </c>
      <c r="D169">
        <v>41</v>
      </c>
      <c r="E169" t="s">
        <v>171</v>
      </c>
    </row>
    <row r="170" spans="1:5">
      <c r="A170">
        <f>HYPERLINK("http://www.twitter.com/nycoem/status/777540651198078977", "777540651198078977")</f>
        <v>0</v>
      </c>
      <c r="B170" s="2">
        <v>42631.6748958333</v>
      </c>
      <c r="C170">
        <v>0</v>
      </c>
      <c r="D170">
        <v>67</v>
      </c>
      <c r="E170" t="s">
        <v>172</v>
      </c>
    </row>
    <row r="171" spans="1:5">
      <c r="A171">
        <f>HYPERLINK("http://www.twitter.com/nycoem/status/777460525349437440", "777460525349437440")</f>
        <v>0</v>
      </c>
      <c r="B171" s="2">
        <v>42631.4537962963</v>
      </c>
      <c r="C171">
        <v>15</v>
      </c>
      <c r="D171">
        <v>24</v>
      </c>
      <c r="E171" t="s">
        <v>173</v>
      </c>
    </row>
    <row r="172" spans="1:5">
      <c r="A172">
        <f>HYPERLINK("http://www.twitter.com/nycoem/status/777459571023552512", "777459571023552512")</f>
        <v>0</v>
      </c>
      <c r="B172" s="2">
        <v>42631.4511574074</v>
      </c>
      <c r="C172">
        <v>0</v>
      </c>
      <c r="D172">
        <v>1792</v>
      </c>
      <c r="E172" t="s">
        <v>174</v>
      </c>
    </row>
    <row r="173" spans="1:5">
      <c r="A173">
        <f>HYPERLINK("http://www.twitter.com/nycoem/status/777459509010784256", "777459509010784256")</f>
        <v>0</v>
      </c>
      <c r="B173" s="2">
        <v>42631.4509953704</v>
      </c>
      <c r="C173">
        <v>0</v>
      </c>
      <c r="D173">
        <v>86</v>
      </c>
      <c r="E173" t="s">
        <v>175</v>
      </c>
    </row>
    <row r="174" spans="1:5">
      <c r="A174">
        <f>HYPERLINK("http://www.twitter.com/nycoem/status/777459031636082688", "777459031636082688")</f>
        <v>0</v>
      </c>
      <c r="B174" s="2">
        <v>42631.4496759259</v>
      </c>
      <c r="C174">
        <v>8</v>
      </c>
      <c r="D174">
        <v>15</v>
      </c>
      <c r="E174" t="s">
        <v>176</v>
      </c>
    </row>
    <row r="175" spans="1:5">
      <c r="A175">
        <f>HYPERLINK("http://www.twitter.com/nycoem/status/777368175327469568", "777368175327469568")</f>
        <v>0</v>
      </c>
      <c r="B175" s="2">
        <v>42631.1989583333</v>
      </c>
      <c r="C175">
        <v>0</v>
      </c>
      <c r="D175">
        <v>221</v>
      </c>
      <c r="E175" t="s">
        <v>177</v>
      </c>
    </row>
    <row r="176" spans="1:5">
      <c r="A176">
        <f>HYPERLINK("http://www.twitter.com/nycoem/status/777348095017422849", "777348095017422849")</f>
        <v>0</v>
      </c>
      <c r="B176" s="2">
        <v>42631.1435416667</v>
      </c>
      <c r="C176">
        <v>0</v>
      </c>
      <c r="D176">
        <v>61</v>
      </c>
      <c r="E176" t="s">
        <v>178</v>
      </c>
    </row>
    <row r="177" spans="1:5">
      <c r="A177">
        <f>HYPERLINK("http://www.twitter.com/nycoem/status/777348085198520320", "777348085198520320")</f>
        <v>0</v>
      </c>
      <c r="B177" s="2">
        <v>42631.1435185185</v>
      </c>
      <c r="C177">
        <v>0</v>
      </c>
      <c r="D177">
        <v>70</v>
      </c>
      <c r="E177" t="s">
        <v>179</v>
      </c>
    </row>
    <row r="178" spans="1:5">
      <c r="A178">
        <f>HYPERLINK("http://www.twitter.com/nycoem/status/777345701676216320", "777345701676216320")</f>
        <v>0</v>
      </c>
      <c r="B178" s="2">
        <v>42631.1369444444</v>
      </c>
      <c r="C178">
        <v>0</v>
      </c>
      <c r="D178">
        <v>56</v>
      </c>
      <c r="E178" t="s">
        <v>180</v>
      </c>
    </row>
    <row r="179" spans="1:5">
      <c r="A179">
        <f>HYPERLINK("http://www.twitter.com/nycoem/status/777344192527921152", "777344192527921152")</f>
        <v>0</v>
      </c>
      <c r="B179" s="2">
        <v>42631.1327777778</v>
      </c>
      <c r="C179">
        <v>0</v>
      </c>
      <c r="D179">
        <v>102</v>
      </c>
      <c r="E179" t="s">
        <v>181</v>
      </c>
    </row>
    <row r="180" spans="1:5">
      <c r="A180">
        <f>HYPERLINK("http://www.twitter.com/nycoem/status/777165226127069184", "777165226127069184")</f>
        <v>0</v>
      </c>
      <c r="B180" s="2">
        <v>42630.6389236111</v>
      </c>
      <c r="C180">
        <v>18</v>
      </c>
      <c r="D180">
        <v>19</v>
      </c>
      <c r="E180" t="s">
        <v>182</v>
      </c>
    </row>
    <row r="181" spans="1:5">
      <c r="A181">
        <f>HYPERLINK("http://www.twitter.com/nycoem/status/776816760360140801", "776816760360140801")</f>
        <v>0</v>
      </c>
      <c r="B181" s="2">
        <v>42629.677337963</v>
      </c>
      <c r="C181">
        <v>1</v>
      </c>
      <c r="D181">
        <v>2</v>
      </c>
      <c r="E181" t="s">
        <v>183</v>
      </c>
    </row>
    <row r="182" spans="1:5">
      <c r="A182">
        <f>HYPERLINK("http://www.twitter.com/nycoem/status/776785130451066880", "776785130451066880")</f>
        <v>0</v>
      </c>
      <c r="B182" s="2">
        <v>42629.5900578704</v>
      </c>
      <c r="C182">
        <v>3</v>
      </c>
      <c r="D182">
        <v>4</v>
      </c>
      <c r="E182" t="s">
        <v>184</v>
      </c>
    </row>
    <row r="183" spans="1:5">
      <c r="A183">
        <f>HYPERLINK("http://www.twitter.com/nycoem/status/776541185712283649", "776541185712283649")</f>
        <v>0</v>
      </c>
      <c r="B183" s="2">
        <v>42628.9168981481</v>
      </c>
      <c r="C183">
        <v>3</v>
      </c>
      <c r="D183">
        <v>2</v>
      </c>
      <c r="E183" t="s">
        <v>185</v>
      </c>
    </row>
    <row r="184" spans="1:5">
      <c r="A184">
        <f>HYPERLINK("http://www.twitter.com/nycoem/status/776461948493950976", "776461948493950976")</f>
        <v>0</v>
      </c>
      <c r="B184" s="2">
        <v>42628.6982523148</v>
      </c>
      <c r="C184">
        <v>0</v>
      </c>
      <c r="D184">
        <v>13</v>
      </c>
      <c r="E184" t="s">
        <v>186</v>
      </c>
    </row>
    <row r="185" spans="1:5">
      <c r="A185">
        <f>HYPERLINK("http://www.twitter.com/nycoem/status/776419074100367360", "776419074100367360")</f>
        <v>0</v>
      </c>
      <c r="B185" s="2">
        <v>42628.5799421296</v>
      </c>
      <c r="C185">
        <v>2</v>
      </c>
      <c r="D185">
        <v>2</v>
      </c>
      <c r="E185" t="s">
        <v>187</v>
      </c>
    </row>
    <row r="186" spans="1:5">
      <c r="A186">
        <f>HYPERLINK("http://www.twitter.com/nycoem/status/776405670631440384", "776405670631440384")</f>
        <v>0</v>
      </c>
      <c r="B186" s="2">
        <v>42628.5429513889</v>
      </c>
      <c r="C186">
        <v>2</v>
      </c>
      <c r="D186">
        <v>0</v>
      </c>
      <c r="E186" t="s">
        <v>188</v>
      </c>
    </row>
    <row r="187" spans="1:5">
      <c r="A187">
        <f>HYPERLINK("http://www.twitter.com/nycoem/status/776180010365386752", "776180010365386752")</f>
        <v>0</v>
      </c>
      <c r="B187" s="2">
        <v>42627.9202430556</v>
      </c>
      <c r="C187">
        <v>5</v>
      </c>
      <c r="D187">
        <v>9</v>
      </c>
      <c r="E187" t="s">
        <v>189</v>
      </c>
    </row>
    <row r="188" spans="1:5">
      <c r="A188">
        <f>HYPERLINK("http://www.twitter.com/nycoem/status/776132166933737473", "776132166933737473")</f>
        <v>0</v>
      </c>
      <c r="B188" s="2">
        <v>42627.7882291667</v>
      </c>
      <c r="C188">
        <v>1</v>
      </c>
      <c r="D188">
        <v>2</v>
      </c>
      <c r="E188" t="s">
        <v>190</v>
      </c>
    </row>
    <row r="189" spans="1:5">
      <c r="A189">
        <f>HYPERLINK("http://www.twitter.com/nycoem/status/776094045902823424", "776094045902823424")</f>
        <v>0</v>
      </c>
      <c r="B189" s="2">
        <v>42627.6830324074</v>
      </c>
      <c r="C189">
        <v>18</v>
      </c>
      <c r="D189">
        <v>12</v>
      </c>
      <c r="E189" t="s">
        <v>191</v>
      </c>
    </row>
    <row r="190" spans="1:5">
      <c r="A190">
        <f>HYPERLINK("http://www.twitter.com/nycoem/status/776045376814145536", "776045376814145536")</f>
        <v>0</v>
      </c>
      <c r="B190" s="2">
        <v>42627.5487268519</v>
      </c>
      <c r="C190">
        <v>7</v>
      </c>
      <c r="D190">
        <v>9</v>
      </c>
      <c r="E190" t="s">
        <v>192</v>
      </c>
    </row>
    <row r="191" spans="1:5">
      <c r="A191">
        <f>HYPERLINK("http://www.twitter.com/nycoem/status/776040875428282368", "776040875428282368")</f>
        <v>0</v>
      </c>
      <c r="B191" s="2">
        <v>42627.5363078704</v>
      </c>
      <c r="C191">
        <v>3</v>
      </c>
      <c r="D191">
        <v>5</v>
      </c>
      <c r="E191" t="s">
        <v>193</v>
      </c>
    </row>
    <row r="192" spans="1:5">
      <c r="A192">
        <f>HYPERLINK("http://www.twitter.com/nycoem/status/775769470203785216", "775769470203785216")</f>
        <v>0</v>
      </c>
      <c r="B192" s="2">
        <v>42626.7873726852</v>
      </c>
      <c r="C192">
        <v>8</v>
      </c>
      <c r="D192">
        <v>10</v>
      </c>
      <c r="E192" t="s">
        <v>194</v>
      </c>
    </row>
    <row r="193" spans="1:5">
      <c r="A193">
        <f>HYPERLINK("http://www.twitter.com/nycoem/status/775728370722172928", "775728370722172928")</f>
        <v>0</v>
      </c>
      <c r="B193" s="2">
        <v>42626.6739583333</v>
      </c>
      <c r="C193">
        <v>8</v>
      </c>
      <c r="D193">
        <v>13</v>
      </c>
      <c r="E193" t="s">
        <v>195</v>
      </c>
    </row>
    <row r="194" spans="1:5">
      <c r="A194">
        <f>HYPERLINK("http://www.twitter.com/nycoem/status/775675958670028800", "775675958670028800")</f>
        <v>0</v>
      </c>
      <c r="B194" s="2">
        <v>42626.5293287037</v>
      </c>
      <c r="C194">
        <v>5</v>
      </c>
      <c r="D194">
        <v>3</v>
      </c>
      <c r="E194" t="s">
        <v>196</v>
      </c>
    </row>
    <row r="195" spans="1:5">
      <c r="A195">
        <f>HYPERLINK("http://www.twitter.com/nycoem/status/775407469401149440", "775407469401149440")</f>
        <v>0</v>
      </c>
      <c r="B195" s="2">
        <v>42625.7884375</v>
      </c>
      <c r="C195">
        <v>8</v>
      </c>
      <c r="D195">
        <v>8</v>
      </c>
      <c r="E195" t="s">
        <v>197</v>
      </c>
    </row>
    <row r="196" spans="1:5">
      <c r="A196">
        <f>HYPERLINK("http://www.twitter.com/nycoem/status/775385742491222016", "775385742491222016")</f>
        <v>0</v>
      </c>
      <c r="B196" s="2">
        <v>42625.7284837963</v>
      </c>
      <c r="C196">
        <v>0</v>
      </c>
      <c r="D196">
        <v>11</v>
      </c>
      <c r="E196" t="s">
        <v>198</v>
      </c>
    </row>
    <row r="197" spans="1:5">
      <c r="A197">
        <f>HYPERLINK("http://www.twitter.com/nycoem/status/775359652947169281", "775359652947169281")</f>
        <v>0</v>
      </c>
      <c r="B197" s="2">
        <v>42625.6564930556</v>
      </c>
      <c r="C197">
        <v>4</v>
      </c>
      <c r="D197">
        <v>10</v>
      </c>
      <c r="E197" t="s">
        <v>199</v>
      </c>
    </row>
    <row r="198" spans="1:5">
      <c r="A198">
        <f>HYPERLINK("http://www.twitter.com/nycoem/status/775319337519513600", "775319337519513600")</f>
        <v>0</v>
      </c>
      <c r="B198" s="2">
        <v>42625.5452430556</v>
      </c>
      <c r="C198">
        <v>0</v>
      </c>
      <c r="D198">
        <v>4</v>
      </c>
      <c r="E198" t="s">
        <v>200</v>
      </c>
    </row>
    <row r="199" spans="1:5">
      <c r="A199">
        <f>HYPERLINK("http://www.twitter.com/nycoem/status/775059084445904900", "775059084445904900")</f>
        <v>0</v>
      </c>
      <c r="B199" s="2">
        <v>42624.8270833333</v>
      </c>
      <c r="C199">
        <v>51</v>
      </c>
      <c r="D199">
        <v>30</v>
      </c>
      <c r="E199" t="s">
        <v>201</v>
      </c>
    </row>
    <row r="200" spans="1:5">
      <c r="A200">
        <f>HYPERLINK("http://www.twitter.com/nycoem/status/774618515663941633", "774618515663941633")</f>
        <v>0</v>
      </c>
      <c r="B200" s="2">
        <v>42623.6113425926</v>
      </c>
      <c r="C200">
        <v>13</v>
      </c>
      <c r="D200">
        <v>13</v>
      </c>
      <c r="E200" t="s">
        <v>202</v>
      </c>
    </row>
    <row r="201" spans="1:5">
      <c r="A201">
        <f>HYPERLINK("http://www.twitter.com/nycoem/status/774593521085014016", "774593521085014016")</f>
        <v>0</v>
      </c>
      <c r="B201" s="2">
        <v>42623.5423726852</v>
      </c>
      <c r="C201">
        <v>20</v>
      </c>
      <c r="D201">
        <v>23</v>
      </c>
      <c r="E201" t="s">
        <v>203</v>
      </c>
    </row>
    <row r="202" spans="1:5">
      <c r="A202">
        <f>HYPERLINK("http://www.twitter.com/nycoem/status/774360144796844032", "774360144796844032")</f>
        <v>0</v>
      </c>
      <c r="B202" s="2">
        <v>42622.8983796296</v>
      </c>
      <c r="C202">
        <v>3</v>
      </c>
      <c r="D202">
        <v>5</v>
      </c>
      <c r="E202" t="s">
        <v>204</v>
      </c>
    </row>
    <row r="203" spans="1:5">
      <c r="A203">
        <f>HYPERLINK("http://www.twitter.com/nycoem/status/774278816151797760", "774278816151797760")</f>
        <v>0</v>
      </c>
      <c r="B203" s="2">
        <v>42622.6739467593</v>
      </c>
      <c r="C203">
        <v>5</v>
      </c>
      <c r="D203">
        <v>8</v>
      </c>
      <c r="E203" t="s">
        <v>205</v>
      </c>
    </row>
    <row r="204" spans="1:5">
      <c r="A204">
        <f>HYPERLINK("http://www.twitter.com/nycoem/status/774276818257993735", "774276818257993735")</f>
        <v>0</v>
      </c>
      <c r="B204" s="2">
        <v>42622.6684375</v>
      </c>
      <c r="C204">
        <v>5</v>
      </c>
      <c r="D204">
        <v>4</v>
      </c>
      <c r="E204" t="s">
        <v>206</v>
      </c>
    </row>
    <row r="205" spans="1:5">
      <c r="A205">
        <f>HYPERLINK("http://www.twitter.com/nycoem/status/773912591752101888", "773912591752101888")</f>
        <v>0</v>
      </c>
      <c r="B205" s="2">
        <v>42621.6633680556</v>
      </c>
      <c r="C205">
        <v>4</v>
      </c>
      <c r="D205">
        <v>10</v>
      </c>
      <c r="E205" t="s">
        <v>207</v>
      </c>
    </row>
    <row r="206" spans="1:5">
      <c r="A206">
        <f>HYPERLINK("http://www.twitter.com/nycoem/status/773867384696401920", "773867384696401920")</f>
        <v>0</v>
      </c>
      <c r="B206" s="2">
        <v>42621.5386111111</v>
      </c>
      <c r="C206">
        <v>0</v>
      </c>
      <c r="D206">
        <v>8</v>
      </c>
      <c r="E206" t="s">
        <v>208</v>
      </c>
    </row>
    <row r="207" spans="1:5">
      <c r="A207">
        <f>HYPERLINK("http://www.twitter.com/nycoem/status/773867066759770112", "773867066759770112")</f>
        <v>0</v>
      </c>
      <c r="B207" s="2">
        <v>42621.5377430556</v>
      </c>
      <c r="C207">
        <v>19</v>
      </c>
      <c r="D207">
        <v>20</v>
      </c>
      <c r="E207" t="s">
        <v>209</v>
      </c>
    </row>
    <row r="208" spans="1:5">
      <c r="A208">
        <f>HYPERLINK("http://www.twitter.com/nycoem/status/773851460929028096", "773851460929028096")</f>
        <v>0</v>
      </c>
      <c r="B208" s="2">
        <v>42621.4946759259</v>
      </c>
      <c r="C208">
        <v>0</v>
      </c>
      <c r="D208">
        <v>18</v>
      </c>
      <c r="E208" t="s">
        <v>210</v>
      </c>
    </row>
    <row r="209" spans="1:5">
      <c r="A209">
        <f>HYPERLINK("http://www.twitter.com/nycoem/status/773559416134234112", "773559416134234112")</f>
        <v>0</v>
      </c>
      <c r="B209" s="2">
        <v>42620.6887847222</v>
      </c>
      <c r="C209">
        <v>0</v>
      </c>
      <c r="D209">
        <v>1</v>
      </c>
      <c r="E209" t="s">
        <v>211</v>
      </c>
    </row>
    <row r="210" spans="1:5">
      <c r="A210">
        <f>HYPERLINK("http://www.twitter.com/nycoem/status/773517914540544000", "773517914540544000")</f>
        <v>0</v>
      </c>
      <c r="B210" s="2">
        <v>42620.5742592593</v>
      </c>
      <c r="C210">
        <v>6</v>
      </c>
      <c r="D210">
        <v>14</v>
      </c>
      <c r="E210" t="s">
        <v>212</v>
      </c>
    </row>
    <row r="211" spans="1:5">
      <c r="A211">
        <f>HYPERLINK("http://www.twitter.com/nycoem/status/773503626564231169", "773503626564231169")</f>
        <v>0</v>
      </c>
      <c r="B211" s="2">
        <v>42620.534837963</v>
      </c>
      <c r="C211">
        <v>1</v>
      </c>
      <c r="D211">
        <v>3</v>
      </c>
      <c r="E211" t="s">
        <v>213</v>
      </c>
    </row>
    <row r="212" spans="1:5">
      <c r="A212">
        <f>HYPERLINK("http://www.twitter.com/nycoem/status/773342412378865664", "773342412378865664")</f>
        <v>0</v>
      </c>
      <c r="B212" s="2">
        <v>42620.0899652778</v>
      </c>
      <c r="C212">
        <v>0</v>
      </c>
      <c r="D212">
        <v>7</v>
      </c>
      <c r="E212" t="s">
        <v>214</v>
      </c>
    </row>
    <row r="213" spans="1:5">
      <c r="A213">
        <f>HYPERLINK("http://www.twitter.com/nycoem/status/773250763338424320", "773250763338424320")</f>
        <v>0</v>
      </c>
      <c r="B213" s="2">
        <v>42619.8370601852</v>
      </c>
      <c r="C213">
        <v>4</v>
      </c>
      <c r="D213">
        <v>11</v>
      </c>
      <c r="E213" t="s">
        <v>215</v>
      </c>
    </row>
    <row r="214" spans="1:5">
      <c r="A214">
        <f>HYPERLINK("http://www.twitter.com/nycoem/status/773186626055012352", "773186626055012352")</f>
        <v>0</v>
      </c>
      <c r="B214" s="2">
        <v>42619.6600810185</v>
      </c>
      <c r="C214">
        <v>6</v>
      </c>
      <c r="D214">
        <v>11</v>
      </c>
      <c r="E214" t="s">
        <v>216</v>
      </c>
    </row>
    <row r="215" spans="1:5">
      <c r="A215">
        <f>HYPERLINK("http://www.twitter.com/nycoem/status/773181618399879168", "773181618399879168")</f>
        <v>0</v>
      </c>
      <c r="B215" s="2">
        <v>42619.6462615741</v>
      </c>
      <c r="C215">
        <v>0</v>
      </c>
      <c r="D215">
        <v>41</v>
      </c>
      <c r="E215" t="s">
        <v>217</v>
      </c>
    </row>
    <row r="216" spans="1:5">
      <c r="A216">
        <f>HYPERLINK("http://www.twitter.com/nycoem/status/773142568779517952", "773142568779517952")</f>
        <v>0</v>
      </c>
      <c r="B216" s="2">
        <v>42619.5385069444</v>
      </c>
      <c r="C216">
        <v>5</v>
      </c>
      <c r="D216">
        <v>9</v>
      </c>
      <c r="E216" t="s">
        <v>218</v>
      </c>
    </row>
    <row r="217" spans="1:5">
      <c r="A217">
        <f>HYPERLINK("http://www.twitter.com/nycoem/status/773135602044833793", "773135602044833793")</f>
        <v>0</v>
      </c>
      <c r="B217" s="2">
        <v>42619.5192824074</v>
      </c>
      <c r="C217">
        <v>0</v>
      </c>
      <c r="D217">
        <v>31</v>
      </c>
      <c r="E217" t="s">
        <v>117</v>
      </c>
    </row>
    <row r="218" spans="1:5">
      <c r="A218">
        <f>HYPERLINK("http://www.twitter.com/nycoem/status/772879557368147970", "772879557368147970")</f>
        <v>0</v>
      </c>
      <c r="B218" s="2">
        <v>42618.8127314815</v>
      </c>
      <c r="C218">
        <v>0</v>
      </c>
      <c r="D218">
        <v>15</v>
      </c>
      <c r="E218" t="s">
        <v>219</v>
      </c>
    </row>
    <row r="219" spans="1:5">
      <c r="A219">
        <f>HYPERLINK("http://www.twitter.com/nycoem/status/772845032390946817", "772845032390946817")</f>
        <v>0</v>
      </c>
      <c r="B219" s="2">
        <v>42618.7174652778</v>
      </c>
      <c r="C219">
        <v>0</v>
      </c>
      <c r="D219">
        <v>37</v>
      </c>
      <c r="E219" t="s">
        <v>220</v>
      </c>
    </row>
    <row r="220" spans="1:5">
      <c r="A220">
        <f>HYPERLINK("http://www.twitter.com/nycoem/status/772835334984007680", "772835334984007680")</f>
        <v>0</v>
      </c>
      <c r="B220" s="2">
        <v>42618.6907060185</v>
      </c>
      <c r="C220">
        <v>0</v>
      </c>
      <c r="D220">
        <v>10</v>
      </c>
      <c r="E220" t="s">
        <v>221</v>
      </c>
    </row>
    <row r="221" spans="1:5">
      <c r="A221">
        <f>HYPERLINK("http://www.twitter.com/nycoem/status/772814365066162176", "772814365066162176")</f>
        <v>0</v>
      </c>
      <c r="B221" s="2">
        <v>42618.6328356481</v>
      </c>
      <c r="C221">
        <v>0</v>
      </c>
      <c r="D221">
        <v>50</v>
      </c>
      <c r="E221" t="s">
        <v>222</v>
      </c>
    </row>
    <row r="222" spans="1:5">
      <c r="A222">
        <f>HYPERLINK("http://www.twitter.com/nycoem/status/772789804971032576", "772789804971032576")</f>
        <v>0</v>
      </c>
      <c r="B222" s="2">
        <v>42618.5650578704</v>
      </c>
      <c r="C222">
        <v>0</v>
      </c>
      <c r="D222">
        <v>15</v>
      </c>
      <c r="E222" t="s">
        <v>223</v>
      </c>
    </row>
    <row r="223" spans="1:5">
      <c r="A223">
        <f>HYPERLINK("http://www.twitter.com/nycoem/status/772640815353069573", "772640815353069573")</f>
        <v>0</v>
      </c>
      <c r="B223" s="2">
        <v>42618.1539351852</v>
      </c>
      <c r="C223">
        <v>0</v>
      </c>
      <c r="D223">
        <v>189</v>
      </c>
      <c r="E223" t="s">
        <v>224</v>
      </c>
    </row>
    <row r="224" spans="1:5">
      <c r="A224">
        <f>HYPERLINK("http://www.twitter.com/nycoem/status/772598520159371268", "772598520159371268")</f>
        <v>0</v>
      </c>
      <c r="B224" s="2">
        <v>42618.0372222222</v>
      </c>
      <c r="C224">
        <v>0</v>
      </c>
      <c r="D224">
        <v>47</v>
      </c>
      <c r="E224" t="s">
        <v>225</v>
      </c>
    </row>
    <row r="225" spans="1:5">
      <c r="A225">
        <f>HYPERLINK("http://www.twitter.com/nycoem/status/772594727724154880", "772594727724154880")</f>
        <v>0</v>
      </c>
      <c r="B225" s="2">
        <v>42618.0267476852</v>
      </c>
      <c r="C225">
        <v>0</v>
      </c>
      <c r="D225">
        <v>63</v>
      </c>
      <c r="E225" t="s">
        <v>226</v>
      </c>
    </row>
    <row r="226" spans="1:5">
      <c r="A226">
        <f>HYPERLINK("http://www.twitter.com/nycoem/status/772594465634648064", "772594465634648064")</f>
        <v>0</v>
      </c>
      <c r="B226" s="2">
        <v>42618.0260300926</v>
      </c>
      <c r="C226">
        <v>0</v>
      </c>
      <c r="D226">
        <v>41</v>
      </c>
      <c r="E226" t="s">
        <v>227</v>
      </c>
    </row>
    <row r="227" spans="1:5">
      <c r="A227">
        <f>HYPERLINK("http://www.twitter.com/nycoem/status/772568016139743232", "772568016139743232")</f>
        <v>0</v>
      </c>
      <c r="B227" s="2">
        <v>42617.9530439815</v>
      </c>
      <c r="C227">
        <v>26</v>
      </c>
      <c r="D227">
        <v>34</v>
      </c>
      <c r="E227" t="s">
        <v>228</v>
      </c>
    </row>
    <row r="228" spans="1:5">
      <c r="A228">
        <f>HYPERLINK("http://www.twitter.com/nycoem/status/772561111099043840", "772561111099043840")</f>
        <v>0</v>
      </c>
      <c r="B228" s="2">
        <v>42617.9339930556</v>
      </c>
      <c r="C228">
        <v>0</v>
      </c>
      <c r="D228">
        <v>51</v>
      </c>
      <c r="E228" t="s">
        <v>229</v>
      </c>
    </row>
    <row r="229" spans="1:5">
      <c r="A229">
        <f>HYPERLINK("http://www.twitter.com/nycoem/status/772549198583631872", "772549198583631872")</f>
        <v>0</v>
      </c>
      <c r="B229" s="2">
        <v>42617.9011111111</v>
      </c>
      <c r="C229">
        <v>0</v>
      </c>
      <c r="D229">
        <v>79</v>
      </c>
      <c r="E229" t="s">
        <v>230</v>
      </c>
    </row>
    <row r="230" spans="1:5">
      <c r="A230">
        <f>HYPERLINK("http://www.twitter.com/nycoem/status/772502592089952256", "772502592089952256")</f>
        <v>0</v>
      </c>
      <c r="B230" s="2">
        <v>42617.7725115741</v>
      </c>
      <c r="C230">
        <v>0</v>
      </c>
      <c r="D230">
        <v>43</v>
      </c>
      <c r="E230" t="s">
        <v>231</v>
      </c>
    </row>
    <row r="231" spans="1:5">
      <c r="A231">
        <f>HYPERLINK("http://www.twitter.com/nycoem/status/772492582513508352", "772492582513508352")</f>
        <v>0</v>
      </c>
      <c r="B231" s="2">
        <v>42617.7448842593</v>
      </c>
      <c r="C231">
        <v>0</v>
      </c>
      <c r="D231">
        <v>67</v>
      </c>
      <c r="E231" t="s">
        <v>232</v>
      </c>
    </row>
    <row r="232" spans="1:5">
      <c r="A232">
        <f>HYPERLINK("http://www.twitter.com/nycoem/status/772454745470533632", "772454745470533632")</f>
        <v>0</v>
      </c>
      <c r="B232" s="2">
        <v>42617.640474537</v>
      </c>
      <c r="C232">
        <v>0</v>
      </c>
      <c r="D232">
        <v>123</v>
      </c>
      <c r="E232" t="s">
        <v>233</v>
      </c>
    </row>
    <row r="233" spans="1:5">
      <c r="A233">
        <f>HYPERLINK("http://www.twitter.com/nycoem/status/772449934754844673", "772449934754844673")</f>
        <v>0</v>
      </c>
      <c r="B233" s="2">
        <v>42617.6271990741</v>
      </c>
      <c r="C233">
        <v>0</v>
      </c>
      <c r="D233">
        <v>102</v>
      </c>
      <c r="E233" t="s">
        <v>234</v>
      </c>
    </row>
    <row r="234" spans="1:5">
      <c r="A234">
        <f>HYPERLINK("http://www.twitter.com/nycoem/status/772442253973450753", "772442253973450753")</f>
        <v>0</v>
      </c>
      <c r="B234" s="2">
        <v>42617.6060069444</v>
      </c>
      <c r="C234">
        <v>15</v>
      </c>
      <c r="D234">
        <v>22</v>
      </c>
      <c r="E234" t="s">
        <v>235</v>
      </c>
    </row>
    <row r="235" spans="1:5">
      <c r="A235">
        <f>HYPERLINK("http://www.twitter.com/nycoem/status/772360594351677440", "772360594351677440")</f>
        <v>0</v>
      </c>
      <c r="B235" s="2">
        <v>42617.3806712963</v>
      </c>
      <c r="C235">
        <v>0</v>
      </c>
      <c r="D235">
        <v>30</v>
      </c>
      <c r="E235" t="s">
        <v>236</v>
      </c>
    </row>
    <row r="236" spans="1:5">
      <c r="A236">
        <f>HYPERLINK("http://www.twitter.com/nycoem/status/772240470302945289", "772240470302945289")</f>
        <v>0</v>
      </c>
      <c r="B236" s="2">
        <v>42617.0491898148</v>
      </c>
      <c r="C236">
        <v>0</v>
      </c>
      <c r="D236">
        <v>116</v>
      </c>
      <c r="E236" t="s">
        <v>237</v>
      </c>
    </row>
    <row r="237" spans="1:5">
      <c r="A237">
        <f>HYPERLINK("http://www.twitter.com/nycoem/status/772240443283234816", "772240443283234816")</f>
        <v>0</v>
      </c>
      <c r="B237" s="2">
        <v>42617.0491087963</v>
      </c>
      <c r="C237">
        <v>0</v>
      </c>
      <c r="D237">
        <v>25</v>
      </c>
      <c r="E237" t="s">
        <v>238</v>
      </c>
    </row>
    <row r="238" spans="1:5">
      <c r="A238">
        <f>HYPERLINK("http://www.twitter.com/nycoem/status/772094088078393344", "772094088078393344")</f>
        <v>0</v>
      </c>
      <c r="B238" s="2">
        <v>42616.6452546296</v>
      </c>
      <c r="C238">
        <v>0</v>
      </c>
      <c r="D238">
        <v>105</v>
      </c>
      <c r="E238" t="s">
        <v>239</v>
      </c>
    </row>
    <row r="239" spans="1:5">
      <c r="A239">
        <f>HYPERLINK("http://www.twitter.com/nycoem/status/772092611029073920", "772092611029073920")</f>
        <v>0</v>
      </c>
      <c r="B239" s="2">
        <v>42616.6411689815</v>
      </c>
      <c r="C239">
        <v>0</v>
      </c>
      <c r="D239">
        <v>164</v>
      </c>
      <c r="E239" t="s">
        <v>240</v>
      </c>
    </row>
    <row r="240" spans="1:5">
      <c r="A240">
        <f>HYPERLINK("http://www.twitter.com/nycoem/status/772091410807939072", "772091410807939072")</f>
        <v>0</v>
      </c>
      <c r="B240" s="2">
        <v>42616.6378587963</v>
      </c>
      <c r="C240">
        <v>0</v>
      </c>
      <c r="D240">
        <v>224</v>
      </c>
      <c r="E240" t="s">
        <v>241</v>
      </c>
    </row>
    <row r="241" spans="1:5">
      <c r="A241">
        <f>HYPERLINK("http://www.twitter.com/nycoem/status/772087465049985024", "772087465049985024")</f>
        <v>0</v>
      </c>
      <c r="B241" s="2">
        <v>42616.6269791667</v>
      </c>
      <c r="C241">
        <v>0</v>
      </c>
      <c r="D241">
        <v>74</v>
      </c>
      <c r="E241" t="s">
        <v>242</v>
      </c>
    </row>
    <row r="242" spans="1:5">
      <c r="A242">
        <f>HYPERLINK("http://www.twitter.com/nycoem/status/772069316590272512", "772069316590272512")</f>
        <v>0</v>
      </c>
      <c r="B242" s="2">
        <v>42616.5768981481</v>
      </c>
      <c r="C242">
        <v>9</v>
      </c>
      <c r="D242">
        <v>16</v>
      </c>
      <c r="E242" t="s">
        <v>243</v>
      </c>
    </row>
    <row r="243" spans="1:5">
      <c r="A243">
        <f>HYPERLINK("http://www.twitter.com/nycoem/status/772066070362464256", "772066070362464256")</f>
        <v>0</v>
      </c>
      <c r="B243" s="2">
        <v>42616.5679398148</v>
      </c>
      <c r="C243">
        <v>0</v>
      </c>
      <c r="D243">
        <v>44</v>
      </c>
      <c r="E243" t="s">
        <v>244</v>
      </c>
    </row>
    <row r="244" spans="1:5">
      <c r="A244">
        <f>HYPERLINK("http://www.twitter.com/nycoem/status/771856829785800705", "771856829785800705")</f>
        <v>0</v>
      </c>
      <c r="B244" s="2">
        <v>42615.9905439815</v>
      </c>
      <c r="C244">
        <v>0</v>
      </c>
      <c r="D244">
        <v>16</v>
      </c>
      <c r="E244" t="s">
        <v>245</v>
      </c>
    </row>
    <row r="245" spans="1:5">
      <c r="A245">
        <f>HYPERLINK("http://www.twitter.com/nycoem/status/771771623162667008", "771771623162667008")</f>
        <v>0</v>
      </c>
      <c r="B245" s="2">
        <v>42615.7554166667</v>
      </c>
      <c r="C245">
        <v>0</v>
      </c>
      <c r="D245">
        <v>93</v>
      </c>
      <c r="E245" t="s">
        <v>246</v>
      </c>
    </row>
    <row r="246" spans="1:5">
      <c r="A246">
        <f>HYPERLINK("http://www.twitter.com/nycoem/status/771767760997187584", "771767760997187584")</f>
        <v>0</v>
      </c>
      <c r="B246" s="2">
        <v>42615.7447569444</v>
      </c>
      <c r="C246">
        <v>0</v>
      </c>
      <c r="D246">
        <v>25</v>
      </c>
      <c r="E246" t="s">
        <v>247</v>
      </c>
    </row>
    <row r="247" spans="1:5">
      <c r="A247">
        <f>HYPERLINK("http://www.twitter.com/nycoem/status/771746483339194368", "771746483339194368")</f>
        <v>0</v>
      </c>
      <c r="B247" s="2">
        <v>42615.6860416667</v>
      </c>
      <c r="C247">
        <v>0</v>
      </c>
      <c r="D247">
        <v>133</v>
      </c>
      <c r="E247" t="s">
        <v>248</v>
      </c>
    </row>
    <row r="248" spans="1:5">
      <c r="A248">
        <f>HYPERLINK("http://www.twitter.com/nycoem/status/771737439123693572", "771737439123693572")</f>
        <v>0</v>
      </c>
      <c r="B248" s="2">
        <v>42615.661087963</v>
      </c>
      <c r="C248">
        <v>0</v>
      </c>
      <c r="D248">
        <v>12</v>
      </c>
      <c r="E248" t="s">
        <v>249</v>
      </c>
    </row>
    <row r="249" spans="1:5">
      <c r="A249">
        <f>HYPERLINK("http://www.twitter.com/nycoem/status/771733505982230528", "771733505982230528")</f>
        <v>0</v>
      </c>
      <c r="B249" s="2">
        <v>42615.6502314815</v>
      </c>
      <c r="C249">
        <v>0</v>
      </c>
      <c r="D249">
        <v>181</v>
      </c>
      <c r="E249" t="s">
        <v>250</v>
      </c>
    </row>
    <row r="250" spans="1:5">
      <c r="A250">
        <f>HYPERLINK("http://www.twitter.com/nycoem/status/771732403475931136", "771732403475931136")</f>
        <v>0</v>
      </c>
      <c r="B250" s="2">
        <v>42615.6471875</v>
      </c>
      <c r="C250">
        <v>6</v>
      </c>
      <c r="D250">
        <v>14</v>
      </c>
      <c r="E250" t="s">
        <v>251</v>
      </c>
    </row>
    <row r="251" spans="1:5">
      <c r="A251">
        <f>HYPERLINK("http://www.twitter.com/nycoem/status/771731277183582209", "771731277183582209")</f>
        <v>0</v>
      </c>
      <c r="B251" s="2">
        <v>42615.6440856481</v>
      </c>
      <c r="C251">
        <v>6</v>
      </c>
      <c r="D251">
        <v>7</v>
      </c>
      <c r="E251" t="s">
        <v>252</v>
      </c>
    </row>
    <row r="252" spans="1:5">
      <c r="A252">
        <f>HYPERLINK("http://www.twitter.com/nycoem/status/771730490013392896", "771730490013392896")</f>
        <v>0</v>
      </c>
      <c r="B252" s="2">
        <v>42615.6419097222</v>
      </c>
      <c r="C252">
        <v>11</v>
      </c>
      <c r="D252">
        <v>16</v>
      </c>
      <c r="E252" t="s">
        <v>253</v>
      </c>
    </row>
    <row r="253" spans="1:5">
      <c r="A253">
        <f>HYPERLINK("http://www.twitter.com/nycoem/status/771730153630236672", "771730153630236672")</f>
        <v>0</v>
      </c>
      <c r="B253" s="2">
        <v>42615.6409837963</v>
      </c>
      <c r="C253">
        <v>2</v>
      </c>
      <c r="D253">
        <v>5</v>
      </c>
      <c r="E253" t="s">
        <v>254</v>
      </c>
    </row>
    <row r="254" spans="1:5">
      <c r="A254">
        <f>HYPERLINK("http://www.twitter.com/nycoem/status/771729654671638528", "771729654671638528")</f>
        <v>0</v>
      </c>
      <c r="B254" s="2">
        <v>42615.6396064815</v>
      </c>
      <c r="C254">
        <v>2</v>
      </c>
      <c r="D254">
        <v>4</v>
      </c>
      <c r="E254" t="s">
        <v>255</v>
      </c>
    </row>
    <row r="255" spans="1:5">
      <c r="A255">
        <f>HYPERLINK("http://www.twitter.com/nycoem/status/771729297988018177", "771729297988018177")</f>
        <v>0</v>
      </c>
      <c r="B255" s="2">
        <v>42615.6386226852</v>
      </c>
      <c r="C255">
        <v>7</v>
      </c>
      <c r="D255">
        <v>6</v>
      </c>
      <c r="E255" t="s">
        <v>256</v>
      </c>
    </row>
    <row r="256" spans="1:5">
      <c r="A256">
        <f>HYPERLINK("http://www.twitter.com/nycoem/status/771729098632757252", "771729098632757252")</f>
        <v>0</v>
      </c>
      <c r="B256" s="2">
        <v>42615.6380671296</v>
      </c>
      <c r="C256">
        <v>5</v>
      </c>
      <c r="D256">
        <v>6</v>
      </c>
      <c r="E256" t="s">
        <v>257</v>
      </c>
    </row>
    <row r="257" spans="1:5">
      <c r="A257">
        <f>HYPERLINK("http://www.twitter.com/nycoem/status/771728923608612866", "771728923608612866")</f>
        <v>0</v>
      </c>
      <c r="B257" s="2">
        <v>42615.6375925926</v>
      </c>
      <c r="C257">
        <v>13</v>
      </c>
      <c r="D257">
        <v>21</v>
      </c>
      <c r="E257" t="s">
        <v>258</v>
      </c>
    </row>
    <row r="258" spans="1:5">
      <c r="A258">
        <f>HYPERLINK("http://www.twitter.com/nycoem/status/771728780373221377", "771728780373221377")</f>
        <v>0</v>
      </c>
      <c r="B258" s="2">
        <v>42615.6371875</v>
      </c>
      <c r="C258">
        <v>2</v>
      </c>
      <c r="D258">
        <v>9</v>
      </c>
      <c r="E258" t="s">
        <v>259</v>
      </c>
    </row>
    <row r="259" spans="1:5">
      <c r="A259">
        <f>HYPERLINK("http://www.twitter.com/nycoem/status/771728676962656262", "771728676962656262")</f>
        <v>0</v>
      </c>
      <c r="B259" s="2">
        <v>42615.6369097222</v>
      </c>
      <c r="C259">
        <v>6</v>
      </c>
      <c r="D259">
        <v>8</v>
      </c>
      <c r="E259" t="s">
        <v>260</v>
      </c>
    </row>
    <row r="260" spans="1:5">
      <c r="A260">
        <f>HYPERLINK("http://www.twitter.com/nycoem/status/771727960927793152", "771727960927793152")</f>
        <v>0</v>
      </c>
      <c r="B260" s="2">
        <v>42615.6349305556</v>
      </c>
      <c r="C260">
        <v>3</v>
      </c>
      <c r="D260">
        <v>6</v>
      </c>
      <c r="E260" t="s">
        <v>261</v>
      </c>
    </row>
    <row r="261" spans="1:5">
      <c r="A261">
        <f>HYPERLINK("http://www.twitter.com/nycoem/status/771727702281814016", "771727702281814016")</f>
        <v>0</v>
      </c>
      <c r="B261" s="2">
        <v>42615.634212963</v>
      </c>
      <c r="C261">
        <v>2</v>
      </c>
      <c r="D261">
        <v>13</v>
      </c>
      <c r="E261" t="s">
        <v>262</v>
      </c>
    </row>
    <row r="262" spans="1:5">
      <c r="A262">
        <f>HYPERLINK("http://www.twitter.com/nycoem/status/771724272230424576", "771724272230424576")</f>
        <v>0</v>
      </c>
      <c r="B262" s="2">
        <v>42615.6247569444</v>
      </c>
      <c r="C262">
        <v>4</v>
      </c>
      <c r="D262">
        <v>8</v>
      </c>
      <c r="E262" t="s">
        <v>263</v>
      </c>
    </row>
    <row r="263" spans="1:5">
      <c r="A263">
        <f>HYPERLINK("http://www.twitter.com/nycoem/status/771691701660487680", "771691701660487680")</f>
        <v>0</v>
      </c>
      <c r="B263" s="2">
        <v>42615.5348726852</v>
      </c>
      <c r="C263">
        <v>8</v>
      </c>
      <c r="D263">
        <v>14</v>
      </c>
      <c r="E263" t="s">
        <v>264</v>
      </c>
    </row>
    <row r="264" spans="1:5">
      <c r="A264">
        <f>HYPERLINK("http://www.twitter.com/nycoem/status/771677927301840896", "771677927301840896")</f>
        <v>0</v>
      </c>
      <c r="B264" s="2">
        <v>42615.4968634259</v>
      </c>
      <c r="C264">
        <v>0</v>
      </c>
      <c r="D264">
        <v>64</v>
      </c>
      <c r="E264" t="s">
        <v>265</v>
      </c>
    </row>
    <row r="265" spans="1:5">
      <c r="A265">
        <f>HYPERLINK("http://www.twitter.com/nycoem/status/771451271014383616", "771451271014383616")</f>
        <v>0</v>
      </c>
      <c r="B265" s="2">
        <v>42614.871412037</v>
      </c>
      <c r="C265">
        <v>17</v>
      </c>
      <c r="D265">
        <v>36</v>
      </c>
      <c r="E265" t="s">
        <v>266</v>
      </c>
    </row>
    <row r="266" spans="1:5">
      <c r="A266">
        <f>HYPERLINK("http://www.twitter.com/nycoem/status/771438486973022209", "771438486973022209")</f>
        <v>0</v>
      </c>
      <c r="B266" s="2">
        <v>42614.8361342593</v>
      </c>
      <c r="C266">
        <v>0</v>
      </c>
      <c r="D266">
        <v>13</v>
      </c>
      <c r="E266" t="s">
        <v>267</v>
      </c>
    </row>
    <row r="267" spans="1:5">
      <c r="A267">
        <f>HYPERLINK("http://www.twitter.com/nycoem/status/771423660821323780", "771423660821323780")</f>
        <v>0</v>
      </c>
      <c r="B267" s="2">
        <v>42614.7952199074</v>
      </c>
      <c r="C267">
        <v>9</v>
      </c>
      <c r="D267">
        <v>9</v>
      </c>
      <c r="E267" t="s">
        <v>268</v>
      </c>
    </row>
    <row r="268" spans="1:5">
      <c r="A268">
        <f>HYPERLINK("http://www.twitter.com/nycoem/status/771401339712724992", "771401339712724992")</f>
        <v>0</v>
      </c>
      <c r="B268" s="2">
        <v>42614.7336226852</v>
      </c>
      <c r="C268">
        <v>0</v>
      </c>
      <c r="D268">
        <v>4</v>
      </c>
      <c r="E268" t="s">
        <v>269</v>
      </c>
    </row>
    <row r="269" spans="1:5">
      <c r="A269">
        <f>HYPERLINK("http://www.twitter.com/nycoem/status/771373385481871360", "771373385481871360")</f>
        <v>0</v>
      </c>
      <c r="B269" s="2">
        <v>42614.6564930556</v>
      </c>
      <c r="C269">
        <v>3</v>
      </c>
      <c r="D269">
        <v>7</v>
      </c>
      <c r="E269" t="s">
        <v>270</v>
      </c>
    </row>
    <row r="270" spans="1:5">
      <c r="A270">
        <f>HYPERLINK("http://www.twitter.com/nycoem/status/771319551694925824", "771319551694925824")</f>
        <v>0</v>
      </c>
      <c r="B270" s="2">
        <v>42614.5079398148</v>
      </c>
      <c r="C270">
        <v>0</v>
      </c>
      <c r="D270">
        <v>155</v>
      </c>
      <c r="E270" t="s">
        <v>271</v>
      </c>
    </row>
    <row r="271" spans="1:5">
      <c r="A271">
        <f>HYPERLINK("http://www.twitter.com/nycoem/status/771319393393541120", "771319393393541120")</f>
        <v>0</v>
      </c>
      <c r="B271" s="2">
        <v>42614.5075</v>
      </c>
      <c r="C271">
        <v>26</v>
      </c>
      <c r="D271">
        <v>40</v>
      </c>
      <c r="E271" t="s">
        <v>272</v>
      </c>
    </row>
    <row r="272" spans="1:5">
      <c r="A272">
        <f>HYPERLINK("http://www.twitter.com/nycoem/status/771099883944173568", "771099883944173568")</f>
        <v>0</v>
      </c>
      <c r="B272" s="2">
        <v>42613.9017708333</v>
      </c>
      <c r="C272">
        <v>0</v>
      </c>
      <c r="D272">
        <v>46</v>
      </c>
      <c r="E272" t="s">
        <v>273</v>
      </c>
    </row>
    <row r="273" spans="1:5">
      <c r="A273">
        <f>HYPERLINK("http://www.twitter.com/nycoem/status/771085877728583680", "771085877728583680")</f>
        <v>0</v>
      </c>
      <c r="B273" s="2">
        <v>42613.8631134259</v>
      </c>
      <c r="C273">
        <v>17</v>
      </c>
      <c r="D273">
        <v>22</v>
      </c>
      <c r="E273" t="s">
        <v>274</v>
      </c>
    </row>
    <row r="274" spans="1:5">
      <c r="A274">
        <f>HYPERLINK("http://www.twitter.com/nycoem/status/771047319349460992", "771047319349460992")</f>
        <v>0</v>
      </c>
      <c r="B274" s="2">
        <v>42613.756712963</v>
      </c>
      <c r="C274">
        <v>0</v>
      </c>
      <c r="D274">
        <v>30</v>
      </c>
      <c r="E274" t="s">
        <v>275</v>
      </c>
    </row>
    <row r="275" spans="1:5">
      <c r="A275">
        <f>HYPERLINK("http://www.twitter.com/nycoem/status/771010987608645637", "771010987608645637")</f>
        <v>0</v>
      </c>
      <c r="B275" s="2">
        <v>42613.6564583333</v>
      </c>
      <c r="C275">
        <v>3</v>
      </c>
      <c r="D275">
        <v>16</v>
      </c>
      <c r="E275" t="s">
        <v>276</v>
      </c>
    </row>
    <row r="276" spans="1:5">
      <c r="A276">
        <f>HYPERLINK("http://www.twitter.com/nycoem/status/770649887071432704", "770649887071432704")</f>
        <v>0</v>
      </c>
      <c r="B276" s="2">
        <v>42612.6600115741</v>
      </c>
      <c r="C276">
        <v>2</v>
      </c>
      <c r="D276">
        <v>6</v>
      </c>
      <c r="E276" t="s">
        <v>277</v>
      </c>
    </row>
    <row r="277" spans="1:5">
      <c r="A277">
        <f>HYPERLINK("http://www.twitter.com/nycoem/status/770604534620155904", "770604534620155904")</f>
        <v>0</v>
      </c>
      <c r="B277" s="2">
        <v>42612.5348611111</v>
      </c>
      <c r="C277">
        <v>16</v>
      </c>
      <c r="D277">
        <v>16</v>
      </c>
      <c r="E277" t="s">
        <v>278</v>
      </c>
    </row>
    <row r="278" spans="1:5">
      <c r="A278">
        <f>HYPERLINK("http://www.twitter.com/nycoem/status/770290160693022720", "770290160693022720")</f>
        <v>0</v>
      </c>
      <c r="B278" s="2">
        <v>42611.6673611111</v>
      </c>
      <c r="C278">
        <v>6</v>
      </c>
      <c r="D278">
        <v>10</v>
      </c>
      <c r="E278" t="s">
        <v>279</v>
      </c>
    </row>
    <row r="279" spans="1:5">
      <c r="A279">
        <f>HYPERLINK("http://www.twitter.com/nycoem/status/770254195043737600", "770254195043737600")</f>
        <v>0</v>
      </c>
      <c r="B279" s="2">
        <v>42611.5681134259</v>
      </c>
      <c r="C279">
        <v>3</v>
      </c>
      <c r="D279">
        <v>11</v>
      </c>
      <c r="E279" t="s">
        <v>280</v>
      </c>
    </row>
    <row r="280" spans="1:5">
      <c r="A280">
        <f>HYPERLINK("http://www.twitter.com/nycoem/status/770239677534244865", "770239677534244865")</f>
        <v>0</v>
      </c>
      <c r="B280" s="2">
        <v>42611.5280555556</v>
      </c>
      <c r="C280">
        <v>3</v>
      </c>
      <c r="D280">
        <v>6</v>
      </c>
      <c r="E280" t="s">
        <v>281</v>
      </c>
    </row>
    <row r="281" spans="1:5">
      <c r="A281">
        <f>HYPERLINK("http://www.twitter.com/nycoem/status/769554962296803328", "769554962296803328")</f>
        <v>0</v>
      </c>
      <c r="B281" s="2">
        <v>42609.638599537</v>
      </c>
      <c r="C281">
        <v>0</v>
      </c>
      <c r="D281">
        <v>45</v>
      </c>
      <c r="E281" t="s">
        <v>282</v>
      </c>
    </row>
    <row r="282" spans="1:5">
      <c r="A282">
        <f>HYPERLINK("http://www.twitter.com/nycoem/status/769182852126834693", "769182852126834693")</f>
        <v>0</v>
      </c>
      <c r="B282" s="2">
        <v>42608.6117708333</v>
      </c>
      <c r="C282">
        <v>4</v>
      </c>
      <c r="D282">
        <v>13</v>
      </c>
      <c r="E282" t="s">
        <v>283</v>
      </c>
    </row>
    <row r="283" spans="1:5">
      <c r="A283">
        <f>HYPERLINK("http://www.twitter.com/nycoem/status/769176363076952066", "769176363076952066")</f>
        <v>0</v>
      </c>
      <c r="B283" s="2">
        <v>42608.5938657407</v>
      </c>
      <c r="C283">
        <v>3</v>
      </c>
      <c r="D283">
        <v>3</v>
      </c>
      <c r="E283" t="s">
        <v>284</v>
      </c>
    </row>
    <row r="284" spans="1:5">
      <c r="A284">
        <f>HYPERLINK("http://www.twitter.com/nycoem/status/768905875939532800", "768905875939532800")</f>
        <v>0</v>
      </c>
      <c r="B284" s="2">
        <v>42607.8474652778</v>
      </c>
      <c r="C284">
        <v>1</v>
      </c>
      <c r="D284">
        <v>5</v>
      </c>
      <c r="E284" t="s">
        <v>285</v>
      </c>
    </row>
    <row r="285" spans="1:5">
      <c r="A285">
        <f>HYPERLINK("http://www.twitter.com/nycoem/status/768900999259959296", "768900999259959296")</f>
        <v>0</v>
      </c>
      <c r="B285" s="2">
        <v>42607.8340046296</v>
      </c>
      <c r="C285">
        <v>0</v>
      </c>
      <c r="D285">
        <v>7</v>
      </c>
      <c r="E285" t="s">
        <v>286</v>
      </c>
    </row>
    <row r="286" spans="1:5">
      <c r="A286">
        <f>HYPERLINK("http://www.twitter.com/nycoem/status/768834163818496000", "768834163818496000")</f>
        <v>0</v>
      </c>
      <c r="B286" s="2">
        <v>42607.6495717593</v>
      </c>
      <c r="C286">
        <v>4</v>
      </c>
      <c r="D286">
        <v>3</v>
      </c>
      <c r="E286" t="s">
        <v>287</v>
      </c>
    </row>
    <row r="287" spans="1:5">
      <c r="A287">
        <f>HYPERLINK("http://www.twitter.com/nycoem/status/768801435794411520", "768801435794411520")</f>
        <v>0</v>
      </c>
      <c r="B287" s="2">
        <v>42607.5592592593</v>
      </c>
      <c r="C287">
        <v>5</v>
      </c>
      <c r="D287">
        <v>4</v>
      </c>
      <c r="E287" t="s">
        <v>288</v>
      </c>
    </row>
    <row r="288" spans="1:5">
      <c r="A288">
        <f>HYPERLINK("http://www.twitter.com/nycoem/status/768480768133853184", "768480768133853184")</f>
        <v>0</v>
      </c>
      <c r="B288" s="2">
        <v>42606.6743865741</v>
      </c>
      <c r="C288">
        <v>12</v>
      </c>
      <c r="D288">
        <v>5</v>
      </c>
      <c r="E288" t="s">
        <v>289</v>
      </c>
    </row>
    <row r="289" spans="1:5">
      <c r="A289">
        <f>HYPERLINK("http://www.twitter.com/nycoem/status/768477715167059968", "768477715167059968")</f>
        <v>0</v>
      </c>
      <c r="B289" s="2">
        <v>42606.6659606481</v>
      </c>
      <c r="C289">
        <v>0</v>
      </c>
      <c r="D289">
        <v>22</v>
      </c>
      <c r="E289" t="s">
        <v>290</v>
      </c>
    </row>
    <row r="290" spans="1:5">
      <c r="A290">
        <f>HYPERLINK("http://www.twitter.com/nycoem/status/768468429829472256", "768468429829472256")</f>
        <v>0</v>
      </c>
      <c r="B290" s="2">
        <v>42606.6403356481</v>
      </c>
      <c r="C290">
        <v>15</v>
      </c>
      <c r="D290">
        <v>17</v>
      </c>
      <c r="E290" t="s">
        <v>291</v>
      </c>
    </row>
    <row r="291" spans="1:5">
      <c r="A291">
        <f>HYPERLINK("http://www.twitter.com/nycoem/status/768188472435892228", "768188472435892228")</f>
        <v>0</v>
      </c>
      <c r="B291" s="2">
        <v>42605.8678009259</v>
      </c>
      <c r="C291">
        <v>8</v>
      </c>
      <c r="D291">
        <v>8</v>
      </c>
      <c r="E291" t="s">
        <v>292</v>
      </c>
    </row>
    <row r="292" spans="1:5">
      <c r="A292">
        <f>HYPERLINK("http://www.twitter.com/nycoem/status/768114391447400453", "768114391447400453")</f>
        <v>0</v>
      </c>
      <c r="B292" s="2">
        <v>42605.6633796296</v>
      </c>
      <c r="C292">
        <v>7</v>
      </c>
      <c r="D292">
        <v>13</v>
      </c>
      <c r="E292" t="s">
        <v>293</v>
      </c>
    </row>
    <row r="293" spans="1:5">
      <c r="A293">
        <f>HYPERLINK("http://www.twitter.com/nycoem/status/768066563618574336", "768066563618574336")</f>
        <v>0</v>
      </c>
      <c r="B293" s="2">
        <v>42605.531400463</v>
      </c>
      <c r="C293">
        <v>6</v>
      </c>
      <c r="D293">
        <v>4</v>
      </c>
      <c r="E293" t="s">
        <v>294</v>
      </c>
    </row>
    <row r="294" spans="1:5">
      <c r="A294">
        <f>HYPERLINK("http://www.twitter.com/nycoem/status/767802929524969473", "767802929524969473")</f>
        <v>0</v>
      </c>
      <c r="B294" s="2">
        <v>42604.803912037</v>
      </c>
      <c r="C294">
        <v>0</v>
      </c>
      <c r="D294">
        <v>18</v>
      </c>
      <c r="E294" t="s">
        <v>295</v>
      </c>
    </row>
    <row r="295" spans="1:5">
      <c r="A295">
        <f>HYPERLINK("http://www.twitter.com/nycoem/status/767781047710941184", "767781047710941184")</f>
        <v>0</v>
      </c>
      <c r="B295" s="2">
        <v>42604.7435300926</v>
      </c>
      <c r="C295">
        <v>6</v>
      </c>
      <c r="D295">
        <v>10</v>
      </c>
      <c r="E295" t="s">
        <v>296</v>
      </c>
    </row>
    <row r="296" spans="1:5">
      <c r="A296">
        <f>HYPERLINK("http://www.twitter.com/nycoem/status/767705421536694273", "767705421536694273")</f>
        <v>0</v>
      </c>
      <c r="B296" s="2">
        <v>42604.534837963</v>
      </c>
      <c r="C296">
        <v>2</v>
      </c>
      <c r="D296">
        <v>8</v>
      </c>
      <c r="E296" t="s">
        <v>297</v>
      </c>
    </row>
    <row r="297" spans="1:5">
      <c r="A297">
        <f>HYPERLINK("http://www.twitter.com/nycoem/status/767383604695535616", "767383604695535616")</f>
        <v>0</v>
      </c>
      <c r="B297" s="2">
        <v>42603.6467939815</v>
      </c>
      <c r="C297">
        <v>3</v>
      </c>
      <c r="D297">
        <v>3</v>
      </c>
      <c r="E297" t="s">
        <v>298</v>
      </c>
    </row>
    <row r="298" spans="1:5">
      <c r="A298">
        <f>HYPERLINK("http://www.twitter.com/nycoem/status/767381911702499328", "767381911702499328")</f>
        <v>0</v>
      </c>
      <c r="B298" s="2">
        <v>42603.6421180556</v>
      </c>
      <c r="C298">
        <v>0</v>
      </c>
      <c r="D298">
        <v>6</v>
      </c>
      <c r="E298" t="s">
        <v>299</v>
      </c>
    </row>
    <row r="299" spans="1:5">
      <c r="A299">
        <f>HYPERLINK("http://www.twitter.com/nycoem/status/767351694053212160", "767351694053212160")</f>
        <v>0</v>
      </c>
      <c r="B299" s="2">
        <v>42603.5587384259</v>
      </c>
      <c r="C299">
        <v>0</v>
      </c>
      <c r="D299">
        <v>26</v>
      </c>
      <c r="E299" t="s">
        <v>300</v>
      </c>
    </row>
    <row r="300" spans="1:5">
      <c r="A300">
        <f>HYPERLINK("http://www.twitter.com/nycoem/status/766754177750069249", "766754177750069249")</f>
        <v>0</v>
      </c>
      <c r="B300" s="2">
        <v>42601.9099074074</v>
      </c>
      <c r="C300">
        <v>7</v>
      </c>
      <c r="D300">
        <v>12</v>
      </c>
      <c r="E300" t="s">
        <v>301</v>
      </c>
    </row>
    <row r="301" spans="1:5">
      <c r="A301">
        <f>HYPERLINK("http://www.twitter.com/nycoem/status/766663558558019584", "766663558558019584")</f>
        <v>0</v>
      </c>
      <c r="B301" s="2">
        <v>42601.659837963</v>
      </c>
      <c r="C301">
        <v>3</v>
      </c>
      <c r="D301">
        <v>5</v>
      </c>
      <c r="E301" t="s">
        <v>302</v>
      </c>
    </row>
    <row r="302" spans="1:5">
      <c r="A302">
        <f>HYPERLINK("http://www.twitter.com/nycoem/status/766643840400883712", "766643840400883712")</f>
        <v>0</v>
      </c>
      <c r="B302" s="2">
        <v>42601.6054282407</v>
      </c>
      <c r="C302">
        <v>4</v>
      </c>
      <c r="D302">
        <v>11</v>
      </c>
      <c r="E302" t="s">
        <v>303</v>
      </c>
    </row>
    <row r="303" spans="1:5">
      <c r="A303">
        <f>HYPERLINK("http://www.twitter.com/nycoem/status/766393031327158273", "766393031327158273")</f>
        <v>0</v>
      </c>
      <c r="B303" s="2">
        <v>42600.9133333333</v>
      </c>
      <c r="C303">
        <v>5</v>
      </c>
      <c r="D303">
        <v>12</v>
      </c>
      <c r="E303" t="s">
        <v>304</v>
      </c>
    </row>
    <row r="304" spans="1:5">
      <c r="A304">
        <f>HYPERLINK("http://www.twitter.com/nycoem/status/766345215791755264", "766345215791755264")</f>
        <v>0</v>
      </c>
      <c r="B304" s="2">
        <v>42600.7813888889</v>
      </c>
      <c r="C304">
        <v>4</v>
      </c>
      <c r="D304">
        <v>7</v>
      </c>
      <c r="E304" t="s">
        <v>305</v>
      </c>
    </row>
    <row r="305" spans="1:5">
      <c r="A305">
        <f>HYPERLINK("http://www.twitter.com/nycoem/status/766101007248089093", "766101007248089093")</f>
        <v>0</v>
      </c>
      <c r="B305" s="2">
        <v>42600.1075</v>
      </c>
      <c r="C305">
        <v>0</v>
      </c>
      <c r="D305">
        <v>9</v>
      </c>
      <c r="E305" t="s">
        <v>306</v>
      </c>
    </row>
    <row r="306" spans="1:5">
      <c r="A306">
        <f>HYPERLINK("http://www.twitter.com/nycoem/status/765941450551005185", "765941450551005185")</f>
        <v>0</v>
      </c>
      <c r="B306" s="2">
        <v>42599.6671990741</v>
      </c>
      <c r="C306">
        <v>1</v>
      </c>
      <c r="D306">
        <v>4</v>
      </c>
      <c r="E306" t="s">
        <v>307</v>
      </c>
    </row>
    <row r="307" spans="1:5">
      <c r="A307">
        <f>HYPERLINK("http://www.twitter.com/nycoem/status/765922312080195589", "765922312080195589")</f>
        <v>0</v>
      </c>
      <c r="B307" s="2">
        <v>42599.6143981482</v>
      </c>
      <c r="C307">
        <v>10</v>
      </c>
      <c r="D307">
        <v>10</v>
      </c>
      <c r="E307" t="s">
        <v>308</v>
      </c>
    </row>
    <row r="308" spans="1:5">
      <c r="A308">
        <f>HYPERLINK("http://www.twitter.com/nycoem/status/765626840748818432", "765626840748818432")</f>
        <v>0</v>
      </c>
      <c r="B308" s="2">
        <v>42598.7990509259</v>
      </c>
      <c r="C308">
        <v>0</v>
      </c>
      <c r="D308">
        <v>22</v>
      </c>
      <c r="E308" t="s">
        <v>309</v>
      </c>
    </row>
    <row r="309" spans="1:5">
      <c r="A309">
        <f>HYPERLINK("http://www.twitter.com/nycoem/status/765600815943913472", "765600815943913472")</f>
        <v>0</v>
      </c>
      <c r="B309" s="2">
        <v>42598.7272337963</v>
      </c>
      <c r="C309">
        <v>0</v>
      </c>
      <c r="D309">
        <v>5</v>
      </c>
      <c r="E309" t="s">
        <v>310</v>
      </c>
    </row>
    <row r="310" spans="1:5">
      <c r="A310">
        <f>HYPERLINK("http://www.twitter.com/nycoem/status/765600780971892737", "765600780971892737")</f>
        <v>0</v>
      </c>
      <c r="B310" s="2">
        <v>42598.7271412037</v>
      </c>
      <c r="C310">
        <v>0</v>
      </c>
      <c r="D310">
        <v>27</v>
      </c>
      <c r="E310" t="s">
        <v>311</v>
      </c>
    </row>
    <row r="311" spans="1:5">
      <c r="A311">
        <f>HYPERLINK("http://www.twitter.com/nycoem/status/765531086495555584", "765531086495555584")</f>
        <v>0</v>
      </c>
      <c r="B311" s="2">
        <v>42598.5348148148</v>
      </c>
      <c r="C311">
        <v>19</v>
      </c>
      <c r="D311">
        <v>26</v>
      </c>
      <c r="E311" t="s">
        <v>312</v>
      </c>
    </row>
    <row r="312" spans="1:5">
      <c r="A312">
        <f>HYPERLINK("http://www.twitter.com/nycoem/status/765522623828750340", "765522623828750340")</f>
        <v>0</v>
      </c>
      <c r="B312" s="2">
        <v>42598.5114583333</v>
      </c>
      <c r="C312">
        <v>7</v>
      </c>
      <c r="D312">
        <v>17</v>
      </c>
      <c r="E312" t="s">
        <v>313</v>
      </c>
    </row>
    <row r="313" spans="1:5">
      <c r="A313">
        <f>HYPERLINK("http://www.twitter.com/nycoem/status/765273854663098368", "765273854663098368")</f>
        <v>0</v>
      </c>
      <c r="B313" s="2">
        <v>42597.8249884259</v>
      </c>
      <c r="C313">
        <v>0</v>
      </c>
      <c r="D313">
        <v>44</v>
      </c>
      <c r="E313" t="s">
        <v>314</v>
      </c>
    </row>
    <row r="314" spans="1:5">
      <c r="A314">
        <f>HYPERLINK("http://www.twitter.com/nycoem/status/765260895861735424", "765260895861735424")</f>
        <v>0</v>
      </c>
      <c r="B314" s="2">
        <v>42597.7892361111</v>
      </c>
      <c r="C314">
        <v>0</v>
      </c>
      <c r="D314">
        <v>2</v>
      </c>
      <c r="E314" t="s">
        <v>315</v>
      </c>
    </row>
    <row r="315" spans="1:5">
      <c r="A315">
        <f>HYPERLINK("http://www.twitter.com/nycoem/status/765236072452423681", "765236072452423681")</f>
        <v>0</v>
      </c>
      <c r="B315" s="2">
        <v>42597.7207291667</v>
      </c>
      <c r="C315">
        <v>0</v>
      </c>
      <c r="D315">
        <v>10</v>
      </c>
      <c r="E315" t="s">
        <v>316</v>
      </c>
    </row>
    <row r="316" spans="1:5">
      <c r="A316">
        <f>HYPERLINK("http://www.twitter.com/nycoem/status/765215517716148224", "765215517716148224")</f>
        <v>0</v>
      </c>
      <c r="B316" s="2">
        <v>42597.6640162037</v>
      </c>
      <c r="C316">
        <v>7</v>
      </c>
      <c r="D316">
        <v>3</v>
      </c>
      <c r="E316" t="s">
        <v>317</v>
      </c>
    </row>
    <row r="317" spans="1:5">
      <c r="A317">
        <f>HYPERLINK("http://www.twitter.com/nycoem/status/765145398876962816", "765145398876962816")</f>
        <v>0</v>
      </c>
      <c r="B317" s="2">
        <v>42597.4705208333</v>
      </c>
      <c r="C317">
        <v>0</v>
      </c>
      <c r="D317">
        <v>20</v>
      </c>
      <c r="E317" t="s">
        <v>318</v>
      </c>
    </row>
    <row r="318" spans="1:5">
      <c r="A318">
        <f>HYPERLINK("http://www.twitter.com/nycoem/status/764638078606708736", "764638078606708736")</f>
        <v>0</v>
      </c>
      <c r="B318" s="2">
        <v>42596.0705787037</v>
      </c>
      <c r="C318">
        <v>0</v>
      </c>
      <c r="D318">
        <v>20</v>
      </c>
      <c r="E318" t="s">
        <v>319</v>
      </c>
    </row>
    <row r="319" spans="1:5">
      <c r="A319">
        <f>HYPERLINK("http://www.twitter.com/nycoem/status/764558568049827840", "764558568049827840")</f>
        <v>0</v>
      </c>
      <c r="B319" s="2">
        <v>42595.8511805556</v>
      </c>
      <c r="C319">
        <v>9</v>
      </c>
      <c r="D319">
        <v>22</v>
      </c>
      <c r="E319" t="s">
        <v>320</v>
      </c>
    </row>
    <row r="320" spans="1:5">
      <c r="A320">
        <f>HYPERLINK("http://www.twitter.com/nycoem/status/764445190731997184", "764445190731997184")</f>
        <v>0</v>
      </c>
      <c r="B320" s="2">
        <v>42595.5383101852</v>
      </c>
      <c r="C320">
        <v>14</v>
      </c>
      <c r="D320">
        <v>36</v>
      </c>
      <c r="E320" t="s">
        <v>321</v>
      </c>
    </row>
    <row r="321" spans="1:5">
      <c r="A321">
        <f>HYPERLINK("http://www.twitter.com/nycoem/status/764238084066115584", "764238084066115584")</f>
        <v>0</v>
      </c>
      <c r="B321" s="2">
        <v>42594.9668055556</v>
      </c>
      <c r="C321">
        <v>0</v>
      </c>
      <c r="D321">
        <v>28</v>
      </c>
      <c r="E321" t="s">
        <v>322</v>
      </c>
    </row>
    <row r="322" spans="1:5">
      <c r="A322">
        <f>HYPERLINK("http://www.twitter.com/nycoem/status/764170172324253697", "764170172324253697")</f>
        <v>0</v>
      </c>
      <c r="B322" s="2">
        <v>42594.7794097222</v>
      </c>
      <c r="C322">
        <v>2</v>
      </c>
      <c r="D322">
        <v>10</v>
      </c>
      <c r="E322" t="s">
        <v>323</v>
      </c>
    </row>
    <row r="323" spans="1:5">
      <c r="A323">
        <f>HYPERLINK("http://www.twitter.com/nycoem/status/764136869185646592", "764136869185646592")</f>
        <v>0</v>
      </c>
      <c r="B323" s="2">
        <v>42594.6875115741</v>
      </c>
      <c r="C323">
        <v>1</v>
      </c>
      <c r="D323">
        <v>3</v>
      </c>
      <c r="E323" t="s">
        <v>324</v>
      </c>
    </row>
    <row r="324" spans="1:5">
      <c r="A324">
        <f>HYPERLINK("http://www.twitter.com/nycoem/status/764135570272555009", "764135570272555009")</f>
        <v>0</v>
      </c>
      <c r="B324" s="2">
        <v>42594.6839236111</v>
      </c>
      <c r="C324">
        <v>2</v>
      </c>
      <c r="D324">
        <v>2</v>
      </c>
      <c r="E324" t="s">
        <v>325</v>
      </c>
    </row>
    <row r="325" spans="1:5">
      <c r="A325">
        <f>HYPERLINK("http://www.twitter.com/nycoem/status/764135200683069445", "764135200683069445")</f>
        <v>0</v>
      </c>
      <c r="B325" s="2">
        <v>42594.6829050926</v>
      </c>
      <c r="C325">
        <v>9</v>
      </c>
      <c r="D325">
        <v>9</v>
      </c>
      <c r="E325" t="s">
        <v>326</v>
      </c>
    </row>
    <row r="326" spans="1:5">
      <c r="A326">
        <f>HYPERLINK("http://www.twitter.com/nycoem/status/764134091361050624", "764134091361050624")</f>
        <v>0</v>
      </c>
      <c r="B326" s="2">
        <v>42594.679837963</v>
      </c>
      <c r="C326">
        <v>0</v>
      </c>
      <c r="D326">
        <v>0</v>
      </c>
      <c r="E326" t="s">
        <v>327</v>
      </c>
    </row>
    <row r="327" spans="1:5">
      <c r="A327">
        <f>HYPERLINK("http://www.twitter.com/nycoem/status/764133896669790208", "764133896669790208")</f>
        <v>0</v>
      </c>
      <c r="B327" s="2">
        <v>42594.6793055556</v>
      </c>
      <c r="C327">
        <v>4</v>
      </c>
      <c r="D327">
        <v>14</v>
      </c>
      <c r="E327" t="s">
        <v>328</v>
      </c>
    </row>
    <row r="328" spans="1:5">
      <c r="A328">
        <f>HYPERLINK("http://www.twitter.com/nycoem/status/764133263837392896", "764133263837392896")</f>
        <v>0</v>
      </c>
      <c r="B328" s="2">
        <v>42594.6775578704</v>
      </c>
      <c r="C328">
        <v>3</v>
      </c>
      <c r="D328">
        <v>7</v>
      </c>
      <c r="E328" t="s">
        <v>329</v>
      </c>
    </row>
    <row r="329" spans="1:5">
      <c r="A329">
        <f>HYPERLINK("http://www.twitter.com/nycoem/status/764132885796360192", "764132885796360192")</f>
        <v>0</v>
      </c>
      <c r="B329" s="2">
        <v>42594.6765162037</v>
      </c>
      <c r="C329">
        <v>3</v>
      </c>
      <c r="D329">
        <v>4</v>
      </c>
      <c r="E329" t="s">
        <v>330</v>
      </c>
    </row>
    <row r="330" spans="1:5">
      <c r="A330">
        <f>HYPERLINK("http://www.twitter.com/nycoem/status/764132607189803008", "764132607189803008")</f>
        <v>0</v>
      </c>
      <c r="B330" s="2">
        <v>42594.6757523148</v>
      </c>
      <c r="C330">
        <v>2</v>
      </c>
      <c r="D330">
        <v>2</v>
      </c>
      <c r="E330" t="s">
        <v>331</v>
      </c>
    </row>
    <row r="331" spans="1:5">
      <c r="A331">
        <f>HYPERLINK("http://www.twitter.com/nycoem/status/764132163973419008", "764132163973419008")</f>
        <v>0</v>
      </c>
      <c r="B331" s="2">
        <v>42594.674525463</v>
      </c>
      <c r="C331">
        <v>4</v>
      </c>
      <c r="D331">
        <v>4</v>
      </c>
      <c r="E331" t="s">
        <v>332</v>
      </c>
    </row>
    <row r="332" spans="1:5">
      <c r="A332">
        <f>HYPERLINK("http://www.twitter.com/nycoem/status/764131518142906368", "764131518142906368")</f>
        <v>0</v>
      </c>
      <c r="B332" s="2">
        <v>42594.6727430556</v>
      </c>
      <c r="C332">
        <v>0</v>
      </c>
      <c r="D332">
        <v>1</v>
      </c>
      <c r="E332" t="s">
        <v>333</v>
      </c>
    </row>
    <row r="333" spans="1:5">
      <c r="A333">
        <f>HYPERLINK("http://www.twitter.com/nycoem/status/764131222394114048", "764131222394114048")</f>
        <v>0</v>
      </c>
      <c r="B333" s="2">
        <v>42594.6719212963</v>
      </c>
      <c r="C333">
        <v>1</v>
      </c>
      <c r="D333">
        <v>3</v>
      </c>
      <c r="E333" t="s">
        <v>334</v>
      </c>
    </row>
    <row r="334" spans="1:5">
      <c r="A334">
        <f>HYPERLINK("http://www.twitter.com/nycoem/status/764130957196754945", "764130957196754945")</f>
        <v>0</v>
      </c>
      <c r="B334" s="2">
        <v>42594.6711921296</v>
      </c>
      <c r="C334">
        <v>3</v>
      </c>
      <c r="D334">
        <v>4</v>
      </c>
      <c r="E334" t="s">
        <v>335</v>
      </c>
    </row>
    <row r="335" spans="1:5">
      <c r="A335">
        <f>HYPERLINK("http://www.twitter.com/nycoem/status/764130396074307584", "764130396074307584")</f>
        <v>0</v>
      </c>
      <c r="B335" s="2">
        <v>42594.6696412037</v>
      </c>
      <c r="C335">
        <v>2</v>
      </c>
      <c r="D335">
        <v>2</v>
      </c>
      <c r="E335" t="s">
        <v>336</v>
      </c>
    </row>
    <row r="336" spans="1:5">
      <c r="A336">
        <f>HYPERLINK("http://www.twitter.com/nycoem/status/764130102766608388", "764130102766608388")</f>
        <v>0</v>
      </c>
      <c r="B336" s="2">
        <v>42594.6688425926</v>
      </c>
      <c r="C336">
        <v>1</v>
      </c>
      <c r="D336">
        <v>3</v>
      </c>
      <c r="E336" t="s">
        <v>337</v>
      </c>
    </row>
    <row r="337" spans="1:5">
      <c r="A337">
        <f>HYPERLINK("http://www.twitter.com/nycoem/status/764111772525686784", "764111772525686784")</f>
        <v>0</v>
      </c>
      <c r="B337" s="2">
        <v>42594.6182523148</v>
      </c>
      <c r="C337">
        <v>4</v>
      </c>
      <c r="D337">
        <v>7</v>
      </c>
      <c r="E337" t="s">
        <v>338</v>
      </c>
    </row>
    <row r="338" spans="1:5">
      <c r="A338">
        <f>HYPERLINK("http://www.twitter.com/nycoem/status/764105463654907905", "764105463654907905")</f>
        <v>0</v>
      </c>
      <c r="B338" s="2">
        <v>42594.6008449074</v>
      </c>
      <c r="C338">
        <v>0</v>
      </c>
      <c r="D338">
        <v>2</v>
      </c>
      <c r="E338" t="s">
        <v>339</v>
      </c>
    </row>
    <row r="339" spans="1:5">
      <c r="A339">
        <f>HYPERLINK("http://www.twitter.com/nycoem/status/764105091339124741", "764105091339124741")</f>
        <v>0</v>
      </c>
      <c r="B339" s="2">
        <v>42594.5998148148</v>
      </c>
      <c r="C339">
        <v>8</v>
      </c>
      <c r="D339">
        <v>30</v>
      </c>
      <c r="E339" t="s">
        <v>340</v>
      </c>
    </row>
    <row r="340" spans="1:5">
      <c r="A340">
        <f>HYPERLINK("http://www.twitter.com/nycoem/status/763851691808653312", "763851691808653312")</f>
        <v>0</v>
      </c>
      <c r="B340" s="2">
        <v>42593.9005671296</v>
      </c>
      <c r="C340">
        <v>0</v>
      </c>
      <c r="D340">
        <v>35</v>
      </c>
      <c r="E340" t="s">
        <v>341</v>
      </c>
    </row>
    <row r="341" spans="1:5">
      <c r="A341">
        <f>HYPERLINK("http://www.twitter.com/nycoem/status/763838332946251780", "763838332946251780")</f>
        <v>0</v>
      </c>
      <c r="B341" s="2">
        <v>42593.8637037037</v>
      </c>
      <c r="C341">
        <v>8</v>
      </c>
      <c r="D341">
        <v>34</v>
      </c>
      <c r="E341" t="s">
        <v>342</v>
      </c>
    </row>
    <row r="342" spans="1:5">
      <c r="A342">
        <f>HYPERLINK("http://www.twitter.com/nycoem/status/763838126754267136", "763838126754267136")</f>
        <v>0</v>
      </c>
      <c r="B342" s="2">
        <v>42593.8631365741</v>
      </c>
      <c r="C342">
        <v>2</v>
      </c>
      <c r="D342">
        <v>9</v>
      </c>
      <c r="E342" t="s">
        <v>343</v>
      </c>
    </row>
    <row r="343" spans="1:5">
      <c r="A343">
        <f>HYPERLINK("http://www.twitter.com/nycoem/status/763831906542780416", "763831906542780416")</f>
        <v>0</v>
      </c>
      <c r="B343" s="2">
        <v>42593.8459722222</v>
      </c>
      <c r="C343">
        <v>0</v>
      </c>
      <c r="D343">
        <v>11</v>
      </c>
      <c r="E343" t="s">
        <v>344</v>
      </c>
    </row>
    <row r="344" spans="1:5">
      <c r="A344">
        <f>HYPERLINK("http://www.twitter.com/nycoem/status/763809768008015872", "763809768008015872")</f>
        <v>0</v>
      </c>
      <c r="B344" s="2">
        <v>42593.7848842593</v>
      </c>
      <c r="C344">
        <v>1</v>
      </c>
      <c r="D344">
        <v>7</v>
      </c>
      <c r="E344" t="s">
        <v>345</v>
      </c>
    </row>
    <row r="345" spans="1:5">
      <c r="A345">
        <f>HYPERLINK("http://www.twitter.com/nycoem/status/763715162864058370", "763715162864058370")</f>
        <v>0</v>
      </c>
      <c r="B345" s="2">
        <v>42593.5238194444</v>
      </c>
      <c r="C345">
        <v>8</v>
      </c>
      <c r="D345">
        <v>16</v>
      </c>
      <c r="E345" t="s">
        <v>346</v>
      </c>
    </row>
    <row r="346" spans="1:5">
      <c r="A346">
        <f>HYPERLINK("http://www.twitter.com/nycoem/status/763439274452713472", "763439274452713472")</f>
        <v>0</v>
      </c>
      <c r="B346" s="2">
        <v>42592.7625115741</v>
      </c>
      <c r="C346">
        <v>0</v>
      </c>
      <c r="D346">
        <v>4</v>
      </c>
      <c r="E346" t="s">
        <v>347</v>
      </c>
    </row>
    <row r="347" spans="1:5">
      <c r="A347">
        <f>HYPERLINK("http://www.twitter.com/nycoem/status/763408410272464896", "763408410272464896")</f>
        <v>0</v>
      </c>
      <c r="B347" s="2">
        <v>42592.677349537</v>
      </c>
      <c r="C347">
        <v>2</v>
      </c>
      <c r="D347">
        <v>15</v>
      </c>
      <c r="E347" t="s">
        <v>348</v>
      </c>
    </row>
    <row r="348" spans="1:5">
      <c r="A348">
        <f>HYPERLINK("http://www.twitter.com/nycoem/status/763150802798206977", "763150802798206977")</f>
        <v>0</v>
      </c>
      <c r="B348" s="2">
        <v>42591.9664814815</v>
      </c>
      <c r="C348">
        <v>0</v>
      </c>
      <c r="D348">
        <v>34</v>
      </c>
      <c r="E348" t="s">
        <v>349</v>
      </c>
    </row>
    <row r="349" spans="1:5">
      <c r="A349">
        <f>HYPERLINK("http://www.twitter.com/nycoem/status/763144179585282049", "763144179585282049")</f>
        <v>0</v>
      </c>
      <c r="B349" s="2">
        <v>42591.9482060185</v>
      </c>
      <c r="C349">
        <v>5</v>
      </c>
      <c r="D349">
        <v>8</v>
      </c>
      <c r="E349" t="s">
        <v>350</v>
      </c>
    </row>
    <row r="350" spans="1:5">
      <c r="A350">
        <f>HYPERLINK("http://www.twitter.com/nycoem/status/763020856176107520", "763020856176107520")</f>
        <v>0</v>
      </c>
      <c r="B350" s="2">
        <v>42591.6079050926</v>
      </c>
      <c r="C350">
        <v>6</v>
      </c>
      <c r="D350">
        <v>11</v>
      </c>
      <c r="E350" t="s">
        <v>351</v>
      </c>
    </row>
    <row r="351" spans="1:5">
      <c r="A351">
        <f>HYPERLINK("http://www.twitter.com/nycoem/status/762672467307556864", "762672467307556864")</f>
        <v>0</v>
      </c>
      <c r="B351" s="2">
        <v>42590.6465277778</v>
      </c>
      <c r="C351">
        <v>1</v>
      </c>
      <c r="D351">
        <v>2</v>
      </c>
      <c r="E351" t="s">
        <v>352</v>
      </c>
    </row>
    <row r="352" spans="1:5">
      <c r="A352">
        <f>HYPERLINK("http://www.twitter.com/nycoem/status/762642233661255680", "762642233661255680")</f>
        <v>0</v>
      </c>
      <c r="B352" s="2">
        <v>42590.5631018519</v>
      </c>
      <c r="C352">
        <v>13</v>
      </c>
      <c r="D352">
        <v>18</v>
      </c>
      <c r="E352" t="s">
        <v>353</v>
      </c>
    </row>
    <row r="353" spans="1:5">
      <c r="A353">
        <f>HYPERLINK("http://www.twitter.com/nycoem/status/761652926637019136", "761652926637019136")</f>
        <v>0</v>
      </c>
      <c r="B353" s="2">
        <v>42587.8331365741</v>
      </c>
      <c r="C353">
        <v>16</v>
      </c>
      <c r="D353">
        <v>12</v>
      </c>
      <c r="E353" t="s">
        <v>354</v>
      </c>
    </row>
    <row r="354" spans="1:5">
      <c r="A354">
        <f>HYPERLINK("http://www.twitter.com/nycoem/status/761642406412509184", "761642406412509184")</f>
        <v>0</v>
      </c>
      <c r="B354" s="2">
        <v>42587.8040972222</v>
      </c>
      <c r="C354">
        <v>1</v>
      </c>
      <c r="D354">
        <v>3</v>
      </c>
      <c r="E354" t="s">
        <v>355</v>
      </c>
    </row>
    <row r="355" spans="1:5">
      <c r="A355">
        <f>HYPERLINK("http://www.twitter.com/nycoem/status/761592818704023552", "761592818704023552")</f>
        <v>0</v>
      </c>
      <c r="B355" s="2">
        <v>42587.6672685185</v>
      </c>
      <c r="C355">
        <v>1</v>
      </c>
      <c r="D355">
        <v>3</v>
      </c>
      <c r="E355" t="s">
        <v>356</v>
      </c>
    </row>
    <row r="356" spans="1:5">
      <c r="A356">
        <f>HYPERLINK("http://www.twitter.com/nycoem/status/761578812761079808", "761578812761079808")</f>
        <v>0</v>
      </c>
      <c r="B356" s="2">
        <v>42587.6286226852</v>
      </c>
      <c r="C356">
        <v>3</v>
      </c>
      <c r="D356">
        <v>5</v>
      </c>
      <c r="E356" t="s">
        <v>357</v>
      </c>
    </row>
    <row r="357" spans="1:5">
      <c r="A357">
        <f>HYPERLINK("http://www.twitter.com/nycoem/status/761227753576357888", "761227753576357888")</f>
        <v>0</v>
      </c>
      <c r="B357" s="2">
        <v>42586.6598842593</v>
      </c>
      <c r="C357">
        <v>3</v>
      </c>
      <c r="D357">
        <v>4</v>
      </c>
      <c r="E357" t="s">
        <v>358</v>
      </c>
    </row>
    <row r="358" spans="1:5">
      <c r="A358">
        <f>HYPERLINK("http://www.twitter.com/nycoem/status/761199168153001984", "761199168153001984")</f>
        <v>0</v>
      </c>
      <c r="B358" s="2">
        <v>42586.5809953704</v>
      </c>
      <c r="C358">
        <v>7</v>
      </c>
      <c r="D358">
        <v>21</v>
      </c>
      <c r="E358" t="s">
        <v>359</v>
      </c>
    </row>
    <row r="359" spans="1:5">
      <c r="A359">
        <f>HYPERLINK("http://www.twitter.com/nycoem/status/760872870738333696", "760872870738333696")</f>
        <v>0</v>
      </c>
      <c r="B359" s="2">
        <v>42585.6805902778</v>
      </c>
      <c r="C359">
        <v>0</v>
      </c>
      <c r="D359">
        <v>10</v>
      </c>
      <c r="E359" t="s">
        <v>360</v>
      </c>
    </row>
    <row r="360" spans="1:5">
      <c r="A360">
        <f>HYPERLINK("http://www.twitter.com/nycoem/status/760841518563356672", "760841518563356672")</f>
        <v>0</v>
      </c>
      <c r="B360" s="2">
        <v>42585.5940740741</v>
      </c>
      <c r="C360">
        <v>2</v>
      </c>
      <c r="D360">
        <v>7</v>
      </c>
      <c r="E360" t="s">
        <v>361</v>
      </c>
    </row>
    <row r="361" spans="1:5">
      <c r="A361">
        <f>HYPERLINK("http://www.twitter.com/nycoem/status/760822650235187200", "760822650235187200")</f>
        <v>0</v>
      </c>
      <c r="B361" s="2">
        <v>42585.5420023148</v>
      </c>
      <c r="C361">
        <v>5</v>
      </c>
      <c r="D361">
        <v>14</v>
      </c>
      <c r="E361" t="s">
        <v>362</v>
      </c>
    </row>
    <row r="362" spans="1:5">
      <c r="A362">
        <f>HYPERLINK("http://www.twitter.com/nycoem/status/760627640172773377", "760627640172773377")</f>
        <v>0</v>
      </c>
      <c r="B362" s="2">
        <v>42585.0038773148</v>
      </c>
      <c r="C362">
        <v>2</v>
      </c>
      <c r="D362">
        <v>2</v>
      </c>
      <c r="E362" t="s">
        <v>363</v>
      </c>
    </row>
    <row r="363" spans="1:5">
      <c r="A363">
        <f>HYPERLINK("http://www.twitter.com/nycoem/status/760620512972251138", "760620512972251138")</f>
        <v>0</v>
      </c>
      <c r="B363" s="2">
        <v>42584.984212963</v>
      </c>
      <c r="C363">
        <v>5</v>
      </c>
      <c r="D363">
        <v>3</v>
      </c>
      <c r="E363" t="s">
        <v>364</v>
      </c>
    </row>
    <row r="364" spans="1:5">
      <c r="A364">
        <f>HYPERLINK("http://www.twitter.com/nycoem/status/760619758169497600", "760619758169497600")</f>
        <v>0</v>
      </c>
      <c r="B364" s="2">
        <v>42584.9821296296</v>
      </c>
      <c r="C364">
        <v>2</v>
      </c>
      <c r="D364">
        <v>1</v>
      </c>
      <c r="E364" t="s">
        <v>365</v>
      </c>
    </row>
    <row r="365" spans="1:5">
      <c r="A365">
        <f>HYPERLINK("http://www.twitter.com/nycoem/status/760591845504249856", "760591845504249856")</f>
        <v>0</v>
      </c>
      <c r="B365" s="2">
        <v>42584.9051041667</v>
      </c>
      <c r="C365">
        <v>0</v>
      </c>
      <c r="D365">
        <v>1</v>
      </c>
      <c r="E365" t="s">
        <v>366</v>
      </c>
    </row>
    <row r="366" spans="1:5">
      <c r="A366">
        <f>HYPERLINK("http://www.twitter.com/nycoem/status/760537791046553600", "760537791046553600")</f>
        <v>0</v>
      </c>
      <c r="B366" s="2">
        <v>42584.7559490741</v>
      </c>
      <c r="C366">
        <v>12</v>
      </c>
      <c r="D366">
        <v>7</v>
      </c>
      <c r="E366" t="s">
        <v>367</v>
      </c>
    </row>
    <row r="367" spans="1:5">
      <c r="A367">
        <f>HYPERLINK("http://www.twitter.com/nycoem/status/760497018640957441", "760497018640957441")</f>
        <v>0</v>
      </c>
      <c r="B367" s="2">
        <v>42584.6434375</v>
      </c>
      <c r="C367">
        <v>4</v>
      </c>
      <c r="D367">
        <v>7</v>
      </c>
      <c r="E367" t="s">
        <v>368</v>
      </c>
    </row>
    <row r="368" spans="1:5">
      <c r="A368">
        <f>HYPERLINK("http://www.twitter.com/nycoem/status/760193492983410688", "760193492983410688")</f>
        <v>0</v>
      </c>
      <c r="B368" s="2">
        <v>42583.8058680556</v>
      </c>
      <c r="C368">
        <v>4</v>
      </c>
      <c r="D368">
        <v>6</v>
      </c>
      <c r="E368" t="s">
        <v>369</v>
      </c>
    </row>
    <row r="369" spans="1:5">
      <c r="A369">
        <f>HYPERLINK("http://www.twitter.com/nycoem/status/760139345974222848", "760139345974222848")</f>
        <v>0</v>
      </c>
      <c r="B369" s="2">
        <v>42583.6564467593</v>
      </c>
      <c r="C369">
        <v>6</v>
      </c>
      <c r="D369">
        <v>9</v>
      </c>
      <c r="E369" t="s">
        <v>370</v>
      </c>
    </row>
    <row r="370" spans="1:5">
      <c r="A370">
        <f>HYPERLINK("http://www.twitter.com/nycoem/status/760105562642214913", "760105562642214913")</f>
        <v>0</v>
      </c>
      <c r="B370" s="2">
        <v>42583.5632175926</v>
      </c>
      <c r="C370">
        <v>15</v>
      </c>
      <c r="D370">
        <v>39</v>
      </c>
      <c r="E370" t="s">
        <v>371</v>
      </c>
    </row>
    <row r="371" spans="1:5">
      <c r="A371">
        <f>HYPERLINK("http://www.twitter.com/nycoem/status/759929957191680000", "759929957191680000")</f>
        <v>0</v>
      </c>
      <c r="B371" s="2">
        <v>42583.0786458333</v>
      </c>
      <c r="C371">
        <v>0</v>
      </c>
      <c r="D371">
        <v>34</v>
      </c>
      <c r="E371" t="s">
        <v>372</v>
      </c>
    </row>
    <row r="372" spans="1:5">
      <c r="A372">
        <f>HYPERLINK("http://www.twitter.com/nycoem/status/759135963260026880", "759135963260026880")</f>
        <v>0</v>
      </c>
      <c r="B372" s="2">
        <v>42580.8876388889</v>
      </c>
      <c r="C372">
        <v>0</v>
      </c>
      <c r="D372">
        <v>16</v>
      </c>
      <c r="E372" t="s">
        <v>373</v>
      </c>
    </row>
    <row r="373" spans="1:5">
      <c r="A373">
        <f>HYPERLINK("http://www.twitter.com/nycoem/status/759043257041117184", "759043257041117184")</f>
        <v>0</v>
      </c>
      <c r="B373" s="2">
        <v>42580.6318171296</v>
      </c>
      <c r="C373">
        <v>12</v>
      </c>
      <c r="D373">
        <v>12</v>
      </c>
      <c r="E373" t="s">
        <v>374</v>
      </c>
    </row>
    <row r="374" spans="1:5">
      <c r="A374">
        <f>HYPERLINK("http://www.twitter.com/nycoem/status/759012583475023872", "759012583475023872")</f>
        <v>0</v>
      </c>
      <c r="B374" s="2">
        <v>42580.5471759259</v>
      </c>
      <c r="C374">
        <v>0</v>
      </c>
      <c r="D374">
        <v>5</v>
      </c>
      <c r="E374" t="s">
        <v>375</v>
      </c>
    </row>
    <row r="375" spans="1:5">
      <c r="A375">
        <f>HYPERLINK("http://www.twitter.com/nycoem/status/758748218788225025", "758748218788225025")</f>
        <v>0</v>
      </c>
      <c r="B375" s="2">
        <v>42579.817662037</v>
      </c>
      <c r="C375">
        <v>0</v>
      </c>
      <c r="D375">
        <v>26</v>
      </c>
      <c r="E375" t="s">
        <v>376</v>
      </c>
    </row>
    <row r="376" spans="1:5">
      <c r="A376">
        <f>HYPERLINK("http://www.twitter.com/nycoem/status/758737568800182272", "758737568800182272")</f>
        <v>0</v>
      </c>
      <c r="B376" s="2">
        <v>42579.788275463</v>
      </c>
      <c r="C376">
        <v>2</v>
      </c>
      <c r="D376">
        <v>6</v>
      </c>
      <c r="E376" t="s">
        <v>377</v>
      </c>
    </row>
    <row r="377" spans="1:5">
      <c r="A377">
        <f>HYPERLINK("http://www.twitter.com/nycoem/status/758689805744107521", "758689805744107521")</f>
        <v>0</v>
      </c>
      <c r="B377" s="2">
        <v>42579.6564814815</v>
      </c>
      <c r="C377">
        <v>16</v>
      </c>
      <c r="D377">
        <v>21</v>
      </c>
      <c r="E377" t="s">
        <v>378</v>
      </c>
    </row>
    <row r="378" spans="1:5">
      <c r="A378">
        <f>HYPERLINK("http://www.twitter.com/nycoem/status/758377470060032000", "758377470060032000")</f>
        <v>0</v>
      </c>
      <c r="B378" s="2">
        <v>42578.7945949074</v>
      </c>
      <c r="C378">
        <v>0</v>
      </c>
      <c r="D378">
        <v>13</v>
      </c>
      <c r="E378" t="s">
        <v>379</v>
      </c>
    </row>
    <row r="379" spans="1:5">
      <c r="A379">
        <f>HYPERLINK("http://www.twitter.com/nycoem/status/758334939872030720", "758334939872030720")</f>
        <v>0</v>
      </c>
      <c r="B379" s="2">
        <v>42578.6772337963</v>
      </c>
      <c r="C379">
        <v>1</v>
      </c>
      <c r="D379">
        <v>6</v>
      </c>
      <c r="E379" t="s">
        <v>380</v>
      </c>
    </row>
    <row r="380" spans="1:5">
      <c r="A380">
        <f>HYPERLINK("http://www.twitter.com/nycoem/status/758285896840015872", "758285896840015872")</f>
        <v>0</v>
      </c>
      <c r="B380" s="2">
        <v>42578.5418981481</v>
      </c>
      <c r="C380">
        <v>10</v>
      </c>
      <c r="D380">
        <v>19</v>
      </c>
      <c r="E380" t="s">
        <v>381</v>
      </c>
    </row>
    <row r="381" spans="1:5">
      <c r="A381">
        <f>HYPERLINK("http://www.twitter.com/nycoem/status/758037922775990272", "758037922775990272")</f>
        <v>0</v>
      </c>
      <c r="B381" s="2">
        <v>42577.8576273148</v>
      </c>
      <c r="C381">
        <v>5</v>
      </c>
      <c r="D381">
        <v>20</v>
      </c>
      <c r="E381" t="s">
        <v>382</v>
      </c>
    </row>
    <row r="382" spans="1:5">
      <c r="A382">
        <f>HYPERLINK("http://www.twitter.com/nycoem/status/757965018839351296", "757965018839351296")</f>
        <v>0</v>
      </c>
      <c r="B382" s="2">
        <v>42577.6564467593</v>
      </c>
      <c r="C382">
        <v>32</v>
      </c>
      <c r="D382">
        <v>43</v>
      </c>
      <c r="E382" t="s">
        <v>383</v>
      </c>
    </row>
    <row r="383" spans="1:5">
      <c r="A383">
        <f>HYPERLINK("http://www.twitter.com/nycoem/status/757963745377316864", "757963745377316864")</f>
        <v>0</v>
      </c>
      <c r="B383" s="2">
        <v>42577.6529282407</v>
      </c>
      <c r="C383">
        <v>0</v>
      </c>
      <c r="D383">
        <v>13</v>
      </c>
      <c r="E383" t="s">
        <v>384</v>
      </c>
    </row>
    <row r="384" spans="1:5">
      <c r="A384">
        <f>HYPERLINK("http://www.twitter.com/nycoem/status/757933525031149568", "757933525031149568")</f>
        <v>0</v>
      </c>
      <c r="B384" s="2">
        <v>42577.569537037</v>
      </c>
      <c r="C384">
        <v>10</v>
      </c>
      <c r="D384">
        <v>12</v>
      </c>
      <c r="E384" t="s">
        <v>385</v>
      </c>
    </row>
    <row r="385" spans="1:5">
      <c r="A385">
        <f>HYPERLINK("http://www.twitter.com/nycoem/status/757930496550731777", "757930496550731777")</f>
        <v>0</v>
      </c>
      <c r="B385" s="2">
        <v>42577.5611805556</v>
      </c>
      <c r="C385">
        <v>25</v>
      </c>
      <c r="D385">
        <v>31</v>
      </c>
      <c r="E385" t="s">
        <v>386</v>
      </c>
    </row>
    <row r="386" spans="1:5">
      <c r="A386">
        <f>HYPERLINK("http://www.twitter.com/nycoem/status/757928375499497472", "757928375499497472")</f>
        <v>0</v>
      </c>
      <c r="B386" s="2">
        <v>42577.5553356481</v>
      </c>
      <c r="C386">
        <v>0</v>
      </c>
      <c r="D386">
        <v>10</v>
      </c>
      <c r="E386" t="s">
        <v>387</v>
      </c>
    </row>
    <row r="387" spans="1:5">
      <c r="A387">
        <f>HYPERLINK("http://www.twitter.com/nycoem/status/757687149290545152", "757687149290545152")</f>
        <v>0</v>
      </c>
      <c r="B387" s="2">
        <v>42576.8896759259</v>
      </c>
      <c r="C387">
        <v>0</v>
      </c>
      <c r="D387">
        <v>34</v>
      </c>
      <c r="E387" t="s">
        <v>388</v>
      </c>
    </row>
    <row r="388" spans="1:5">
      <c r="A388">
        <f>HYPERLINK("http://www.twitter.com/nycoem/status/757685467135508481", "757685467135508481")</f>
        <v>0</v>
      </c>
      <c r="B388" s="2">
        <v>42576.8850347222</v>
      </c>
      <c r="C388">
        <v>0</v>
      </c>
      <c r="D388">
        <v>38</v>
      </c>
      <c r="E388" t="s">
        <v>389</v>
      </c>
    </row>
    <row r="389" spans="1:5">
      <c r="A389">
        <f>HYPERLINK("http://www.twitter.com/nycoem/status/757685446256234496", "757685446256234496")</f>
        <v>0</v>
      </c>
      <c r="B389" s="2">
        <v>42576.8849768518</v>
      </c>
      <c r="C389">
        <v>0</v>
      </c>
      <c r="D389">
        <v>24</v>
      </c>
      <c r="E389" t="s">
        <v>390</v>
      </c>
    </row>
    <row r="390" spans="1:5">
      <c r="A390">
        <f>HYPERLINK("http://www.twitter.com/nycoem/status/757679245086879745", "757679245086879745")</f>
        <v>0</v>
      </c>
      <c r="B390" s="2">
        <v>42576.8678587963</v>
      </c>
      <c r="C390">
        <v>0</v>
      </c>
      <c r="D390">
        <v>7</v>
      </c>
      <c r="E390" t="s">
        <v>391</v>
      </c>
    </row>
    <row r="391" spans="1:5">
      <c r="A391">
        <f>HYPERLINK("http://www.twitter.com/nycoem/status/757678061240324096", "757678061240324096")</f>
        <v>0</v>
      </c>
      <c r="B391" s="2">
        <v>42576.8645949074</v>
      </c>
      <c r="C391">
        <v>0</v>
      </c>
      <c r="D391">
        <v>16</v>
      </c>
      <c r="E391" t="s">
        <v>392</v>
      </c>
    </row>
    <row r="392" spans="1:5">
      <c r="A392">
        <f>HYPERLINK("http://www.twitter.com/nycoem/status/757669182561476608", "757669182561476608")</f>
        <v>0</v>
      </c>
      <c r="B392" s="2">
        <v>42576.8400925926</v>
      </c>
      <c r="C392">
        <v>7</v>
      </c>
      <c r="D392">
        <v>13</v>
      </c>
      <c r="E392" t="s">
        <v>393</v>
      </c>
    </row>
    <row r="393" spans="1:5">
      <c r="A393">
        <f>HYPERLINK("http://www.twitter.com/nycoem/status/757647917310177280", "757647917310177280")</f>
        <v>0</v>
      </c>
      <c r="B393" s="2">
        <v>42576.781412037</v>
      </c>
      <c r="C393">
        <v>6</v>
      </c>
      <c r="D393">
        <v>2</v>
      </c>
      <c r="E393" t="s">
        <v>394</v>
      </c>
    </row>
    <row r="394" spans="1:5">
      <c r="A394">
        <f>HYPERLINK("http://www.twitter.com/nycoem/status/757620351291559936", "757620351291559936")</f>
        <v>0</v>
      </c>
      <c r="B394" s="2">
        <v>42576.7053472222</v>
      </c>
      <c r="C394">
        <v>0</v>
      </c>
      <c r="D394">
        <v>32</v>
      </c>
      <c r="E394" t="s">
        <v>395</v>
      </c>
    </row>
    <row r="395" spans="1:5">
      <c r="A395">
        <f>HYPERLINK("http://www.twitter.com/nycoem/status/757620334975647744", "757620334975647744")</f>
        <v>0</v>
      </c>
      <c r="B395" s="2">
        <v>42576.7053009259</v>
      </c>
      <c r="C395">
        <v>0</v>
      </c>
      <c r="D395">
        <v>16</v>
      </c>
      <c r="E395" t="s">
        <v>396</v>
      </c>
    </row>
    <row r="396" spans="1:5">
      <c r="A396">
        <f>HYPERLINK("http://www.twitter.com/nycoem/status/757551704531501056", "757551704531501056")</f>
        <v>0</v>
      </c>
      <c r="B396" s="2">
        <v>42576.5159143519</v>
      </c>
      <c r="C396">
        <v>10</v>
      </c>
      <c r="D396">
        <v>23</v>
      </c>
      <c r="E396" t="s">
        <v>397</v>
      </c>
    </row>
    <row r="397" spans="1:5">
      <c r="A397">
        <f>HYPERLINK("http://www.twitter.com/nycoem/status/757537546830249984", "757537546830249984")</f>
        <v>0</v>
      </c>
      <c r="B397" s="2">
        <v>42576.4768518519</v>
      </c>
      <c r="C397">
        <v>0</v>
      </c>
      <c r="D397">
        <v>16</v>
      </c>
      <c r="E397" t="s">
        <v>398</v>
      </c>
    </row>
    <row r="398" spans="1:5">
      <c r="A398">
        <f>HYPERLINK("http://www.twitter.com/nycoem/status/757327417895780353", "757327417895780353")</f>
        <v>0</v>
      </c>
      <c r="B398" s="2">
        <v>42575.8970023148</v>
      </c>
      <c r="C398">
        <v>0</v>
      </c>
      <c r="D398">
        <v>61</v>
      </c>
      <c r="E398" t="s">
        <v>399</v>
      </c>
    </row>
    <row r="399" spans="1:5">
      <c r="A399">
        <f>HYPERLINK("http://www.twitter.com/nycoem/status/757288832580591616", "757288832580591616")</f>
        <v>0</v>
      </c>
      <c r="B399" s="2">
        <v>42575.7905324074</v>
      </c>
      <c r="C399">
        <v>0</v>
      </c>
      <c r="D399">
        <v>16</v>
      </c>
      <c r="E399" t="s">
        <v>400</v>
      </c>
    </row>
    <row r="400" spans="1:5">
      <c r="A400">
        <f>HYPERLINK("http://www.twitter.com/nycoem/status/757198874763288576", "757198874763288576")</f>
        <v>0</v>
      </c>
      <c r="B400" s="2">
        <v>42575.5422916667</v>
      </c>
      <c r="C400">
        <v>6</v>
      </c>
      <c r="D400">
        <v>28</v>
      </c>
      <c r="E400" t="s">
        <v>397</v>
      </c>
    </row>
    <row r="401" spans="1:5">
      <c r="A401">
        <f>HYPERLINK("http://www.twitter.com/nycoem/status/757187339303157760", "757187339303157760")</f>
        <v>0</v>
      </c>
      <c r="B401" s="2">
        <v>42575.510462963</v>
      </c>
      <c r="C401">
        <v>0</v>
      </c>
      <c r="D401">
        <v>21</v>
      </c>
      <c r="E401" t="s">
        <v>401</v>
      </c>
    </row>
    <row r="402" spans="1:5">
      <c r="A402">
        <f>HYPERLINK("http://www.twitter.com/nycoem/status/756836513925791744", "756836513925791744")</f>
        <v>0</v>
      </c>
      <c r="B402" s="2">
        <v>42574.5423611111</v>
      </c>
      <c r="C402">
        <v>11</v>
      </c>
      <c r="D402">
        <v>21</v>
      </c>
      <c r="E402" t="s">
        <v>397</v>
      </c>
    </row>
    <row r="403" spans="1:5">
      <c r="A403">
        <f>HYPERLINK("http://www.twitter.com/nycoem/status/756624367753265152", "756624367753265152")</f>
        <v>0</v>
      </c>
      <c r="B403" s="2">
        <v>42573.9569560185</v>
      </c>
      <c r="C403">
        <v>0</v>
      </c>
      <c r="D403">
        <v>18</v>
      </c>
      <c r="E403" t="s">
        <v>402</v>
      </c>
    </row>
    <row r="404" spans="1:5">
      <c r="A404">
        <f>HYPERLINK("http://www.twitter.com/nycoem/status/756579859867009028", "756579859867009028")</f>
        <v>0</v>
      </c>
      <c r="B404" s="2">
        <v>42573.8341319444</v>
      </c>
      <c r="C404">
        <v>11</v>
      </c>
      <c r="D404">
        <v>27</v>
      </c>
      <c r="E404" t="s">
        <v>403</v>
      </c>
    </row>
    <row r="405" spans="1:5">
      <c r="A405">
        <f>HYPERLINK("http://www.twitter.com/nycoem/status/756518097713004544", "756518097713004544")</f>
        <v>0</v>
      </c>
      <c r="B405" s="2">
        <v>42573.6637037037</v>
      </c>
      <c r="C405">
        <v>0</v>
      </c>
      <c r="D405">
        <v>38</v>
      </c>
      <c r="E405" t="s">
        <v>404</v>
      </c>
    </row>
    <row r="406" spans="1:5">
      <c r="A406">
        <f>HYPERLINK("http://www.twitter.com/nycoem/status/756494283658723328", "756494283658723328")</f>
        <v>0</v>
      </c>
      <c r="B406" s="2">
        <v>42573.5979861111</v>
      </c>
      <c r="C406">
        <v>55</v>
      </c>
      <c r="D406">
        <v>55</v>
      </c>
      <c r="E406" t="s">
        <v>405</v>
      </c>
    </row>
    <row r="407" spans="1:5">
      <c r="A407">
        <f>HYPERLINK("http://www.twitter.com/nycoem/status/756454177577005056", "756454177577005056")</f>
        <v>0</v>
      </c>
      <c r="B407" s="2">
        <v>42573.4873148148</v>
      </c>
      <c r="C407">
        <v>14</v>
      </c>
      <c r="D407">
        <v>42</v>
      </c>
      <c r="E407" t="s">
        <v>397</v>
      </c>
    </row>
    <row r="408" spans="1:5">
      <c r="A408">
        <f>HYPERLINK("http://www.twitter.com/nycoem/status/756233296405815296", "756233296405815296")</f>
        <v>0</v>
      </c>
      <c r="B408" s="2">
        <v>42572.8778009259</v>
      </c>
      <c r="C408">
        <v>10</v>
      </c>
      <c r="D408">
        <v>31</v>
      </c>
      <c r="E408" t="s">
        <v>406</v>
      </c>
    </row>
    <row r="409" spans="1:5">
      <c r="A409">
        <f>HYPERLINK("http://www.twitter.com/nycoem/status/756153517568589824", "756153517568589824")</f>
        <v>0</v>
      </c>
      <c r="B409" s="2">
        <v>42572.657650463</v>
      </c>
      <c r="C409">
        <v>4</v>
      </c>
      <c r="D409">
        <v>1</v>
      </c>
      <c r="E409" t="s">
        <v>407</v>
      </c>
    </row>
    <row r="410" spans="1:5">
      <c r="A410">
        <f>HYPERLINK("http://www.twitter.com/nycoem/status/756121175735107584", "756121175735107584")</f>
        <v>0</v>
      </c>
      <c r="B410" s="2">
        <v>42572.5684143519</v>
      </c>
      <c r="C410">
        <v>15</v>
      </c>
      <c r="D410">
        <v>21</v>
      </c>
      <c r="E410" t="s">
        <v>408</v>
      </c>
    </row>
    <row r="411" spans="1:5">
      <c r="A411">
        <f>HYPERLINK("http://www.twitter.com/nycoem/status/755809855416467456", "755809855416467456")</f>
        <v>0</v>
      </c>
      <c r="B411" s="2">
        <v>42571.7093287037</v>
      </c>
      <c r="C411">
        <v>0</v>
      </c>
      <c r="D411">
        <v>0</v>
      </c>
      <c r="E411" t="s">
        <v>409</v>
      </c>
    </row>
    <row r="412" spans="1:5">
      <c r="A412">
        <f>HYPERLINK("http://www.twitter.com/nycoem/status/755784789203030017", "755784789203030017")</f>
        <v>0</v>
      </c>
      <c r="B412" s="2">
        <v>42571.640162037</v>
      </c>
      <c r="C412">
        <v>4</v>
      </c>
      <c r="D412">
        <v>6</v>
      </c>
      <c r="E412" t="s">
        <v>410</v>
      </c>
    </row>
    <row r="413" spans="1:5">
      <c r="A413">
        <f>HYPERLINK("http://www.twitter.com/nycoem/status/755750399076921344", "755750399076921344")</f>
        <v>0</v>
      </c>
      <c r="B413" s="2">
        <v>42571.5452546296</v>
      </c>
      <c r="C413">
        <v>3</v>
      </c>
      <c r="D413">
        <v>7</v>
      </c>
      <c r="E413" t="s">
        <v>411</v>
      </c>
    </row>
    <row r="414" spans="1:5">
      <c r="A414">
        <f>HYPERLINK("http://www.twitter.com/nycoem/status/755476104304001025", "755476104304001025")</f>
        <v>0</v>
      </c>
      <c r="B414" s="2">
        <v>42570.7883449074</v>
      </c>
      <c r="C414">
        <v>3</v>
      </c>
      <c r="D414">
        <v>6</v>
      </c>
      <c r="E414" t="s">
        <v>412</v>
      </c>
    </row>
    <row r="415" spans="1:5">
      <c r="A415">
        <f>HYPERLINK("http://www.twitter.com/nycoem/status/755438368276746240", "755438368276746240")</f>
        <v>0</v>
      </c>
      <c r="B415" s="2">
        <v>42570.684224537</v>
      </c>
      <c r="C415">
        <v>3</v>
      </c>
      <c r="D415">
        <v>3</v>
      </c>
      <c r="E415" t="s">
        <v>413</v>
      </c>
    </row>
    <row r="416" spans="1:5">
      <c r="A416">
        <f>HYPERLINK("http://www.twitter.com/nycoem/status/755073377354784768", "755073377354784768")</f>
        <v>0</v>
      </c>
      <c r="B416" s="2">
        <v>42569.677037037</v>
      </c>
      <c r="C416">
        <v>6</v>
      </c>
      <c r="D416">
        <v>15</v>
      </c>
      <c r="E416" t="s">
        <v>414</v>
      </c>
    </row>
    <row r="417" spans="1:5">
      <c r="A417">
        <f>HYPERLINK("http://www.twitter.com/nycoem/status/755072821294927873", "755072821294927873")</f>
        <v>0</v>
      </c>
      <c r="B417" s="2">
        <v>42569.6754976852</v>
      </c>
      <c r="C417">
        <v>3</v>
      </c>
      <c r="D417">
        <v>16</v>
      </c>
      <c r="E417" t="s">
        <v>415</v>
      </c>
    </row>
    <row r="418" spans="1:5">
      <c r="A418">
        <f>HYPERLINK("http://www.twitter.com/nycoem/status/755049614210990081", "755049614210990081")</f>
        <v>0</v>
      </c>
      <c r="B418" s="2">
        <v>42569.6114583333</v>
      </c>
      <c r="C418">
        <v>9</v>
      </c>
      <c r="D418">
        <v>4</v>
      </c>
      <c r="E418" t="s">
        <v>416</v>
      </c>
    </row>
    <row r="419" spans="1:5">
      <c r="A419">
        <f>HYPERLINK("http://www.twitter.com/nycoem/status/755030690631151616", "755030690631151616")</f>
        <v>0</v>
      </c>
      <c r="B419" s="2">
        <v>42569.5592476852</v>
      </c>
      <c r="C419">
        <v>8</v>
      </c>
      <c r="D419">
        <v>36</v>
      </c>
      <c r="E419" t="s">
        <v>417</v>
      </c>
    </row>
    <row r="420" spans="1:5">
      <c r="A420">
        <f>HYPERLINK("http://www.twitter.com/nycoem/status/754864933574176768", "754864933574176768")</f>
        <v>0</v>
      </c>
      <c r="B420" s="2">
        <v>42569.1018402778</v>
      </c>
      <c r="C420">
        <v>17</v>
      </c>
      <c r="D420">
        <v>9</v>
      </c>
      <c r="E420" t="s">
        <v>418</v>
      </c>
    </row>
    <row r="421" spans="1:5">
      <c r="A421">
        <f>HYPERLINK("http://www.twitter.com/nycoem/status/754664504080920576", "754664504080920576")</f>
        <v>0</v>
      </c>
      <c r="B421" s="2">
        <v>42568.5487615741</v>
      </c>
      <c r="C421">
        <v>7</v>
      </c>
      <c r="D421">
        <v>19</v>
      </c>
      <c r="E421" t="s">
        <v>397</v>
      </c>
    </row>
    <row r="422" spans="1:5">
      <c r="A422">
        <f>HYPERLINK("http://www.twitter.com/nycoem/status/754332160354648064", "754332160354648064")</f>
        <v>0</v>
      </c>
      <c r="B422" s="2">
        <v>42567.6316666667</v>
      </c>
      <c r="C422">
        <v>1</v>
      </c>
      <c r="D422">
        <v>8</v>
      </c>
      <c r="E422" t="s">
        <v>419</v>
      </c>
    </row>
    <row r="423" spans="1:5">
      <c r="A423">
        <f>HYPERLINK("http://www.twitter.com/nycoem/status/754299769053470720", "754299769053470720")</f>
        <v>0</v>
      </c>
      <c r="B423" s="2">
        <v>42567.5422800926</v>
      </c>
      <c r="C423">
        <v>3</v>
      </c>
      <c r="D423">
        <v>16</v>
      </c>
      <c r="E423" t="s">
        <v>397</v>
      </c>
    </row>
    <row r="424" spans="1:5">
      <c r="A424">
        <f>HYPERLINK("http://www.twitter.com/nycoem/status/754058976548061184", "754058976548061184")</f>
        <v>0</v>
      </c>
      <c r="B424" s="2">
        <v>42566.8778240741</v>
      </c>
      <c r="C424">
        <v>0</v>
      </c>
      <c r="D424">
        <v>19</v>
      </c>
      <c r="E424" t="s">
        <v>420</v>
      </c>
    </row>
    <row r="425" spans="1:5">
      <c r="A425">
        <f>HYPERLINK("http://www.twitter.com/nycoem/status/753981254698168320", "753981254698168320")</f>
        <v>0</v>
      </c>
      <c r="B425" s="2">
        <v>42566.6633564815</v>
      </c>
      <c r="C425">
        <v>17</v>
      </c>
      <c r="D425">
        <v>21</v>
      </c>
      <c r="E425" t="s">
        <v>421</v>
      </c>
    </row>
    <row r="426" spans="1:5">
      <c r="A426">
        <f>HYPERLINK("http://www.twitter.com/nycoem/status/753958600188518400", "753958600188518400")</f>
        <v>0</v>
      </c>
      <c r="B426" s="2">
        <v>42566.6008333333</v>
      </c>
      <c r="C426">
        <v>9</v>
      </c>
      <c r="D426">
        <v>19</v>
      </c>
      <c r="E426" t="s">
        <v>422</v>
      </c>
    </row>
    <row r="427" spans="1:5">
      <c r="A427">
        <f>HYPERLINK("http://www.twitter.com/nycoem/status/753957505039011840", "753957505039011840")</f>
        <v>0</v>
      </c>
      <c r="B427" s="2">
        <v>42566.5978125</v>
      </c>
      <c r="C427">
        <v>0</v>
      </c>
      <c r="D427">
        <v>23</v>
      </c>
      <c r="E427" t="s">
        <v>423</v>
      </c>
    </row>
    <row r="428" spans="1:5">
      <c r="A428">
        <f>HYPERLINK("http://www.twitter.com/nycoem/status/753933451108245504", "753933451108245504")</f>
        <v>0</v>
      </c>
      <c r="B428" s="2">
        <v>42566.5314351852</v>
      </c>
      <c r="C428">
        <v>20</v>
      </c>
      <c r="D428">
        <v>36</v>
      </c>
      <c r="E428" t="s">
        <v>424</v>
      </c>
    </row>
    <row r="429" spans="1:5">
      <c r="A429">
        <f>HYPERLINK("http://www.twitter.com/nycoem/status/753711260341075968", "753711260341075968")</f>
        <v>0</v>
      </c>
      <c r="B429" s="2">
        <v>42565.9183101852</v>
      </c>
      <c r="C429">
        <v>6</v>
      </c>
      <c r="D429">
        <v>22</v>
      </c>
      <c r="E429" t="s">
        <v>425</v>
      </c>
    </row>
    <row r="430" spans="1:5">
      <c r="A430">
        <f>HYPERLINK("http://www.twitter.com/nycoem/status/753686814830039040", "753686814830039040")</f>
        <v>0</v>
      </c>
      <c r="B430" s="2">
        <v>42565.8508564815</v>
      </c>
      <c r="C430">
        <v>0</v>
      </c>
      <c r="D430">
        <v>11</v>
      </c>
      <c r="E430" t="s">
        <v>426</v>
      </c>
    </row>
    <row r="431" spans="1:5">
      <c r="A431">
        <f>HYPERLINK("http://www.twitter.com/nycoem/status/753676633702268928", "753676633702268928")</f>
        <v>0</v>
      </c>
      <c r="B431" s="2">
        <v>42565.8227546296</v>
      </c>
      <c r="C431">
        <v>0</v>
      </c>
      <c r="D431">
        <v>21</v>
      </c>
      <c r="E431" t="s">
        <v>427</v>
      </c>
    </row>
    <row r="432" spans="1:5">
      <c r="A432">
        <f>HYPERLINK("http://www.twitter.com/nycoem/status/753672993029652480", "753672993029652480")</f>
        <v>0</v>
      </c>
      <c r="B432" s="2">
        <v>42565.8127083333</v>
      </c>
      <c r="C432">
        <v>0</v>
      </c>
      <c r="D432">
        <v>24</v>
      </c>
      <c r="E432" t="s">
        <v>428</v>
      </c>
    </row>
    <row r="433" spans="1:5">
      <c r="A433">
        <f>HYPERLINK("http://www.twitter.com/nycoem/status/753662906353483777", "753662906353483777")</f>
        <v>0</v>
      </c>
      <c r="B433" s="2">
        <v>42565.7848726852</v>
      </c>
      <c r="C433">
        <v>4</v>
      </c>
      <c r="D433">
        <v>9</v>
      </c>
      <c r="E433" t="s">
        <v>429</v>
      </c>
    </row>
    <row r="434" spans="1:5">
      <c r="A434">
        <f>HYPERLINK("http://www.twitter.com/nycoem/status/753621387236020224", "753621387236020224")</f>
        <v>0</v>
      </c>
      <c r="B434" s="2">
        <v>42565.6703009259</v>
      </c>
      <c r="C434">
        <v>1</v>
      </c>
      <c r="D434">
        <v>4</v>
      </c>
      <c r="E434" t="s">
        <v>430</v>
      </c>
    </row>
    <row r="435" spans="1:5">
      <c r="A435">
        <f>HYPERLINK("http://www.twitter.com/nycoem/status/753251467847471104", "753251467847471104")</f>
        <v>0</v>
      </c>
      <c r="B435" s="2">
        <v>42564.649525463</v>
      </c>
      <c r="C435">
        <v>2</v>
      </c>
      <c r="D435">
        <v>7</v>
      </c>
      <c r="E435" t="s">
        <v>431</v>
      </c>
    </row>
    <row r="436" spans="1:5">
      <c r="A436">
        <f>HYPERLINK("http://www.twitter.com/nycoem/status/753244796844728320", "753244796844728320")</f>
        <v>0</v>
      </c>
      <c r="B436" s="2">
        <v>42564.6311111111</v>
      </c>
      <c r="C436">
        <v>0</v>
      </c>
      <c r="D436">
        <v>3</v>
      </c>
      <c r="E436" t="s">
        <v>432</v>
      </c>
    </row>
    <row r="437" spans="1:5">
      <c r="A437">
        <f>HYPERLINK("http://www.twitter.com/nycoem/status/753223953372549121", "753223953372549121")</f>
        <v>0</v>
      </c>
      <c r="B437" s="2">
        <v>42564.573599537</v>
      </c>
      <c r="C437">
        <v>7</v>
      </c>
      <c r="D437">
        <v>15</v>
      </c>
      <c r="E437" t="s">
        <v>433</v>
      </c>
    </row>
    <row r="438" spans="1:5">
      <c r="A438">
        <f>HYPERLINK("http://www.twitter.com/nycoem/status/752941921010581504", "752941921010581504")</f>
        <v>0</v>
      </c>
      <c r="B438" s="2">
        <v>42563.7953356481</v>
      </c>
      <c r="C438">
        <v>3</v>
      </c>
      <c r="D438">
        <v>8</v>
      </c>
      <c r="E438" t="s">
        <v>434</v>
      </c>
    </row>
    <row r="439" spans="1:5">
      <c r="A439">
        <f>HYPERLINK("http://www.twitter.com/nycoem/status/752894098030391296", "752894098030391296")</f>
        <v>0</v>
      </c>
      <c r="B439" s="2">
        <v>42563.6633680556</v>
      </c>
      <c r="C439">
        <v>2</v>
      </c>
      <c r="D439">
        <v>3</v>
      </c>
      <c r="E439" t="s">
        <v>435</v>
      </c>
    </row>
    <row r="440" spans="1:5">
      <c r="A440">
        <f>HYPERLINK("http://www.twitter.com/nycoem/status/752582035680747520", "752582035680747520")</f>
        <v>0</v>
      </c>
      <c r="B440" s="2">
        <v>42562.8022453704</v>
      </c>
      <c r="C440">
        <v>3</v>
      </c>
      <c r="D440">
        <v>7</v>
      </c>
      <c r="E440" t="s">
        <v>436</v>
      </c>
    </row>
    <row r="441" spans="1:5">
      <c r="A441">
        <f>HYPERLINK("http://www.twitter.com/nycoem/status/752533119413153792", "752533119413153792")</f>
        <v>0</v>
      </c>
      <c r="B441" s="2">
        <v>42562.6672569444</v>
      </c>
      <c r="C441">
        <v>1</v>
      </c>
      <c r="D441">
        <v>4</v>
      </c>
      <c r="E441" t="s">
        <v>437</v>
      </c>
    </row>
    <row r="442" spans="1:5">
      <c r="A442">
        <f>HYPERLINK("http://www.twitter.com/nycoem/status/752529202499424257", "752529202499424257")</f>
        <v>0</v>
      </c>
      <c r="B442" s="2">
        <v>42562.6564467593</v>
      </c>
      <c r="C442">
        <v>1</v>
      </c>
      <c r="D442">
        <v>3</v>
      </c>
      <c r="E442" t="s">
        <v>438</v>
      </c>
    </row>
    <row r="443" spans="1:5">
      <c r="A443">
        <f>HYPERLINK("http://www.twitter.com/nycoem/status/752188004190588928", "752188004190588928")</f>
        <v>0</v>
      </c>
      <c r="B443" s="2">
        <v>42561.7149189815</v>
      </c>
      <c r="C443">
        <v>27</v>
      </c>
      <c r="D443">
        <v>22</v>
      </c>
      <c r="E443" t="s">
        <v>439</v>
      </c>
    </row>
    <row r="444" spans="1:5">
      <c r="A444">
        <f>HYPERLINK("http://www.twitter.com/nycoem/status/751443289933512706", "751443289933512706")</f>
        <v>0</v>
      </c>
      <c r="B444" s="2">
        <v>42559.6599074074</v>
      </c>
      <c r="C444">
        <v>2</v>
      </c>
      <c r="D444">
        <v>6</v>
      </c>
      <c r="E444" t="s">
        <v>440</v>
      </c>
    </row>
    <row r="445" spans="1:5">
      <c r="A445">
        <f>HYPERLINK("http://www.twitter.com/nycoem/status/751426948765802496", "751426948765802496")</f>
        <v>0</v>
      </c>
      <c r="B445" s="2">
        <v>42559.6148148148</v>
      </c>
      <c r="C445">
        <v>0</v>
      </c>
      <c r="D445">
        <v>9</v>
      </c>
      <c r="E445" t="s">
        <v>441</v>
      </c>
    </row>
    <row r="446" spans="1:5">
      <c r="A446">
        <f>HYPERLINK("http://www.twitter.com/nycoem/status/751389147705860096", "751389147705860096")</f>
        <v>0</v>
      </c>
      <c r="B446" s="2">
        <v>42559.5104976852</v>
      </c>
      <c r="C446">
        <v>3</v>
      </c>
      <c r="D446">
        <v>19</v>
      </c>
      <c r="E446" t="s">
        <v>442</v>
      </c>
    </row>
    <row r="447" spans="1:5">
      <c r="A447">
        <f>HYPERLINK("http://www.twitter.com/nycoem/status/751174071551918080", "751174071551918080")</f>
        <v>0</v>
      </c>
      <c r="B447" s="2">
        <v>42558.9170023148</v>
      </c>
      <c r="C447">
        <v>3</v>
      </c>
      <c r="D447">
        <v>2</v>
      </c>
      <c r="E447" t="s">
        <v>443</v>
      </c>
    </row>
    <row r="448" spans="1:5">
      <c r="A448">
        <f>HYPERLINK("http://www.twitter.com/nycoem/status/751138104845692928", "751138104845692928")</f>
        <v>0</v>
      </c>
      <c r="B448" s="2">
        <v>42558.8177546296</v>
      </c>
      <c r="C448">
        <v>0</v>
      </c>
      <c r="D448">
        <v>20</v>
      </c>
      <c r="E448" t="s">
        <v>444</v>
      </c>
    </row>
    <row r="449" spans="1:5">
      <c r="A449">
        <f>HYPERLINK("http://www.twitter.com/nycoem/status/751115739239776256", "751115739239776256")</f>
        <v>0</v>
      </c>
      <c r="B449" s="2">
        <v>42558.7560300926</v>
      </c>
      <c r="C449">
        <v>4</v>
      </c>
      <c r="D449">
        <v>1</v>
      </c>
      <c r="E449" t="s">
        <v>445</v>
      </c>
    </row>
    <row r="450" spans="1:5">
      <c r="A450">
        <f>HYPERLINK("http://www.twitter.com/nycoem/status/751108029140140032", "751108029140140032")</f>
        <v>0</v>
      </c>
      <c r="B450" s="2">
        <v>42558.7347569444</v>
      </c>
      <c r="C450">
        <v>1</v>
      </c>
      <c r="D450">
        <v>7</v>
      </c>
      <c r="E450" t="s">
        <v>446</v>
      </c>
    </row>
    <row r="451" spans="1:5">
      <c r="A451">
        <f>HYPERLINK("http://www.twitter.com/nycoem/status/751107653624037376", "751107653624037376")</f>
        <v>0</v>
      </c>
      <c r="B451" s="2">
        <v>42558.7337268519</v>
      </c>
      <c r="C451">
        <v>8</v>
      </c>
      <c r="D451">
        <v>20</v>
      </c>
      <c r="E451" t="s">
        <v>447</v>
      </c>
    </row>
    <row r="452" spans="1:5">
      <c r="A452">
        <f>HYPERLINK("http://www.twitter.com/nycoem/status/751083593066221572", "751083593066221572")</f>
        <v>0</v>
      </c>
      <c r="B452" s="2">
        <v>42558.6673263889</v>
      </c>
      <c r="C452">
        <v>68</v>
      </c>
      <c r="D452">
        <v>54</v>
      </c>
      <c r="E452" t="s">
        <v>448</v>
      </c>
    </row>
    <row r="453" spans="1:5">
      <c r="A453">
        <f>HYPERLINK("http://www.twitter.com/nycoem/status/751082744235618305", "751082744235618305")</f>
        <v>0</v>
      </c>
      <c r="B453" s="2">
        <v>42558.6649884259</v>
      </c>
      <c r="C453">
        <v>0</v>
      </c>
      <c r="D453">
        <v>0</v>
      </c>
      <c r="E453" t="s">
        <v>449</v>
      </c>
    </row>
    <row r="454" spans="1:5">
      <c r="A454">
        <f>HYPERLINK("http://www.twitter.com/nycoem/status/751062019311341568", "751062019311341568")</f>
        <v>0</v>
      </c>
      <c r="B454" s="2">
        <v>42558.6078009259</v>
      </c>
      <c r="C454">
        <v>26</v>
      </c>
      <c r="D454">
        <v>13</v>
      </c>
      <c r="E454" t="s">
        <v>450</v>
      </c>
    </row>
    <row r="455" spans="1:5">
      <c r="A455">
        <f>HYPERLINK("http://www.twitter.com/nycoem/status/751043380235427840", "751043380235427840")</f>
        <v>0</v>
      </c>
      <c r="B455" s="2">
        <v>42558.5563657407</v>
      </c>
      <c r="C455">
        <v>7</v>
      </c>
      <c r="D455">
        <v>9</v>
      </c>
      <c r="E455" t="s">
        <v>451</v>
      </c>
    </row>
    <row r="456" spans="1:5">
      <c r="A456">
        <f>HYPERLINK("http://www.twitter.com/nycoem/status/751039967841902592", "751039967841902592")</f>
        <v>0</v>
      </c>
      <c r="B456" s="2">
        <v>42558.5469444444</v>
      </c>
      <c r="C456">
        <v>0</v>
      </c>
      <c r="D456">
        <v>24</v>
      </c>
      <c r="E456" t="s">
        <v>452</v>
      </c>
    </row>
    <row r="457" spans="1:5">
      <c r="A457">
        <f>HYPERLINK("http://www.twitter.com/nycoem/status/751030668872876033", "751030668872876033")</f>
        <v>0</v>
      </c>
      <c r="B457" s="2">
        <v>42558.5212847222</v>
      </c>
      <c r="C457">
        <v>7</v>
      </c>
      <c r="D457">
        <v>24</v>
      </c>
      <c r="E457" t="s">
        <v>453</v>
      </c>
    </row>
    <row r="458" spans="1:5">
      <c r="A458">
        <f>HYPERLINK("http://www.twitter.com/nycoem/status/750796647056175104", "750796647056175104")</f>
        <v>0</v>
      </c>
      <c r="B458" s="2">
        <v>42557.8755092593</v>
      </c>
      <c r="C458">
        <v>0</v>
      </c>
      <c r="D458">
        <v>15</v>
      </c>
      <c r="E458" t="s">
        <v>454</v>
      </c>
    </row>
    <row r="459" spans="1:5">
      <c r="A459">
        <f>HYPERLINK("http://www.twitter.com/nycoem/status/750738498341179392", "750738498341179392")</f>
        <v>0</v>
      </c>
      <c r="B459" s="2">
        <v>42557.7150462963</v>
      </c>
      <c r="C459">
        <v>7</v>
      </c>
      <c r="D459">
        <v>26</v>
      </c>
      <c r="E459" t="s">
        <v>455</v>
      </c>
    </row>
    <row r="460" spans="1:5">
      <c r="A460">
        <f>HYPERLINK("http://www.twitter.com/nycoem/status/750727209669844992", "750727209669844992")</f>
        <v>0</v>
      </c>
      <c r="B460" s="2">
        <v>42557.683900463</v>
      </c>
      <c r="C460">
        <v>6</v>
      </c>
      <c r="D460">
        <v>30</v>
      </c>
      <c r="E460" t="s">
        <v>456</v>
      </c>
    </row>
    <row r="461" spans="1:5">
      <c r="A461">
        <f>HYPERLINK("http://www.twitter.com/nycoem/status/750721433035243520", "750721433035243520")</f>
        <v>0</v>
      </c>
      <c r="B461" s="2">
        <v>42557.667962963</v>
      </c>
      <c r="C461">
        <v>1</v>
      </c>
      <c r="D461">
        <v>3</v>
      </c>
      <c r="E461" t="s">
        <v>457</v>
      </c>
    </row>
    <row r="462" spans="1:5">
      <c r="A462">
        <f>HYPERLINK("http://www.twitter.com/nycoem/status/750718506178605057", "750718506178605057")</f>
        <v>0</v>
      </c>
      <c r="B462" s="2">
        <v>42557.6598842593</v>
      </c>
      <c r="C462">
        <v>17</v>
      </c>
      <c r="D462">
        <v>22</v>
      </c>
      <c r="E462" t="s">
        <v>458</v>
      </c>
    </row>
    <row r="463" spans="1:5">
      <c r="A463">
        <f>HYPERLINK("http://www.twitter.com/nycoem/status/750678897562443776", "750678897562443776")</f>
        <v>0</v>
      </c>
      <c r="B463" s="2">
        <v>42557.5505787037</v>
      </c>
      <c r="C463">
        <v>0</v>
      </c>
      <c r="D463">
        <v>58</v>
      </c>
      <c r="E463" t="s">
        <v>459</v>
      </c>
    </row>
    <row r="464" spans="1:5">
      <c r="A464">
        <f>HYPERLINK("http://www.twitter.com/nycoem/status/750678790192435200", "750678790192435200")</f>
        <v>0</v>
      </c>
      <c r="B464" s="2">
        <v>42557.5502893518</v>
      </c>
      <c r="C464">
        <v>0</v>
      </c>
      <c r="D464">
        <v>7</v>
      </c>
      <c r="E464" t="s">
        <v>460</v>
      </c>
    </row>
    <row r="465" spans="1:5">
      <c r="A465">
        <f>HYPERLINK("http://www.twitter.com/nycoem/status/750356196050231297", "750356196050231297")</f>
        <v>0</v>
      </c>
      <c r="B465" s="2">
        <v>42556.6600925926</v>
      </c>
      <c r="C465">
        <v>27</v>
      </c>
      <c r="D465">
        <v>19</v>
      </c>
      <c r="E465" t="s">
        <v>461</v>
      </c>
    </row>
    <row r="466" spans="1:5">
      <c r="A466">
        <f>HYPERLINK("http://www.twitter.com/nycoem/status/750328933216845824", "750328933216845824")</f>
        <v>0</v>
      </c>
      <c r="B466" s="2">
        <v>42556.5848611111</v>
      </c>
      <c r="C466">
        <v>4</v>
      </c>
      <c r="D466">
        <v>5</v>
      </c>
      <c r="E466" t="s">
        <v>462</v>
      </c>
    </row>
    <row r="467" spans="1:5">
      <c r="A467">
        <f>HYPERLINK("http://www.twitter.com/nycoem/status/749987458939494400", "749987458939494400")</f>
        <v>0</v>
      </c>
      <c r="B467" s="2">
        <v>42555.6425694444</v>
      </c>
      <c r="C467">
        <v>27</v>
      </c>
      <c r="D467">
        <v>11</v>
      </c>
      <c r="E467" t="s">
        <v>463</v>
      </c>
    </row>
    <row r="468" spans="1:5">
      <c r="A468">
        <f>HYPERLINK("http://www.twitter.com/nycoem/status/749272618042269696", "749272618042269696")</f>
        <v>0</v>
      </c>
      <c r="B468" s="2">
        <v>42553.6699884259</v>
      </c>
      <c r="C468">
        <v>0</v>
      </c>
      <c r="D468">
        <v>9</v>
      </c>
      <c r="E468" t="s">
        <v>464</v>
      </c>
    </row>
    <row r="469" spans="1:5">
      <c r="A469">
        <f>HYPERLINK("http://www.twitter.com/nycoem/status/749239993982386177", "749239993982386177")</f>
        <v>0</v>
      </c>
      <c r="B469" s="2">
        <v>42553.5799652778</v>
      </c>
      <c r="C469">
        <v>1</v>
      </c>
      <c r="D469">
        <v>6</v>
      </c>
      <c r="E469" t="s">
        <v>465</v>
      </c>
    </row>
    <row r="470" spans="1:5">
      <c r="A470">
        <f>HYPERLINK("http://www.twitter.com/nycoem/status/748973936449351681", "748973936449351681")</f>
        <v>0</v>
      </c>
      <c r="B470" s="2">
        <v>42552.845787037</v>
      </c>
      <c r="C470">
        <v>4</v>
      </c>
      <c r="D470">
        <v>9</v>
      </c>
      <c r="E470" t="s">
        <v>466</v>
      </c>
    </row>
    <row r="471" spans="1:5">
      <c r="A471">
        <f>HYPERLINK("http://www.twitter.com/nycoem/status/748966163300749312", "748966163300749312")</f>
        <v>0</v>
      </c>
      <c r="B471" s="2">
        <v>42552.8243402778</v>
      </c>
      <c r="C471">
        <v>0</v>
      </c>
      <c r="D471">
        <v>14</v>
      </c>
      <c r="E471" t="s">
        <v>467</v>
      </c>
    </row>
    <row r="472" spans="1:5">
      <c r="A472">
        <f>HYPERLINK("http://www.twitter.com/nycoem/status/748944316765237249", "748944316765237249")</f>
        <v>0</v>
      </c>
      <c r="B472" s="2">
        <v>42552.7640509259</v>
      </c>
      <c r="C472">
        <v>0</v>
      </c>
      <c r="D472">
        <v>99</v>
      </c>
      <c r="E472" t="s">
        <v>468</v>
      </c>
    </row>
    <row r="473" spans="1:5">
      <c r="A473">
        <f>HYPERLINK("http://www.twitter.com/nycoem/status/748934803609747456", "748934803609747456")</f>
        <v>0</v>
      </c>
      <c r="B473" s="2">
        <v>42552.7378009259</v>
      </c>
      <c r="C473">
        <v>0</v>
      </c>
      <c r="D473">
        <v>130</v>
      </c>
      <c r="E473" t="s">
        <v>469</v>
      </c>
    </row>
    <row r="474" spans="1:5">
      <c r="A474">
        <f>HYPERLINK("http://www.twitter.com/nycoem/status/748910352654561280", "748910352654561280")</f>
        <v>0</v>
      </c>
      <c r="B474" s="2">
        <v>42552.6703240741</v>
      </c>
      <c r="C474">
        <v>6</v>
      </c>
      <c r="D474">
        <v>12</v>
      </c>
      <c r="E474" t="s">
        <v>470</v>
      </c>
    </row>
    <row r="475" spans="1:5">
      <c r="A475">
        <f>HYPERLINK("http://www.twitter.com/nycoem/status/748871452745695233", "748871452745695233")</f>
        <v>0</v>
      </c>
      <c r="B475" s="2">
        <v>42552.5629861111</v>
      </c>
      <c r="C475">
        <v>10</v>
      </c>
      <c r="D475">
        <v>6</v>
      </c>
      <c r="E475" t="s">
        <v>471</v>
      </c>
    </row>
    <row r="476" spans="1:5">
      <c r="A476">
        <f>HYPERLINK("http://www.twitter.com/nycoem/status/748865383050928128", "748865383050928128")</f>
        <v>0</v>
      </c>
      <c r="B476" s="2">
        <v>42552.5462384259</v>
      </c>
      <c r="C476">
        <v>0</v>
      </c>
      <c r="D476">
        <v>52</v>
      </c>
      <c r="E476" t="s">
        <v>472</v>
      </c>
    </row>
    <row r="477" spans="1:5">
      <c r="A477">
        <f>HYPERLINK("http://www.twitter.com/nycoem/status/748636052663963648", "748636052663963648")</f>
        <v>0</v>
      </c>
      <c r="B477" s="2">
        <v>42551.9134027778</v>
      </c>
      <c r="C477">
        <v>11</v>
      </c>
      <c r="D477">
        <v>12</v>
      </c>
      <c r="E477" t="s">
        <v>473</v>
      </c>
    </row>
    <row r="478" spans="1:5">
      <c r="A478">
        <f>HYPERLINK("http://www.twitter.com/nycoem/status/748622905819402240", "748622905819402240")</f>
        <v>0</v>
      </c>
      <c r="B478" s="2">
        <v>42551.8771296296</v>
      </c>
      <c r="C478">
        <v>12</v>
      </c>
      <c r="D478">
        <v>16</v>
      </c>
      <c r="E478" t="s">
        <v>474</v>
      </c>
    </row>
    <row r="479" spans="1:5">
      <c r="A479">
        <f>HYPERLINK("http://www.twitter.com/nycoem/status/748544249503825920", "748544249503825920")</f>
        <v>0</v>
      </c>
      <c r="B479" s="2">
        <v>42551.6600810185</v>
      </c>
      <c r="C479">
        <v>10</v>
      </c>
      <c r="D479">
        <v>11</v>
      </c>
      <c r="E479" t="s">
        <v>475</v>
      </c>
    </row>
    <row r="480" spans="1:5">
      <c r="A480">
        <f>HYPERLINK("http://www.twitter.com/nycoem/status/748210141099659264", "748210141099659264")</f>
        <v>0</v>
      </c>
      <c r="B480" s="2">
        <v>42550.7381134259</v>
      </c>
      <c r="C480">
        <v>4</v>
      </c>
      <c r="D480">
        <v>5</v>
      </c>
      <c r="E480" t="s">
        <v>476</v>
      </c>
    </row>
    <row r="481" spans="1:5">
      <c r="A481">
        <f>HYPERLINK("http://www.twitter.com/nycoem/status/748157964033335296", "748157964033335296")</f>
        <v>0</v>
      </c>
      <c r="B481" s="2">
        <v>42550.5941319444</v>
      </c>
      <c r="C481">
        <v>2</v>
      </c>
      <c r="D481">
        <v>2</v>
      </c>
      <c r="E481" t="s">
        <v>477</v>
      </c>
    </row>
    <row r="482" spans="1:5">
      <c r="A482">
        <f>HYPERLINK("http://www.twitter.com/nycoem/status/747971654089842688", "747971654089842688")</f>
        <v>0</v>
      </c>
      <c r="B482" s="2">
        <v>42550.0800115741</v>
      </c>
      <c r="C482">
        <v>0</v>
      </c>
      <c r="D482">
        <v>12</v>
      </c>
      <c r="E482" t="s">
        <v>478</v>
      </c>
    </row>
    <row r="483" spans="1:5">
      <c r="A483">
        <f>HYPERLINK("http://www.twitter.com/nycoem/status/747823154739974144", "747823154739974144")</f>
        <v>0</v>
      </c>
      <c r="B483" s="2">
        <v>42549.6702314815</v>
      </c>
      <c r="C483">
        <v>0</v>
      </c>
      <c r="D483">
        <v>9</v>
      </c>
      <c r="E483" t="s">
        <v>479</v>
      </c>
    </row>
    <row r="484" spans="1:5">
      <c r="A484">
        <f>HYPERLINK("http://www.twitter.com/nycoem/status/747820652799926272", "747820652799926272")</f>
        <v>0</v>
      </c>
      <c r="B484" s="2">
        <v>42549.6633333333</v>
      </c>
      <c r="C484">
        <v>2</v>
      </c>
      <c r="D484">
        <v>7</v>
      </c>
      <c r="E484" t="s">
        <v>480</v>
      </c>
    </row>
    <row r="485" spans="1:5">
      <c r="A485">
        <f>HYPERLINK("http://www.twitter.com/nycoem/status/747799487679201280", "747799487679201280")</f>
        <v>0</v>
      </c>
      <c r="B485" s="2">
        <v>42549.6049189815</v>
      </c>
      <c r="C485">
        <v>6</v>
      </c>
      <c r="D485">
        <v>6</v>
      </c>
      <c r="E485" t="s">
        <v>481</v>
      </c>
    </row>
    <row r="486" spans="1:5">
      <c r="A486">
        <f>HYPERLINK("http://www.twitter.com/nycoem/status/747791568669712384", "747791568669712384")</f>
        <v>0</v>
      </c>
      <c r="B486" s="2">
        <v>42549.5830671296</v>
      </c>
      <c r="C486">
        <v>0</v>
      </c>
      <c r="D486">
        <v>30</v>
      </c>
      <c r="E486" t="s">
        <v>482</v>
      </c>
    </row>
    <row r="487" spans="1:5">
      <c r="A487">
        <f>HYPERLINK("http://www.twitter.com/nycoem/status/747502301905063936", "747502301905063936")</f>
        <v>0</v>
      </c>
      <c r="B487" s="2">
        <v>42548.784849537</v>
      </c>
      <c r="C487">
        <v>2</v>
      </c>
      <c r="D487">
        <v>4</v>
      </c>
      <c r="E487" t="s">
        <v>483</v>
      </c>
    </row>
    <row r="488" spans="1:5">
      <c r="A488">
        <f>HYPERLINK("http://www.twitter.com/nycoem/status/747455772855046144", "747455772855046144")</f>
        <v>0</v>
      </c>
      <c r="B488" s="2">
        <v>42548.6564467593</v>
      </c>
      <c r="C488">
        <v>11</v>
      </c>
      <c r="D488">
        <v>13</v>
      </c>
      <c r="E488" t="s">
        <v>484</v>
      </c>
    </row>
    <row r="489" spans="1:5">
      <c r="A489">
        <f>HYPERLINK("http://www.twitter.com/nycoem/status/747093159130374145", "747093159130374145")</f>
        <v>0</v>
      </c>
      <c r="B489" s="2">
        <v>42547.6558333333</v>
      </c>
      <c r="C489">
        <v>0</v>
      </c>
      <c r="D489">
        <v>17</v>
      </c>
      <c r="E489" t="s">
        <v>485</v>
      </c>
    </row>
    <row r="490" spans="1:5">
      <c r="A490">
        <f>HYPERLINK("http://www.twitter.com/nycoem/status/746417739393277952", "746417739393277952")</f>
        <v>0</v>
      </c>
      <c r="B490" s="2">
        <v>42545.792025463</v>
      </c>
      <c r="C490">
        <v>3</v>
      </c>
      <c r="D490">
        <v>3</v>
      </c>
      <c r="E490" t="s">
        <v>486</v>
      </c>
    </row>
    <row r="491" spans="1:5">
      <c r="A491">
        <f>HYPERLINK("http://www.twitter.com/nycoem/status/746398906494365698", "746398906494365698")</f>
        <v>0</v>
      </c>
      <c r="B491" s="2">
        <v>42545.7400578704</v>
      </c>
      <c r="C491">
        <v>0</v>
      </c>
      <c r="D491">
        <v>49</v>
      </c>
      <c r="E491" t="s">
        <v>487</v>
      </c>
    </row>
    <row r="492" spans="1:5">
      <c r="A492">
        <f>HYPERLINK("http://www.twitter.com/nycoem/status/746055493903392770", "746055493903392770")</f>
        <v>0</v>
      </c>
      <c r="B492" s="2">
        <v>42544.7924189815</v>
      </c>
      <c r="C492">
        <v>2</v>
      </c>
      <c r="D492">
        <v>5</v>
      </c>
      <c r="E492" t="s">
        <v>488</v>
      </c>
    </row>
    <row r="493" spans="1:5">
      <c r="A493">
        <f>HYPERLINK("http://www.twitter.com/nycoem/status/746039378284285952", "746039378284285952")</f>
        <v>0</v>
      </c>
      <c r="B493" s="2">
        <v>42544.7479513889</v>
      </c>
      <c r="C493">
        <v>4</v>
      </c>
      <c r="D493">
        <v>8</v>
      </c>
      <c r="E493" t="s">
        <v>489</v>
      </c>
    </row>
    <row r="494" spans="1:5">
      <c r="A494">
        <f>HYPERLINK("http://www.twitter.com/nycoem/status/746012513297379332", "746012513297379332")</f>
        <v>0</v>
      </c>
      <c r="B494" s="2">
        <v>42544.6738194444</v>
      </c>
      <c r="C494">
        <v>0</v>
      </c>
      <c r="D494">
        <v>0</v>
      </c>
      <c r="E494" t="s">
        <v>490</v>
      </c>
    </row>
    <row r="495" spans="1:5">
      <c r="A495">
        <f>HYPERLINK("http://www.twitter.com/nycoem/status/745967801337286656", "745967801337286656")</f>
        <v>0</v>
      </c>
      <c r="B495" s="2">
        <v>42544.5504282407</v>
      </c>
      <c r="C495">
        <v>0</v>
      </c>
      <c r="D495">
        <v>12</v>
      </c>
      <c r="E495" t="s">
        <v>491</v>
      </c>
    </row>
    <row r="496" spans="1:5">
      <c r="A496">
        <f>HYPERLINK("http://www.twitter.com/nycoem/status/745684375979823104", "745684375979823104")</f>
        <v>0</v>
      </c>
      <c r="B496" s="2">
        <v>42543.7683333333</v>
      </c>
      <c r="C496">
        <v>0</v>
      </c>
      <c r="D496">
        <v>13</v>
      </c>
      <c r="E496" t="s">
        <v>492</v>
      </c>
    </row>
    <row r="497" spans="1:5">
      <c r="A497">
        <f>HYPERLINK("http://www.twitter.com/nycoem/status/745684285772996608", "745684285772996608")</f>
        <v>0</v>
      </c>
      <c r="B497" s="2">
        <v>42543.7680787037</v>
      </c>
      <c r="C497">
        <v>0</v>
      </c>
      <c r="D497">
        <v>5</v>
      </c>
      <c r="E497" t="s">
        <v>493</v>
      </c>
    </row>
    <row r="498" spans="1:5">
      <c r="A498">
        <f>HYPERLINK("http://www.twitter.com/nycoem/status/745643007723044864", "745643007723044864")</f>
        <v>0</v>
      </c>
      <c r="B498" s="2">
        <v>42543.6541782407</v>
      </c>
      <c r="C498">
        <v>4</v>
      </c>
      <c r="D498">
        <v>6</v>
      </c>
      <c r="E498" t="s">
        <v>494</v>
      </c>
    </row>
    <row r="499" spans="1:5">
      <c r="A499">
        <f>HYPERLINK("http://www.twitter.com/nycoem/status/745621974613917696", "745621974613917696")</f>
        <v>0</v>
      </c>
      <c r="B499" s="2">
        <v>42543.5961342593</v>
      </c>
      <c r="C499">
        <v>16</v>
      </c>
      <c r="D499">
        <v>9</v>
      </c>
      <c r="E499" t="s">
        <v>495</v>
      </c>
    </row>
    <row r="500" spans="1:5">
      <c r="A500">
        <f>HYPERLINK("http://www.twitter.com/nycoem/status/745620653378772992", "745620653378772992")</f>
        <v>0</v>
      </c>
      <c r="B500" s="2">
        <v>42543.5924884259</v>
      </c>
      <c r="C500">
        <v>0</v>
      </c>
      <c r="D500">
        <v>7</v>
      </c>
      <c r="E500" t="s">
        <v>496</v>
      </c>
    </row>
    <row r="501" spans="1:5">
      <c r="A501">
        <f>HYPERLINK("http://www.twitter.com/nycoem/status/745620446113075200", "745620446113075200")</f>
        <v>0</v>
      </c>
      <c r="B501" s="2">
        <v>42543.5919097222</v>
      </c>
      <c r="C501">
        <v>0</v>
      </c>
      <c r="D501">
        <v>7</v>
      </c>
      <c r="E501" t="s">
        <v>497</v>
      </c>
    </row>
    <row r="502" spans="1:5">
      <c r="A502">
        <f>HYPERLINK("http://www.twitter.com/nycoem/status/745611076801282048", "745611076801282048")</f>
        <v>0</v>
      </c>
      <c r="B502" s="2">
        <v>42543.5660648148</v>
      </c>
      <c r="C502">
        <v>4</v>
      </c>
      <c r="D502">
        <v>7</v>
      </c>
      <c r="E502" t="s">
        <v>498</v>
      </c>
    </row>
    <row r="503" spans="1:5">
      <c r="A503">
        <f>HYPERLINK("http://www.twitter.com/nycoem/status/745604385313521664", "745604385313521664")</f>
        <v>0</v>
      </c>
      <c r="B503" s="2">
        <v>42543.5475925926</v>
      </c>
      <c r="C503">
        <v>0</v>
      </c>
      <c r="D503">
        <v>13</v>
      </c>
      <c r="E503" t="s">
        <v>499</v>
      </c>
    </row>
    <row r="504" spans="1:5">
      <c r="A504">
        <f>HYPERLINK("http://www.twitter.com/nycoem/status/745604357480153088", "745604357480153088")</f>
        <v>0</v>
      </c>
      <c r="B504" s="2">
        <v>42543.5475231481</v>
      </c>
      <c r="C504">
        <v>0</v>
      </c>
      <c r="D504">
        <v>5</v>
      </c>
      <c r="E504" t="s">
        <v>500</v>
      </c>
    </row>
    <row r="505" spans="1:5">
      <c r="A505">
        <f>HYPERLINK("http://www.twitter.com/nycoem/status/745604329063727104", "745604329063727104")</f>
        <v>0</v>
      </c>
      <c r="B505" s="2">
        <v>42543.5474421296</v>
      </c>
      <c r="C505">
        <v>0</v>
      </c>
      <c r="D505">
        <v>17</v>
      </c>
      <c r="E505" t="s">
        <v>501</v>
      </c>
    </row>
    <row r="506" spans="1:5">
      <c r="A506">
        <f>HYPERLINK("http://www.twitter.com/nycoem/status/745572626085650432", "745572626085650432")</f>
        <v>0</v>
      </c>
      <c r="B506" s="2">
        <v>42543.4599537037</v>
      </c>
      <c r="C506">
        <v>0</v>
      </c>
      <c r="D506">
        <v>8</v>
      </c>
      <c r="E506" t="s">
        <v>502</v>
      </c>
    </row>
    <row r="507" spans="1:5">
      <c r="A507">
        <f>HYPERLINK("http://www.twitter.com/nycoem/status/745327970810798084", "745327970810798084")</f>
        <v>0</v>
      </c>
      <c r="B507" s="2">
        <v>42542.784837963</v>
      </c>
      <c r="C507">
        <v>4</v>
      </c>
      <c r="D507">
        <v>6</v>
      </c>
      <c r="E507" t="s">
        <v>503</v>
      </c>
    </row>
    <row r="508" spans="1:5">
      <c r="A508">
        <f>HYPERLINK("http://www.twitter.com/nycoem/status/745278067015299072", "745278067015299072")</f>
        <v>0</v>
      </c>
      <c r="B508" s="2">
        <v>42542.6471296296</v>
      </c>
      <c r="C508">
        <v>18</v>
      </c>
      <c r="D508">
        <v>8</v>
      </c>
      <c r="E508" t="s">
        <v>504</v>
      </c>
    </row>
    <row r="509" spans="1:5">
      <c r="A509">
        <f>HYPERLINK("http://www.twitter.com/nycoem/status/745068112492531713", "745068112492531713")</f>
        <v>0</v>
      </c>
      <c r="B509" s="2">
        <v>42542.0677662037</v>
      </c>
      <c r="C509">
        <v>0</v>
      </c>
      <c r="D509">
        <v>4</v>
      </c>
      <c r="E509" t="s">
        <v>505</v>
      </c>
    </row>
    <row r="510" spans="1:5">
      <c r="A510">
        <f>HYPERLINK("http://www.twitter.com/nycoem/status/744990801445457922", "744990801445457922")</f>
        <v>0</v>
      </c>
      <c r="B510" s="2">
        <v>42541.8544212963</v>
      </c>
      <c r="C510">
        <v>0</v>
      </c>
      <c r="D510">
        <v>8</v>
      </c>
      <c r="E510" t="s">
        <v>506</v>
      </c>
    </row>
    <row r="511" spans="1:5">
      <c r="A511">
        <f>HYPERLINK("http://www.twitter.com/nycoem/status/744965615417442304", "744965615417442304")</f>
        <v>0</v>
      </c>
      <c r="B511" s="2">
        <v>42541.7849305556</v>
      </c>
      <c r="C511">
        <v>2</v>
      </c>
      <c r="D511">
        <v>6</v>
      </c>
      <c r="E511" t="s">
        <v>507</v>
      </c>
    </row>
    <row r="512" spans="1:5">
      <c r="A512">
        <f>HYPERLINK("http://www.twitter.com/nycoem/status/744878761351360512", "744878761351360512")</f>
        <v>0</v>
      </c>
      <c r="B512" s="2">
        <v>42541.5452546296</v>
      </c>
      <c r="C512">
        <v>3</v>
      </c>
      <c r="D512">
        <v>8</v>
      </c>
      <c r="E512" t="s">
        <v>508</v>
      </c>
    </row>
    <row r="513" spans="1:5">
      <c r="A513">
        <f>HYPERLINK("http://www.twitter.com/nycoem/status/744647789255204864", "744647789255204864")</f>
        <v>0</v>
      </c>
      <c r="B513" s="2">
        <v>42540.9078935185</v>
      </c>
      <c r="C513">
        <v>12</v>
      </c>
      <c r="D513">
        <v>6</v>
      </c>
      <c r="E513" t="s">
        <v>509</v>
      </c>
    </row>
    <row r="514" spans="1:5">
      <c r="A514">
        <f>HYPERLINK("http://www.twitter.com/nycoem/status/743831895402811393", "743831895402811393")</f>
        <v>0</v>
      </c>
      <c r="B514" s="2">
        <v>42538.6564583333</v>
      </c>
      <c r="C514">
        <v>11</v>
      </c>
      <c r="D514">
        <v>9</v>
      </c>
      <c r="E514" t="s">
        <v>510</v>
      </c>
    </row>
    <row r="515" spans="1:5">
      <c r="A515">
        <f>HYPERLINK("http://www.twitter.com/nycoem/status/743792860487630848", "743792860487630848")</f>
        <v>0</v>
      </c>
      <c r="B515" s="2">
        <v>42538.5487384259</v>
      </c>
      <c r="C515">
        <v>3</v>
      </c>
      <c r="D515">
        <v>4</v>
      </c>
      <c r="E515" t="s">
        <v>511</v>
      </c>
    </row>
    <row r="516" spans="1:5">
      <c r="A516">
        <f>HYPERLINK("http://www.twitter.com/nycoem/status/743522356556144640", "743522356556144640")</f>
        <v>0</v>
      </c>
      <c r="B516" s="2">
        <v>42537.8022916667</v>
      </c>
      <c r="C516">
        <v>6</v>
      </c>
      <c r="D516">
        <v>7</v>
      </c>
      <c r="E516" t="s">
        <v>512</v>
      </c>
    </row>
    <row r="517" spans="1:5">
      <c r="A517">
        <f>HYPERLINK("http://www.twitter.com/nycoem/status/743474513384439808", "743474513384439808")</f>
        <v>0</v>
      </c>
      <c r="B517" s="2">
        <v>42537.6702662037</v>
      </c>
      <c r="C517">
        <v>4</v>
      </c>
      <c r="D517">
        <v>1</v>
      </c>
      <c r="E517" t="s">
        <v>513</v>
      </c>
    </row>
    <row r="518" spans="1:5">
      <c r="A518">
        <f>HYPERLINK("http://www.twitter.com/nycoem/status/743244434196828160", "743244434196828160")</f>
        <v>0</v>
      </c>
      <c r="B518" s="2">
        <v>42537.0353703704</v>
      </c>
      <c r="C518">
        <v>0</v>
      </c>
      <c r="D518">
        <v>3</v>
      </c>
      <c r="E518" t="s">
        <v>514</v>
      </c>
    </row>
    <row r="519" spans="1:5">
      <c r="A519">
        <f>HYPERLINK("http://www.twitter.com/nycoem/status/743224489224380418", "743224489224380418")</f>
        <v>0</v>
      </c>
      <c r="B519" s="2">
        <v>42536.9803356481</v>
      </c>
      <c r="C519">
        <v>7</v>
      </c>
      <c r="D519">
        <v>8</v>
      </c>
      <c r="E519" t="s">
        <v>515</v>
      </c>
    </row>
    <row r="520" spans="1:5">
      <c r="A520">
        <f>HYPERLINK("http://www.twitter.com/nycoem/status/743223661969158144", "743223661969158144")</f>
        <v>0</v>
      </c>
      <c r="B520" s="2">
        <v>42536.9780555556</v>
      </c>
      <c r="C520">
        <v>0</v>
      </c>
      <c r="D520">
        <v>6</v>
      </c>
      <c r="E520" t="s">
        <v>516</v>
      </c>
    </row>
    <row r="521" spans="1:5">
      <c r="A521">
        <f>HYPERLINK("http://www.twitter.com/nycoem/status/743102056865648641", "743102056865648641")</f>
        <v>0</v>
      </c>
      <c r="B521" s="2">
        <v>42536.6424884259</v>
      </c>
      <c r="C521">
        <v>9</v>
      </c>
      <c r="D521">
        <v>7</v>
      </c>
      <c r="E521" t="s">
        <v>517</v>
      </c>
    </row>
    <row r="522" spans="1:5">
      <c r="A522">
        <f>HYPERLINK("http://www.twitter.com/nycoem/status/743095893226885120", "743095893226885120")</f>
        <v>0</v>
      </c>
      <c r="B522" s="2">
        <v>42536.625474537</v>
      </c>
      <c r="C522">
        <v>6</v>
      </c>
      <c r="D522">
        <v>8</v>
      </c>
      <c r="E522" t="s">
        <v>518</v>
      </c>
    </row>
    <row r="523" spans="1:5">
      <c r="A523">
        <f>HYPERLINK("http://www.twitter.com/nycoem/status/742810803464765441", "742810803464765441")</f>
        <v>0</v>
      </c>
      <c r="B523" s="2">
        <v>42535.8387731481</v>
      </c>
      <c r="C523">
        <v>0</v>
      </c>
      <c r="D523">
        <v>23</v>
      </c>
      <c r="E523" t="s">
        <v>519</v>
      </c>
    </row>
    <row r="524" spans="1:5">
      <c r="A524">
        <f>HYPERLINK("http://www.twitter.com/nycoem/status/742749780116418560", "742749780116418560")</f>
        <v>0</v>
      </c>
      <c r="B524" s="2">
        <v>42535.6703819444</v>
      </c>
      <c r="C524">
        <v>5</v>
      </c>
      <c r="D524">
        <v>9</v>
      </c>
      <c r="E524" t="s">
        <v>520</v>
      </c>
    </row>
    <row r="525" spans="1:5">
      <c r="A525">
        <f>HYPERLINK("http://www.twitter.com/nycoem/status/742733508012048385", "742733508012048385")</f>
        <v>0</v>
      </c>
      <c r="B525" s="2">
        <v>42535.6254861111</v>
      </c>
      <c r="C525">
        <v>3</v>
      </c>
      <c r="D525">
        <v>1</v>
      </c>
      <c r="E525" t="s">
        <v>521</v>
      </c>
    </row>
    <row r="526" spans="1:5">
      <c r="A526">
        <f>HYPERLINK("http://www.twitter.com/nycoem/status/742493012652138496", "742493012652138496")</f>
        <v>0</v>
      </c>
      <c r="B526" s="2">
        <v>42534.9618402778</v>
      </c>
      <c r="C526">
        <v>0</v>
      </c>
      <c r="D526">
        <v>38</v>
      </c>
      <c r="E526" t="s">
        <v>522</v>
      </c>
    </row>
    <row r="527" spans="1:5">
      <c r="A527">
        <f>HYPERLINK("http://www.twitter.com/nycoem/status/742386282467368960", "742386282467368960")</f>
        <v>0</v>
      </c>
      <c r="B527" s="2">
        <v>42534.6673263889</v>
      </c>
      <c r="C527">
        <v>3</v>
      </c>
      <c r="D527">
        <v>6</v>
      </c>
      <c r="E527" t="s">
        <v>523</v>
      </c>
    </row>
    <row r="528" spans="1:5">
      <c r="A528">
        <f>HYPERLINK("http://www.twitter.com/nycoem/status/742361789220950016", "742361789220950016")</f>
        <v>0</v>
      </c>
      <c r="B528" s="2">
        <v>42534.5997337963</v>
      </c>
      <c r="C528">
        <v>8</v>
      </c>
      <c r="D528">
        <v>3</v>
      </c>
      <c r="E528" t="s">
        <v>524</v>
      </c>
    </row>
    <row r="529" spans="1:5">
      <c r="A529">
        <f>HYPERLINK("http://www.twitter.com/nycoem/status/742064946788376576", "742064946788376576")</f>
        <v>0</v>
      </c>
      <c r="B529" s="2">
        <v>42533.7806018519</v>
      </c>
      <c r="C529">
        <v>0</v>
      </c>
      <c r="D529">
        <v>200</v>
      </c>
      <c r="E529" t="s">
        <v>525</v>
      </c>
    </row>
    <row r="530" spans="1:5">
      <c r="A530">
        <f>HYPERLINK("http://www.twitter.com/nycoem/status/741346773898305536", "741346773898305536")</f>
        <v>0</v>
      </c>
      <c r="B530" s="2">
        <v>42531.7988310185</v>
      </c>
      <c r="C530">
        <v>2</v>
      </c>
      <c r="D530">
        <v>1</v>
      </c>
      <c r="E530" t="s">
        <v>526</v>
      </c>
    </row>
    <row r="531" spans="1:5">
      <c r="A531">
        <f>HYPERLINK("http://www.twitter.com/nycoem/status/741346302080995328", "741346302080995328")</f>
        <v>0</v>
      </c>
      <c r="B531" s="2">
        <v>42531.7975231481</v>
      </c>
      <c r="C531">
        <v>0</v>
      </c>
      <c r="D531">
        <v>11</v>
      </c>
      <c r="E531" t="s">
        <v>527</v>
      </c>
    </row>
    <row r="532" spans="1:5">
      <c r="A532">
        <f>HYPERLINK("http://www.twitter.com/nycoem/status/741269986245763073", "741269986245763073")</f>
        <v>0</v>
      </c>
      <c r="B532" s="2">
        <v>42531.5869328704</v>
      </c>
      <c r="C532">
        <v>9</v>
      </c>
      <c r="D532">
        <v>8</v>
      </c>
      <c r="E532" t="s">
        <v>528</v>
      </c>
    </row>
    <row r="533" spans="1:5">
      <c r="A533">
        <f>HYPERLINK("http://www.twitter.com/nycoem/status/740985655606542337", "740985655606542337")</f>
        <v>0</v>
      </c>
      <c r="B533" s="2">
        <v>42530.8023263889</v>
      </c>
      <c r="C533">
        <v>1</v>
      </c>
      <c r="D533">
        <v>4</v>
      </c>
      <c r="E533" t="s">
        <v>529</v>
      </c>
    </row>
    <row r="534" spans="1:5">
      <c r="A534">
        <f>HYPERLINK("http://www.twitter.com/nycoem/status/740935282187489280", "740935282187489280")</f>
        <v>0</v>
      </c>
      <c r="B534" s="2">
        <v>42530.6633217593</v>
      </c>
      <c r="C534">
        <v>7</v>
      </c>
      <c r="D534">
        <v>17</v>
      </c>
      <c r="E534" t="s">
        <v>530</v>
      </c>
    </row>
    <row r="535" spans="1:5">
      <c r="A535">
        <f>HYPERLINK("http://www.twitter.com/nycoem/status/740637088853397508", "740637088853397508")</f>
        <v>0</v>
      </c>
      <c r="B535" s="2">
        <v>42529.840474537</v>
      </c>
      <c r="C535">
        <v>3</v>
      </c>
      <c r="D535">
        <v>4</v>
      </c>
      <c r="E535" t="s">
        <v>531</v>
      </c>
    </row>
    <row r="536" spans="1:5">
      <c r="A536">
        <f>HYPERLINK("http://www.twitter.com/nycoem/status/740576700409479168", "740576700409479168")</f>
        <v>0</v>
      </c>
      <c r="B536" s="2">
        <v>42529.6738310185</v>
      </c>
      <c r="C536">
        <v>6</v>
      </c>
      <c r="D536">
        <v>5</v>
      </c>
      <c r="E536" t="s">
        <v>532</v>
      </c>
    </row>
    <row r="537" spans="1:5">
      <c r="A537">
        <f>HYPERLINK("http://www.twitter.com/nycoem/status/740544360085868544", "740544360085868544")</f>
        <v>0</v>
      </c>
      <c r="B537" s="2">
        <v>42529.5845833333</v>
      </c>
      <c r="C537">
        <v>2</v>
      </c>
      <c r="D537">
        <v>12</v>
      </c>
      <c r="E537" t="s">
        <v>533</v>
      </c>
    </row>
    <row r="538" spans="1:5">
      <c r="A538">
        <f>HYPERLINK("http://www.twitter.com/nycoem/status/740257117358202880", "740257117358202880")</f>
        <v>0</v>
      </c>
      <c r="B538" s="2">
        <v>42528.7919444444</v>
      </c>
      <c r="C538">
        <v>4</v>
      </c>
      <c r="D538">
        <v>7</v>
      </c>
      <c r="E538" t="s">
        <v>534</v>
      </c>
    </row>
    <row r="539" spans="1:5">
      <c r="A539">
        <f>HYPERLINK("http://www.twitter.com/nycoem/status/740215650803671040", "740215650803671040")</f>
        <v>0</v>
      </c>
      <c r="B539" s="2">
        <v>42528.6775231482</v>
      </c>
      <c r="C539">
        <v>14</v>
      </c>
      <c r="D539">
        <v>11</v>
      </c>
      <c r="E539" t="s">
        <v>535</v>
      </c>
    </row>
    <row r="540" spans="1:5">
      <c r="A540">
        <f>HYPERLINK("http://www.twitter.com/nycoem/status/739923937765818370", "739923937765818370")</f>
        <v>0</v>
      </c>
      <c r="B540" s="2">
        <v>42527.8725462963</v>
      </c>
      <c r="C540">
        <v>7</v>
      </c>
      <c r="D540">
        <v>1</v>
      </c>
      <c r="E540" t="s">
        <v>536</v>
      </c>
    </row>
    <row r="541" spans="1:5">
      <c r="A541">
        <f>HYPERLINK("http://www.twitter.com/nycoem/status/739918921780891648", "739918921780891648")</f>
        <v>0</v>
      </c>
      <c r="B541" s="2">
        <v>42527.8587037037</v>
      </c>
      <c r="C541">
        <v>0</v>
      </c>
      <c r="D541">
        <v>5</v>
      </c>
      <c r="E541" t="s">
        <v>537</v>
      </c>
    </row>
    <row r="542" spans="1:5">
      <c r="A542">
        <f>HYPERLINK("http://www.twitter.com/nycoem/status/739830502228697089", "739830502228697089")</f>
        <v>0</v>
      </c>
      <c r="B542" s="2">
        <v>42527.6147106482</v>
      </c>
      <c r="C542">
        <v>1</v>
      </c>
      <c r="D542">
        <v>5</v>
      </c>
      <c r="E542" t="s">
        <v>538</v>
      </c>
    </row>
    <row r="543" spans="1:5">
      <c r="A543">
        <f>HYPERLINK("http://www.twitter.com/nycoem/status/739806589608169472", "739806589608169472")</f>
        <v>0</v>
      </c>
      <c r="B543" s="2">
        <v>42527.5487268519</v>
      </c>
      <c r="C543">
        <v>5</v>
      </c>
      <c r="D543">
        <v>8</v>
      </c>
      <c r="E543" t="s">
        <v>539</v>
      </c>
    </row>
    <row r="544" spans="1:5">
      <c r="A544">
        <f>HYPERLINK("http://www.twitter.com/nycoem/status/739589128992501760", "739589128992501760")</f>
        <v>0</v>
      </c>
      <c r="B544" s="2">
        <v>42526.9486458333</v>
      </c>
      <c r="C544">
        <v>0</v>
      </c>
      <c r="D544">
        <v>24</v>
      </c>
      <c r="E544" t="s">
        <v>540</v>
      </c>
    </row>
    <row r="545" spans="1:5">
      <c r="A545">
        <f>HYPERLINK("http://www.twitter.com/nycoem/status/739560650528174080", "739560650528174080")</f>
        <v>0</v>
      </c>
      <c r="B545" s="2">
        <v>42526.8700694444</v>
      </c>
      <c r="C545">
        <v>0</v>
      </c>
      <c r="D545">
        <v>45</v>
      </c>
      <c r="E545" t="s">
        <v>541</v>
      </c>
    </row>
    <row r="546" spans="1:5">
      <c r="A546">
        <f>HYPERLINK("http://www.twitter.com/nycoem/status/739300238800916481", "739300238800916481")</f>
        <v>0</v>
      </c>
      <c r="B546" s="2">
        <v>42526.1514699074</v>
      </c>
      <c r="C546">
        <v>0</v>
      </c>
      <c r="D546">
        <v>42</v>
      </c>
      <c r="E546" t="s">
        <v>542</v>
      </c>
    </row>
    <row r="547" spans="1:5">
      <c r="A547">
        <f>HYPERLINK("http://www.twitter.com/nycoem/status/738835025353932804", "738835025353932804")</f>
        <v>0</v>
      </c>
      <c r="B547" s="2">
        <v>42524.8677199074</v>
      </c>
      <c r="C547">
        <v>0</v>
      </c>
      <c r="D547">
        <v>0</v>
      </c>
      <c r="E547" t="s">
        <v>543</v>
      </c>
    </row>
    <row r="548" spans="1:5">
      <c r="A548">
        <f>HYPERLINK("http://www.twitter.com/nycoem/status/738807673215430658", "738807673215430658")</f>
        <v>0</v>
      </c>
      <c r="B548" s="2">
        <v>42524.7922453704</v>
      </c>
      <c r="C548">
        <v>3</v>
      </c>
      <c r="D548">
        <v>1</v>
      </c>
      <c r="E548" t="s">
        <v>544</v>
      </c>
    </row>
    <row r="549" spans="1:5">
      <c r="A549">
        <f>HYPERLINK("http://www.twitter.com/nycoem/status/738764764063649792", "738764764063649792")</f>
        <v>0</v>
      </c>
      <c r="B549" s="2">
        <v>42524.6738310185</v>
      </c>
      <c r="C549">
        <v>0</v>
      </c>
      <c r="D549">
        <v>6</v>
      </c>
      <c r="E549" t="s">
        <v>545</v>
      </c>
    </row>
    <row r="550" spans="1:5">
      <c r="A550">
        <f>HYPERLINK("http://www.twitter.com/nycoem/status/738478154344456192", "738478154344456192")</f>
        <v>0</v>
      </c>
      <c r="B550" s="2">
        <v>42523.8829398148</v>
      </c>
      <c r="C550">
        <v>0</v>
      </c>
      <c r="D550">
        <v>38</v>
      </c>
      <c r="E550" t="s">
        <v>546</v>
      </c>
    </row>
    <row r="551" spans="1:5">
      <c r="A551">
        <f>HYPERLINK("http://www.twitter.com/nycoem/status/738442602668773377", "738442602668773377")</f>
        <v>0</v>
      </c>
      <c r="B551" s="2">
        <v>42523.784837963</v>
      </c>
      <c r="C551">
        <v>2</v>
      </c>
      <c r="D551">
        <v>5</v>
      </c>
      <c r="E551" t="s">
        <v>547</v>
      </c>
    </row>
    <row r="552" spans="1:5">
      <c r="A552">
        <f>HYPERLINK("http://www.twitter.com/nycoem/status/738431297509588992", "738431297509588992")</f>
        <v>0</v>
      </c>
      <c r="B552" s="2">
        <v>42523.7536458333</v>
      </c>
      <c r="C552">
        <v>10</v>
      </c>
      <c r="D552">
        <v>3</v>
      </c>
      <c r="E552" t="s">
        <v>548</v>
      </c>
    </row>
    <row r="553" spans="1:5">
      <c r="A553">
        <f>HYPERLINK("http://www.twitter.com/nycoem/status/738401572053483525", "738401572053483525")</f>
        <v>0</v>
      </c>
      <c r="B553" s="2">
        <v>42523.6716203704</v>
      </c>
      <c r="C553">
        <v>14</v>
      </c>
      <c r="D553">
        <v>6</v>
      </c>
      <c r="E553" t="s">
        <v>549</v>
      </c>
    </row>
    <row r="554" spans="1:5">
      <c r="A554">
        <f>HYPERLINK("http://www.twitter.com/nycoem/status/738362036988575744", "738362036988575744")</f>
        <v>0</v>
      </c>
      <c r="B554" s="2">
        <v>42523.5625231481</v>
      </c>
      <c r="C554">
        <v>10</v>
      </c>
      <c r="D554">
        <v>20</v>
      </c>
      <c r="E554" t="s">
        <v>550</v>
      </c>
    </row>
    <row r="555" spans="1:5">
      <c r="A555">
        <f>HYPERLINK("http://www.twitter.com/nycoem/status/738140047652716544", "738140047652716544")</f>
        <v>0</v>
      </c>
      <c r="B555" s="2">
        <v>42522.9499421296</v>
      </c>
      <c r="C555">
        <v>0</v>
      </c>
      <c r="D555">
        <v>9</v>
      </c>
      <c r="E555" t="s">
        <v>551</v>
      </c>
    </row>
    <row r="556" spans="1:5">
      <c r="A556">
        <f>HYPERLINK("http://www.twitter.com/nycoem/status/738056758678171648", "738056758678171648")</f>
        <v>0</v>
      </c>
      <c r="B556" s="2">
        <v>42522.7201157407</v>
      </c>
      <c r="C556">
        <v>0</v>
      </c>
      <c r="D556">
        <v>7</v>
      </c>
      <c r="E556" t="s">
        <v>552</v>
      </c>
    </row>
    <row r="557" spans="1:5">
      <c r="A557">
        <f>HYPERLINK("http://www.twitter.com/nycoem/status/738056176366161920", "738056176366161920")</f>
        <v>0</v>
      </c>
      <c r="B557" s="2">
        <v>42522.7185069444</v>
      </c>
      <c r="C557">
        <v>0</v>
      </c>
      <c r="D557">
        <v>79</v>
      </c>
      <c r="E557" t="s">
        <v>553</v>
      </c>
    </row>
    <row r="558" spans="1:5">
      <c r="A558">
        <f>HYPERLINK("http://www.twitter.com/nycoem/status/738031140410392576", "738031140410392576")</f>
        <v>0</v>
      </c>
      <c r="B558" s="2">
        <v>42522.6494212963</v>
      </c>
      <c r="C558">
        <v>4</v>
      </c>
      <c r="D558">
        <v>3</v>
      </c>
      <c r="E558" t="s">
        <v>554</v>
      </c>
    </row>
    <row r="559" spans="1:5">
      <c r="A559">
        <f>HYPERLINK("http://www.twitter.com/nycoem/status/738029292735635460", "738029292735635460")</f>
        <v>0</v>
      </c>
      <c r="B559" s="2">
        <v>42522.6443171296</v>
      </c>
      <c r="C559">
        <v>6</v>
      </c>
      <c r="D559">
        <v>7</v>
      </c>
      <c r="E559" t="s">
        <v>555</v>
      </c>
    </row>
    <row r="560" spans="1:5">
      <c r="A560">
        <f>HYPERLINK("http://www.twitter.com/nycoem/status/738027306422243328", "738027306422243328")</f>
        <v>0</v>
      </c>
      <c r="B560" s="2">
        <v>42522.6388425926</v>
      </c>
      <c r="C560">
        <v>5</v>
      </c>
      <c r="D560">
        <v>10</v>
      </c>
      <c r="E560" t="s">
        <v>556</v>
      </c>
    </row>
    <row r="561" spans="1:5">
      <c r="A561">
        <f>HYPERLINK("http://www.twitter.com/nycoem/status/738026114942177281", "738026114942177281")</f>
        <v>0</v>
      </c>
      <c r="B561" s="2">
        <v>42522.6355555556</v>
      </c>
      <c r="C561">
        <v>8</v>
      </c>
      <c r="D561">
        <v>8</v>
      </c>
      <c r="E561" t="s">
        <v>557</v>
      </c>
    </row>
    <row r="562" spans="1:5">
      <c r="A562">
        <f>HYPERLINK("http://www.twitter.com/nycoem/status/738008741652668416", "738008741652668416")</f>
        <v>0</v>
      </c>
      <c r="B562" s="2">
        <v>42522.5876157407</v>
      </c>
      <c r="C562">
        <v>8</v>
      </c>
      <c r="D562">
        <v>11</v>
      </c>
      <c r="E562" t="s">
        <v>558</v>
      </c>
    </row>
    <row r="563" spans="1:5">
      <c r="A563">
        <f>HYPERLINK("http://www.twitter.com/nycoem/status/737997153763741697", "737997153763741697")</f>
        <v>0</v>
      </c>
      <c r="B563" s="2">
        <v>42522.5556365741</v>
      </c>
      <c r="C563">
        <v>2</v>
      </c>
      <c r="D563">
        <v>0</v>
      </c>
      <c r="E563" t="s">
        <v>559</v>
      </c>
    </row>
    <row r="564" spans="1:5">
      <c r="A564">
        <f>HYPERLINK("http://www.twitter.com/nycoem/status/737705104099381249", "737705104099381249")</f>
        <v>0</v>
      </c>
      <c r="B564" s="2">
        <v>42521.7497337963</v>
      </c>
      <c r="C564">
        <v>9</v>
      </c>
      <c r="D564">
        <v>3</v>
      </c>
      <c r="E564" t="s">
        <v>560</v>
      </c>
    </row>
    <row r="565" spans="1:5">
      <c r="A565">
        <f>HYPERLINK("http://www.twitter.com/nycoem/status/736303080447303680", "736303080447303680")</f>
        <v>0</v>
      </c>
      <c r="B565" s="2">
        <v>42517.8808796296</v>
      </c>
      <c r="C565">
        <v>0</v>
      </c>
      <c r="D565">
        <v>54</v>
      </c>
      <c r="E565" t="s">
        <v>561</v>
      </c>
    </row>
    <row r="566" spans="1:5">
      <c r="A566">
        <f>HYPERLINK("http://www.twitter.com/nycoem/status/736303045135466496", "736303045135466496")</f>
        <v>0</v>
      </c>
      <c r="B566" s="2">
        <v>42517.880787037</v>
      </c>
      <c r="C566">
        <v>0</v>
      </c>
      <c r="D566">
        <v>179</v>
      </c>
      <c r="E566" t="s">
        <v>562</v>
      </c>
    </row>
    <row r="567" spans="1:5">
      <c r="A567">
        <f>HYPERLINK("http://www.twitter.com/nycoem/status/736228036874473472", "736228036874473472")</f>
        <v>0</v>
      </c>
      <c r="B567" s="2">
        <v>42517.6738078704</v>
      </c>
      <c r="C567">
        <v>2</v>
      </c>
      <c r="D567">
        <v>13</v>
      </c>
      <c r="E567" t="s">
        <v>563</v>
      </c>
    </row>
    <row r="568" spans="1:5">
      <c r="A568">
        <f>HYPERLINK("http://www.twitter.com/nycoem/status/736197811604185088", "736197811604185088")</f>
        <v>0</v>
      </c>
      <c r="B568" s="2">
        <v>42517.5903935185</v>
      </c>
      <c r="C568">
        <v>1</v>
      </c>
      <c r="D568">
        <v>4</v>
      </c>
      <c r="E568" t="s">
        <v>564</v>
      </c>
    </row>
    <row r="569" spans="1:5">
      <c r="A569">
        <f>HYPERLINK("http://www.twitter.com/nycoem/status/736192234371026944", "736192234371026944")</f>
        <v>0</v>
      </c>
      <c r="B569" s="2">
        <v>42517.5750115741</v>
      </c>
      <c r="C569">
        <v>2</v>
      </c>
      <c r="D569">
        <v>2</v>
      </c>
      <c r="E569" t="s">
        <v>565</v>
      </c>
    </row>
    <row r="570" spans="1:5">
      <c r="A570">
        <f>HYPERLINK("http://www.twitter.com/nycoem/status/736150592117149696", "736150592117149696")</f>
        <v>0</v>
      </c>
      <c r="B570" s="2">
        <v>42517.4600925926</v>
      </c>
      <c r="C570">
        <v>0</v>
      </c>
      <c r="D570">
        <v>7</v>
      </c>
      <c r="E570" t="s">
        <v>566</v>
      </c>
    </row>
    <row r="571" spans="1:5">
      <c r="A571">
        <f>HYPERLINK("http://www.twitter.com/nycoem/status/736150552967532544", "736150552967532544")</f>
        <v>0</v>
      </c>
      <c r="B571" s="2">
        <v>42517.4599884259</v>
      </c>
      <c r="C571">
        <v>0</v>
      </c>
      <c r="D571">
        <v>10</v>
      </c>
      <c r="E571" t="s">
        <v>567</v>
      </c>
    </row>
    <row r="572" spans="1:5">
      <c r="A572">
        <f>HYPERLINK("http://www.twitter.com/nycoem/status/735910951317327872", "735910951317327872")</f>
        <v>0</v>
      </c>
      <c r="B572" s="2">
        <v>42516.7988194444</v>
      </c>
      <c r="C572">
        <v>0</v>
      </c>
      <c r="D572">
        <v>0</v>
      </c>
      <c r="E572" t="s">
        <v>568</v>
      </c>
    </row>
    <row r="573" spans="1:5">
      <c r="A573">
        <f>HYPERLINK("http://www.twitter.com/nycoem/status/735871836001579008", "735871836001579008")</f>
        <v>0</v>
      </c>
      <c r="B573" s="2">
        <v>42516.6908796296</v>
      </c>
      <c r="C573">
        <v>5</v>
      </c>
      <c r="D573">
        <v>11</v>
      </c>
      <c r="E573" t="s">
        <v>569</v>
      </c>
    </row>
    <row r="574" spans="1:5">
      <c r="A574">
        <f>HYPERLINK("http://www.twitter.com/nycoem/status/735861490339745792", "735861490339745792")</f>
        <v>0</v>
      </c>
      <c r="B574" s="2">
        <v>42516.6623263889</v>
      </c>
      <c r="C574">
        <v>0</v>
      </c>
      <c r="D574">
        <v>6</v>
      </c>
      <c r="E574" t="s">
        <v>570</v>
      </c>
    </row>
    <row r="575" spans="1:5">
      <c r="A575">
        <f>HYPERLINK("http://www.twitter.com/nycoem/status/735860610047594498", "735860610047594498")</f>
        <v>0</v>
      </c>
      <c r="B575" s="2">
        <v>42516.6598958333</v>
      </c>
      <c r="C575">
        <v>6</v>
      </c>
      <c r="D575">
        <v>2</v>
      </c>
      <c r="E575" t="s">
        <v>571</v>
      </c>
    </row>
    <row r="576" spans="1:5">
      <c r="A576">
        <f>HYPERLINK("http://www.twitter.com/nycoem/status/735830663555862529", "735830663555862529")</f>
        <v>0</v>
      </c>
      <c r="B576" s="2">
        <v>42516.5772569444</v>
      </c>
      <c r="C576">
        <v>0</v>
      </c>
      <c r="D576">
        <v>4</v>
      </c>
      <c r="E576" t="s">
        <v>572</v>
      </c>
    </row>
    <row r="577" spans="1:5">
      <c r="A577">
        <f>HYPERLINK("http://www.twitter.com/nycoem/status/735504564846235648", "735504564846235648")</f>
        <v>0</v>
      </c>
      <c r="B577" s="2">
        <v>42515.6773958333</v>
      </c>
      <c r="C577">
        <v>4</v>
      </c>
      <c r="D577">
        <v>5</v>
      </c>
      <c r="E577" t="s">
        <v>573</v>
      </c>
    </row>
    <row r="578" spans="1:5">
      <c r="A578">
        <f>HYPERLINK("http://www.twitter.com/nycoem/status/735455488532418560", "735455488532418560")</f>
        <v>0</v>
      </c>
      <c r="B578" s="2">
        <v>42515.5419791667</v>
      </c>
      <c r="C578">
        <v>3</v>
      </c>
      <c r="D578">
        <v>6</v>
      </c>
      <c r="E578" t="s">
        <v>574</v>
      </c>
    </row>
    <row r="579" spans="1:5">
      <c r="A579">
        <f>HYPERLINK("http://www.twitter.com/nycoem/status/735421485297377281", "735421485297377281")</f>
        <v>0</v>
      </c>
      <c r="B579" s="2">
        <v>42515.4481481481</v>
      </c>
      <c r="C579">
        <v>0</v>
      </c>
      <c r="D579">
        <v>11</v>
      </c>
      <c r="E579" t="s">
        <v>575</v>
      </c>
    </row>
    <row r="580" spans="1:5">
      <c r="A580">
        <f>HYPERLINK("http://www.twitter.com/nycoem/status/735181111702245376", "735181111702245376")</f>
        <v>0</v>
      </c>
      <c r="B580" s="2">
        <v>42514.784837963</v>
      </c>
      <c r="C580">
        <v>2</v>
      </c>
      <c r="D580">
        <v>5</v>
      </c>
      <c r="E580" t="s">
        <v>576</v>
      </c>
    </row>
    <row r="581" spans="1:5">
      <c r="A581">
        <f>HYPERLINK("http://www.twitter.com/nycoem/status/735135852112818178", "735135852112818178")</f>
        <v>0</v>
      </c>
      <c r="B581" s="2">
        <v>42514.6599421296</v>
      </c>
      <c r="C581">
        <v>1</v>
      </c>
      <c r="D581">
        <v>3</v>
      </c>
      <c r="E581" t="s">
        <v>577</v>
      </c>
    </row>
    <row r="582" spans="1:5">
      <c r="A582">
        <f>HYPERLINK("http://www.twitter.com/nycoem/status/735091760184053761", "735091760184053761")</f>
        <v>0</v>
      </c>
      <c r="B582" s="2">
        <v>42514.538275463</v>
      </c>
      <c r="C582">
        <v>6</v>
      </c>
      <c r="D582">
        <v>11</v>
      </c>
      <c r="E582" t="s">
        <v>578</v>
      </c>
    </row>
    <row r="583" spans="1:5">
      <c r="A583">
        <f>HYPERLINK("http://www.twitter.com/nycoem/status/734817504414031874", "734817504414031874")</f>
        <v>0</v>
      </c>
      <c r="B583" s="2">
        <v>42513.7814699074</v>
      </c>
      <c r="C583">
        <v>4</v>
      </c>
      <c r="D583">
        <v>4</v>
      </c>
      <c r="E583" t="s">
        <v>579</v>
      </c>
    </row>
    <row r="584" spans="1:5">
      <c r="A584">
        <f>HYPERLINK("http://www.twitter.com/nycoem/status/734778493087719424", "734778493087719424")</f>
        <v>0</v>
      </c>
      <c r="B584" s="2">
        <v>42513.6738194444</v>
      </c>
      <c r="C584">
        <v>6</v>
      </c>
      <c r="D584">
        <v>13</v>
      </c>
      <c r="E584" t="s">
        <v>580</v>
      </c>
    </row>
    <row r="585" spans="1:5">
      <c r="A585">
        <f>HYPERLINK("http://www.twitter.com/nycoem/status/734039917521670144", "734039917521670144")</f>
        <v>0</v>
      </c>
      <c r="B585" s="2">
        <v>42511.6357407407</v>
      </c>
      <c r="C585">
        <v>2</v>
      </c>
      <c r="D585">
        <v>4</v>
      </c>
      <c r="E585" t="s">
        <v>581</v>
      </c>
    </row>
    <row r="586" spans="1:5">
      <c r="A586">
        <f>HYPERLINK("http://www.twitter.com/nycoem/status/734017224588038144", "734017224588038144")</f>
        <v>0</v>
      </c>
      <c r="B586" s="2">
        <v>42511.573125</v>
      </c>
      <c r="C586">
        <v>2</v>
      </c>
      <c r="D586">
        <v>4</v>
      </c>
      <c r="E586" t="s">
        <v>582</v>
      </c>
    </row>
    <row r="587" spans="1:5">
      <c r="A587">
        <f>HYPERLINK("http://www.twitter.com/nycoem/status/734002127559921664", "734002127559921664")</f>
        <v>0</v>
      </c>
      <c r="B587" s="2">
        <v>42511.5314583333</v>
      </c>
      <c r="C587">
        <v>2</v>
      </c>
      <c r="D587">
        <v>6</v>
      </c>
      <c r="E587" t="s">
        <v>583</v>
      </c>
    </row>
    <row r="588" spans="1:5">
      <c r="A588">
        <f>HYPERLINK("http://www.twitter.com/nycoem/status/733729111127035904", "733729111127035904")</f>
        <v>0</v>
      </c>
      <c r="B588" s="2">
        <v>42510.7780787037</v>
      </c>
      <c r="C588">
        <v>0</v>
      </c>
      <c r="D588">
        <v>21</v>
      </c>
      <c r="E588" t="s">
        <v>584</v>
      </c>
    </row>
    <row r="589" spans="1:5">
      <c r="A589">
        <f>HYPERLINK("http://www.twitter.com/nycoem/status/733691336004624388", "733691336004624388")</f>
        <v>0</v>
      </c>
      <c r="B589" s="2">
        <v>42510.6738425926</v>
      </c>
      <c r="C589">
        <v>7</v>
      </c>
      <c r="D589">
        <v>9</v>
      </c>
      <c r="E589" t="s">
        <v>585</v>
      </c>
    </row>
    <row r="590" spans="1:5">
      <c r="A590">
        <f>HYPERLINK("http://www.twitter.com/nycoem/status/733677460055789569", "733677460055789569")</f>
        <v>0</v>
      </c>
      <c r="B590" s="2">
        <v>42510.6355555556</v>
      </c>
      <c r="C590">
        <v>9</v>
      </c>
      <c r="D590">
        <v>12</v>
      </c>
      <c r="E590" t="s">
        <v>586</v>
      </c>
    </row>
    <row r="591" spans="1:5">
      <c r="A591">
        <f>HYPERLINK("http://www.twitter.com/nycoem/status/733668720405565440", "733668720405565440")</f>
        <v>0</v>
      </c>
      <c r="B591" s="2">
        <v>42510.6114351852</v>
      </c>
      <c r="C591">
        <v>5</v>
      </c>
      <c r="D591">
        <v>2</v>
      </c>
      <c r="E591" t="s">
        <v>587</v>
      </c>
    </row>
    <row r="592" spans="1:5">
      <c r="A592">
        <f>HYPERLINK("http://www.twitter.com/nycoem/status/733652320760778755", "733652320760778755")</f>
        <v>0</v>
      </c>
      <c r="B592" s="2">
        <v>42510.5661805556</v>
      </c>
      <c r="C592">
        <v>3</v>
      </c>
      <c r="D592">
        <v>11</v>
      </c>
      <c r="E592" t="s">
        <v>588</v>
      </c>
    </row>
    <row r="593" spans="1:5">
      <c r="A593">
        <f>HYPERLINK("http://www.twitter.com/nycoem/status/733642246617174016", "733642246617174016")</f>
        <v>0</v>
      </c>
      <c r="B593" s="2">
        <v>42510.5383796296</v>
      </c>
      <c r="C593">
        <v>3</v>
      </c>
      <c r="D593">
        <v>3</v>
      </c>
      <c r="E593" t="s">
        <v>589</v>
      </c>
    </row>
    <row r="594" spans="1:5">
      <c r="A594">
        <f>HYPERLINK("http://www.twitter.com/nycoem/status/733639761265561601", "733639761265561601")</f>
        <v>0</v>
      </c>
      <c r="B594" s="2">
        <v>42510.5315277778</v>
      </c>
      <c r="C594">
        <v>1</v>
      </c>
      <c r="D594">
        <v>4</v>
      </c>
      <c r="E594" t="s">
        <v>590</v>
      </c>
    </row>
    <row r="595" spans="1:5">
      <c r="A595">
        <f>HYPERLINK("http://www.twitter.com/nycoem/status/733409566751330306", "733409566751330306")</f>
        <v>0</v>
      </c>
      <c r="B595" s="2">
        <v>42509.8963078704</v>
      </c>
      <c r="C595">
        <v>4</v>
      </c>
      <c r="D595">
        <v>6</v>
      </c>
      <c r="E595" t="s">
        <v>591</v>
      </c>
    </row>
    <row r="596" spans="1:5">
      <c r="A596">
        <f>HYPERLINK("http://www.twitter.com/nycoem/status/733406950839443456", "733406950839443456")</f>
        <v>0</v>
      </c>
      <c r="B596" s="2">
        <v>42509.8890856481</v>
      </c>
      <c r="C596">
        <v>3</v>
      </c>
      <c r="D596">
        <v>5</v>
      </c>
      <c r="E596" t="s">
        <v>592</v>
      </c>
    </row>
    <row r="597" spans="1:5">
      <c r="A597">
        <f>HYPERLINK("http://www.twitter.com/nycoem/status/733376761715658753", "733376761715658753")</f>
        <v>0</v>
      </c>
      <c r="B597" s="2">
        <v>42509.805787037</v>
      </c>
      <c r="C597">
        <v>3</v>
      </c>
      <c r="D597">
        <v>3</v>
      </c>
      <c r="E597" t="s">
        <v>593</v>
      </c>
    </row>
    <row r="598" spans="1:5">
      <c r="A598">
        <f>HYPERLINK("http://www.twitter.com/nycoem/status/733306810568867840", "733306810568867840")</f>
        <v>0</v>
      </c>
      <c r="B598" s="2">
        <v>42509.6127546296</v>
      </c>
      <c r="C598">
        <v>13</v>
      </c>
      <c r="D598">
        <v>10</v>
      </c>
      <c r="E598" t="s">
        <v>594</v>
      </c>
    </row>
    <row r="599" spans="1:5">
      <c r="A599">
        <f>HYPERLINK("http://www.twitter.com/nycoem/status/733305151130193921", "733305151130193921")</f>
        <v>0</v>
      </c>
      <c r="B599" s="2">
        <v>42509.6081712963</v>
      </c>
      <c r="C599">
        <v>6</v>
      </c>
      <c r="D599">
        <v>10</v>
      </c>
      <c r="E599" t="s">
        <v>595</v>
      </c>
    </row>
    <row r="600" spans="1:5">
      <c r="A600">
        <f>HYPERLINK("http://www.twitter.com/nycoem/status/733303552873914368", "733303552873914368")</f>
        <v>0</v>
      </c>
      <c r="B600" s="2">
        <v>42509.6037615741</v>
      </c>
      <c r="C600">
        <v>13</v>
      </c>
      <c r="D600">
        <v>10</v>
      </c>
      <c r="E600" t="s">
        <v>596</v>
      </c>
    </row>
    <row r="601" spans="1:5">
      <c r="A601">
        <f>HYPERLINK("http://www.twitter.com/nycoem/status/733302755545112577", "733302755545112577")</f>
        <v>0</v>
      </c>
      <c r="B601" s="2">
        <v>42509.6015625</v>
      </c>
      <c r="C601">
        <v>22</v>
      </c>
      <c r="D601">
        <v>19</v>
      </c>
      <c r="E601" t="s">
        <v>597</v>
      </c>
    </row>
    <row r="602" spans="1:5">
      <c r="A602">
        <f>HYPERLINK("http://www.twitter.com/nycoem/status/732984805260963840", "732984805260963840")</f>
        <v>0</v>
      </c>
      <c r="B602" s="2">
        <v>42508.7241898148</v>
      </c>
      <c r="C602">
        <v>0</v>
      </c>
      <c r="D602">
        <v>28</v>
      </c>
      <c r="E602" t="s">
        <v>598</v>
      </c>
    </row>
    <row r="603" spans="1:5">
      <c r="A603">
        <f>HYPERLINK("http://www.twitter.com/nycoem/status/732966608868626432", "732966608868626432")</f>
        <v>0</v>
      </c>
      <c r="B603" s="2">
        <v>42508.6739814815</v>
      </c>
      <c r="C603">
        <v>1</v>
      </c>
      <c r="D603">
        <v>3</v>
      </c>
      <c r="E603" t="s">
        <v>599</v>
      </c>
    </row>
    <row r="604" spans="1:5">
      <c r="A604">
        <f>HYPERLINK("http://www.twitter.com/nycoem/status/732955221761089536", "732955221761089536")</f>
        <v>0</v>
      </c>
      <c r="B604" s="2">
        <v>42508.6425578704</v>
      </c>
      <c r="C604">
        <v>6</v>
      </c>
      <c r="D604">
        <v>10</v>
      </c>
      <c r="E604" t="s">
        <v>600</v>
      </c>
    </row>
    <row r="605" spans="1:5">
      <c r="A605">
        <f>HYPERLINK("http://www.twitter.com/nycoem/status/732938887039975424", "732938887039975424")</f>
        <v>0</v>
      </c>
      <c r="B605" s="2">
        <v>42508.5974768518</v>
      </c>
      <c r="C605">
        <v>2</v>
      </c>
      <c r="D605">
        <v>8</v>
      </c>
      <c r="E605" t="s">
        <v>601</v>
      </c>
    </row>
    <row r="606" spans="1:5">
      <c r="A606">
        <f>HYPERLINK("http://www.twitter.com/nycoem/status/732930084370284544", "732930084370284544")</f>
        <v>0</v>
      </c>
      <c r="B606" s="2">
        <v>42508.5731828704</v>
      </c>
      <c r="C606">
        <v>4</v>
      </c>
      <c r="D606">
        <v>10</v>
      </c>
      <c r="E606" t="s">
        <v>602</v>
      </c>
    </row>
    <row r="607" spans="1:5">
      <c r="A607">
        <f>HYPERLINK("http://www.twitter.com/nycoem/status/732654650420236288", "732654650420236288")</f>
        <v>0</v>
      </c>
      <c r="B607" s="2">
        <v>42507.8131365741</v>
      </c>
      <c r="C607">
        <v>5</v>
      </c>
      <c r="D607">
        <v>7</v>
      </c>
      <c r="E607" t="s">
        <v>603</v>
      </c>
    </row>
    <row r="608" spans="1:5">
      <c r="A608">
        <f>HYPERLINK("http://www.twitter.com/nycoem/status/732604174777606144", "732604174777606144")</f>
        <v>0</v>
      </c>
      <c r="B608" s="2">
        <v>42507.6738541667</v>
      </c>
      <c r="C608">
        <v>2</v>
      </c>
      <c r="D608">
        <v>4</v>
      </c>
      <c r="E608" t="s">
        <v>604</v>
      </c>
    </row>
    <row r="609" spans="1:5">
      <c r="A609">
        <f>HYPERLINK("http://www.twitter.com/nycoem/status/732595363077578752", "732595363077578752")</f>
        <v>0</v>
      </c>
      <c r="B609" s="2">
        <v>42507.649537037</v>
      </c>
      <c r="C609">
        <v>9</v>
      </c>
      <c r="D609">
        <v>9</v>
      </c>
      <c r="E609" t="s">
        <v>605</v>
      </c>
    </row>
    <row r="610" spans="1:5">
      <c r="A610">
        <f>HYPERLINK("http://www.twitter.com/nycoem/status/732329959587483648", "732329959587483648")</f>
        <v>0</v>
      </c>
      <c r="B610" s="2">
        <v>42506.9171643518</v>
      </c>
      <c r="C610">
        <v>0</v>
      </c>
      <c r="D610">
        <v>3</v>
      </c>
      <c r="E610" t="s">
        <v>606</v>
      </c>
    </row>
    <row r="611" spans="1:5">
      <c r="A611">
        <f>HYPERLINK("http://www.twitter.com/nycoem/status/732287063723245568", "732287063723245568")</f>
        <v>0</v>
      </c>
      <c r="B611" s="2">
        <v>42506.7987847222</v>
      </c>
      <c r="C611">
        <v>4</v>
      </c>
      <c r="D611">
        <v>8</v>
      </c>
      <c r="E611" t="s">
        <v>607</v>
      </c>
    </row>
    <row r="612" spans="1:5">
      <c r="A612">
        <f>HYPERLINK("http://www.twitter.com/nycoem/status/732220363975839744", "732220363975839744")</f>
        <v>0</v>
      </c>
      <c r="B612" s="2">
        <v>42506.6147337963</v>
      </c>
      <c r="C612">
        <v>3</v>
      </c>
      <c r="D612">
        <v>11</v>
      </c>
      <c r="E612" t="s">
        <v>608</v>
      </c>
    </row>
    <row r="613" spans="1:5">
      <c r="A613">
        <f>HYPERLINK("http://www.twitter.com/nycoem/status/732210285231149060", "732210285231149060")</f>
        <v>0</v>
      </c>
      <c r="B613" s="2">
        <v>42506.5869212963</v>
      </c>
      <c r="C613">
        <v>4</v>
      </c>
      <c r="D613">
        <v>9</v>
      </c>
      <c r="E613" t="s">
        <v>609</v>
      </c>
    </row>
    <row r="614" spans="1:5">
      <c r="A614">
        <f>HYPERLINK("http://www.twitter.com/nycoem/status/732196864053944320", "732196864053944320")</f>
        <v>0</v>
      </c>
      <c r="B614" s="2">
        <v>42506.5498842593</v>
      </c>
      <c r="C614">
        <v>5</v>
      </c>
      <c r="D614">
        <v>11</v>
      </c>
      <c r="E614" t="s">
        <v>610</v>
      </c>
    </row>
    <row r="615" spans="1:5">
      <c r="A615">
        <f>HYPERLINK("http://www.twitter.com/nycoem/status/731897010836635648", "731897010836635648")</f>
        <v>0</v>
      </c>
      <c r="B615" s="2">
        <v>42505.7224537037</v>
      </c>
      <c r="C615">
        <v>5</v>
      </c>
      <c r="D615">
        <v>7</v>
      </c>
      <c r="E615" t="s">
        <v>611</v>
      </c>
    </row>
    <row r="616" spans="1:5">
      <c r="A616">
        <f>HYPERLINK("http://www.twitter.com/nycoem/status/731879589333614592", "731879589333614592")</f>
        <v>0</v>
      </c>
      <c r="B616" s="2">
        <v>42505.674375</v>
      </c>
      <c r="C616">
        <v>0</v>
      </c>
      <c r="D616">
        <v>25</v>
      </c>
      <c r="E616" t="s">
        <v>612</v>
      </c>
    </row>
    <row r="617" spans="1:5">
      <c r="A617">
        <f>HYPERLINK("http://www.twitter.com/nycoem/status/731571300557291521", "731571300557291521")</f>
        <v>0</v>
      </c>
      <c r="B617" s="2">
        <v>42504.8236574074</v>
      </c>
      <c r="C617">
        <v>0</v>
      </c>
      <c r="D617">
        <v>14</v>
      </c>
      <c r="E617" t="s">
        <v>613</v>
      </c>
    </row>
    <row r="618" spans="1:5">
      <c r="A618">
        <f>HYPERLINK("http://www.twitter.com/nycoem/status/731174719890804736", "731174719890804736")</f>
        <v>0</v>
      </c>
      <c r="B618" s="2">
        <v>42503.7293055556</v>
      </c>
      <c r="C618">
        <v>4</v>
      </c>
      <c r="D618">
        <v>3</v>
      </c>
      <c r="E618" t="s">
        <v>614</v>
      </c>
    </row>
    <row r="619" spans="1:5">
      <c r="A619">
        <f>HYPERLINK("http://www.twitter.com/nycoem/status/730788432516132865", "730788432516132865")</f>
        <v>0</v>
      </c>
      <c r="B619" s="2">
        <v>42502.6633564815</v>
      </c>
      <c r="C619">
        <v>4</v>
      </c>
      <c r="D619">
        <v>2</v>
      </c>
      <c r="E619" t="s">
        <v>615</v>
      </c>
    </row>
    <row r="620" spans="1:5">
      <c r="A620">
        <f>HYPERLINK("http://www.twitter.com/nycoem/status/730424769758302212", "730424769758302212")</f>
        <v>0</v>
      </c>
      <c r="B620" s="2">
        <v>42501.659837963</v>
      </c>
      <c r="C620">
        <v>4</v>
      </c>
      <c r="D620">
        <v>8</v>
      </c>
      <c r="E620" t="s">
        <v>616</v>
      </c>
    </row>
    <row r="621" spans="1:5">
      <c r="A621">
        <f>HYPERLINK("http://www.twitter.com/nycoem/status/730096040905482240", "730096040905482240")</f>
        <v>0</v>
      </c>
      <c r="B621" s="2">
        <v>42500.7527199074</v>
      </c>
      <c r="C621">
        <v>4</v>
      </c>
      <c r="D621">
        <v>1</v>
      </c>
      <c r="E621" t="s">
        <v>617</v>
      </c>
    </row>
    <row r="622" spans="1:5">
      <c r="A622">
        <f>HYPERLINK("http://www.twitter.com/nycoem/status/730092268514840576", "730092268514840576")</f>
        <v>0</v>
      </c>
      <c r="B622" s="2">
        <v>42500.7423032407</v>
      </c>
      <c r="C622">
        <v>2</v>
      </c>
      <c r="D622">
        <v>0</v>
      </c>
      <c r="E622" t="s">
        <v>618</v>
      </c>
    </row>
    <row r="623" spans="1:5">
      <c r="A623">
        <f>HYPERLINK("http://www.twitter.com/nycoem/status/730090235858702336", "730090235858702336")</f>
        <v>0</v>
      </c>
      <c r="B623" s="2">
        <v>42500.7367013889</v>
      </c>
      <c r="C623">
        <v>12</v>
      </c>
      <c r="D623">
        <v>1</v>
      </c>
      <c r="E623" t="s">
        <v>619</v>
      </c>
    </row>
    <row r="624" spans="1:5">
      <c r="A624">
        <f>HYPERLINK("http://www.twitter.com/nycoem/status/730088539938037760", "730088539938037760")</f>
        <v>0</v>
      </c>
      <c r="B624" s="2">
        <v>42500.7320138889</v>
      </c>
      <c r="C624">
        <v>2</v>
      </c>
      <c r="D624">
        <v>3</v>
      </c>
      <c r="E624" t="s">
        <v>620</v>
      </c>
    </row>
    <row r="625" spans="1:5">
      <c r="A625">
        <f>HYPERLINK("http://www.twitter.com/nycoem/status/730088079420227584", "730088079420227584")</f>
        <v>0</v>
      </c>
      <c r="B625" s="2">
        <v>42500.7307523148</v>
      </c>
      <c r="C625">
        <v>2</v>
      </c>
      <c r="D625">
        <v>2</v>
      </c>
      <c r="E625" t="s">
        <v>621</v>
      </c>
    </row>
    <row r="626" spans="1:5">
      <c r="A626">
        <f>HYPERLINK("http://www.twitter.com/nycoem/status/730079000463347712", "730079000463347712")</f>
        <v>0</v>
      </c>
      <c r="B626" s="2">
        <v>42500.7056944444</v>
      </c>
      <c r="C626">
        <v>7</v>
      </c>
      <c r="D626">
        <v>1</v>
      </c>
      <c r="E626" t="s">
        <v>622</v>
      </c>
    </row>
    <row r="627" spans="1:5">
      <c r="A627">
        <f>HYPERLINK("http://www.twitter.com/nycoem/status/730072650786209794", "730072650786209794")</f>
        <v>0</v>
      </c>
      <c r="B627" s="2">
        <v>42500.6881712963</v>
      </c>
      <c r="C627">
        <v>8</v>
      </c>
      <c r="D627">
        <v>2</v>
      </c>
      <c r="E627" t="s">
        <v>623</v>
      </c>
    </row>
    <row r="628" spans="1:5">
      <c r="A628">
        <f>HYPERLINK("http://www.twitter.com/nycoem/status/730066206632378368", "730066206632378368")</f>
        <v>0</v>
      </c>
      <c r="B628" s="2">
        <v>42500.6703935185</v>
      </c>
      <c r="C628">
        <v>1</v>
      </c>
      <c r="D628">
        <v>0</v>
      </c>
      <c r="E628" t="s">
        <v>624</v>
      </c>
    </row>
    <row r="629" spans="1:5">
      <c r="A629">
        <f>HYPERLINK("http://www.twitter.com/nycoem/status/729768938750550016", "729768938750550016")</f>
        <v>0</v>
      </c>
      <c r="B629" s="2">
        <v>42499.8500925926</v>
      </c>
      <c r="C629">
        <v>0</v>
      </c>
      <c r="D629">
        <v>23</v>
      </c>
      <c r="E629" t="s">
        <v>625</v>
      </c>
    </row>
    <row r="630" spans="1:5">
      <c r="A630">
        <f>HYPERLINK("http://www.twitter.com/nycoem/status/729338851416748033", "729338851416748033")</f>
        <v>0</v>
      </c>
      <c r="B630" s="2">
        <v>42498.663275463</v>
      </c>
      <c r="C630">
        <v>6</v>
      </c>
      <c r="D630">
        <v>6</v>
      </c>
      <c r="E630" t="s">
        <v>626</v>
      </c>
    </row>
    <row r="631" spans="1:5">
      <c r="A631">
        <f>HYPERLINK("http://www.twitter.com/nycoem/status/729037736946991104", "729037736946991104")</f>
        <v>0</v>
      </c>
      <c r="B631" s="2">
        <v>42497.8323611111</v>
      </c>
      <c r="C631">
        <v>0</v>
      </c>
      <c r="D631">
        <v>9</v>
      </c>
      <c r="E631" t="s">
        <v>627</v>
      </c>
    </row>
    <row r="632" spans="1:5">
      <c r="A632">
        <f>HYPERLINK("http://www.twitter.com/nycoem/status/728707222226776064", "728707222226776064")</f>
        <v>0</v>
      </c>
      <c r="B632" s="2">
        <v>42496.9203125</v>
      </c>
      <c r="C632">
        <v>5</v>
      </c>
      <c r="D632">
        <v>3</v>
      </c>
      <c r="E632" t="s">
        <v>628</v>
      </c>
    </row>
    <row r="633" spans="1:5">
      <c r="A633">
        <f>HYPERLINK("http://www.twitter.com/nycoem/status/728679174991450113", "728679174991450113")</f>
        <v>0</v>
      </c>
      <c r="B633" s="2">
        <v>42496.8429166667</v>
      </c>
      <c r="C633">
        <v>0</v>
      </c>
      <c r="D633">
        <v>4</v>
      </c>
      <c r="E633" t="s">
        <v>629</v>
      </c>
    </row>
    <row r="634" spans="1:5">
      <c r="A634">
        <f>HYPERLINK("http://www.twitter.com/nycoem/status/728607017544384513", "728607017544384513")</f>
        <v>0</v>
      </c>
      <c r="B634" s="2">
        <v>42496.6437962963</v>
      </c>
      <c r="C634">
        <v>0</v>
      </c>
      <c r="D634">
        <v>6</v>
      </c>
      <c r="E634" t="s">
        <v>630</v>
      </c>
    </row>
    <row r="635" spans="1:5">
      <c r="A635">
        <f>HYPERLINK("http://www.twitter.com/nycoem/status/728255496688435200", "728255496688435200")</f>
        <v>0</v>
      </c>
      <c r="B635" s="2">
        <v>42495.6737847222</v>
      </c>
      <c r="C635">
        <v>1</v>
      </c>
      <c r="D635">
        <v>3</v>
      </c>
      <c r="E635" t="s">
        <v>631</v>
      </c>
    </row>
    <row r="636" spans="1:5">
      <c r="A636">
        <f>HYPERLINK("http://www.twitter.com/nycoem/status/727942084624289792", "727942084624289792")</f>
        <v>0</v>
      </c>
      <c r="B636" s="2">
        <v>42494.8089351852</v>
      </c>
      <c r="C636">
        <v>12</v>
      </c>
      <c r="D636">
        <v>3</v>
      </c>
      <c r="E636" t="s">
        <v>632</v>
      </c>
    </row>
    <row r="637" spans="1:5">
      <c r="A637">
        <f>HYPERLINK("http://www.twitter.com/nycoem/status/727932120379838464", "727932120379838464")</f>
        <v>0</v>
      </c>
      <c r="B637" s="2">
        <v>42494.7814351852</v>
      </c>
      <c r="C637">
        <v>4</v>
      </c>
      <c r="D637">
        <v>2</v>
      </c>
      <c r="E637" t="s">
        <v>633</v>
      </c>
    </row>
    <row r="638" spans="1:5">
      <c r="A638">
        <f>HYPERLINK("http://www.twitter.com/nycoem/status/727890700554121216", "727890700554121216")</f>
        <v>0</v>
      </c>
      <c r="B638" s="2">
        <v>42494.6671412037</v>
      </c>
      <c r="C638">
        <v>2</v>
      </c>
      <c r="D638">
        <v>4</v>
      </c>
      <c r="E638" t="s">
        <v>634</v>
      </c>
    </row>
    <row r="639" spans="1:5">
      <c r="A639">
        <f>HYPERLINK("http://www.twitter.com/nycoem/status/727530706352652288", "727530706352652288")</f>
        <v>0</v>
      </c>
      <c r="B639" s="2">
        <v>42493.6737384259</v>
      </c>
      <c r="C639">
        <v>5</v>
      </c>
      <c r="D639">
        <v>9</v>
      </c>
      <c r="E639" t="s">
        <v>635</v>
      </c>
    </row>
    <row r="640" spans="1:5">
      <c r="A640">
        <f>HYPERLINK("http://www.twitter.com/nycoem/status/727258383015903232", "727258383015903232")</f>
        <v>0</v>
      </c>
      <c r="B640" s="2">
        <v>42492.9222685185</v>
      </c>
      <c r="C640">
        <v>0</v>
      </c>
      <c r="D640">
        <v>9</v>
      </c>
      <c r="E640" t="s">
        <v>636</v>
      </c>
    </row>
    <row r="641" spans="1:5">
      <c r="A641">
        <f>HYPERLINK("http://www.twitter.com/nycoem/status/727164551024746497", "727164551024746497")</f>
        <v>0</v>
      </c>
      <c r="B641" s="2">
        <v>42492.6633449074</v>
      </c>
      <c r="C641">
        <v>7</v>
      </c>
      <c r="D641">
        <v>4</v>
      </c>
      <c r="E641" t="s">
        <v>637</v>
      </c>
    </row>
    <row r="642" spans="1:5">
      <c r="A642">
        <f>HYPERLINK("http://www.twitter.com/nycoem/status/726442365037240320", "726442365037240320")</f>
        <v>0</v>
      </c>
      <c r="B642" s="2">
        <v>42490.6704976852</v>
      </c>
      <c r="C642">
        <v>4</v>
      </c>
      <c r="D642">
        <v>4</v>
      </c>
      <c r="E642" t="s">
        <v>638</v>
      </c>
    </row>
    <row r="643" spans="1:5">
      <c r="A643">
        <f>HYPERLINK("http://www.twitter.com/nycoem/status/726091612426768386", "726091612426768386")</f>
        <v>0</v>
      </c>
      <c r="B643" s="2">
        <v>42489.7026041667</v>
      </c>
      <c r="C643">
        <v>0</v>
      </c>
      <c r="D643">
        <v>3</v>
      </c>
      <c r="E643" t="s">
        <v>639</v>
      </c>
    </row>
    <row r="644" spans="1:5">
      <c r="A644">
        <f>HYPERLINK("http://www.twitter.com/nycoem/status/726086851082240001", "726086851082240001")</f>
        <v>0</v>
      </c>
      <c r="B644" s="2">
        <v>42489.6894560185</v>
      </c>
      <c r="C644">
        <v>0</v>
      </c>
      <c r="D644">
        <v>42</v>
      </c>
      <c r="E644" t="s">
        <v>640</v>
      </c>
    </row>
    <row r="645" spans="1:5">
      <c r="A645">
        <f>HYPERLINK("http://www.twitter.com/nycoem/status/726078820160262144", "726078820160262144")</f>
        <v>0</v>
      </c>
      <c r="B645" s="2">
        <v>42489.6673032407</v>
      </c>
      <c r="C645">
        <v>2</v>
      </c>
      <c r="D645">
        <v>3</v>
      </c>
      <c r="E645" t="s">
        <v>641</v>
      </c>
    </row>
    <row r="646" spans="1:5">
      <c r="A646">
        <f>HYPERLINK("http://www.twitter.com/nycoem/status/726042246601146369", "726042246601146369")</f>
        <v>0</v>
      </c>
      <c r="B646" s="2">
        <v>42489.5663773148</v>
      </c>
      <c r="C646">
        <v>0</v>
      </c>
      <c r="D646">
        <v>21</v>
      </c>
      <c r="E646" t="s">
        <v>642</v>
      </c>
    </row>
    <row r="647" spans="1:5">
      <c r="A647">
        <f>HYPERLINK("http://www.twitter.com/nycoem/status/725764812756647937", "725764812756647937")</f>
        <v>0</v>
      </c>
      <c r="B647" s="2">
        <v>42488.8008101852</v>
      </c>
      <c r="C647">
        <v>1</v>
      </c>
      <c r="D647">
        <v>0</v>
      </c>
      <c r="E647" t="s">
        <v>643</v>
      </c>
    </row>
    <row r="648" spans="1:5">
      <c r="A648">
        <f>HYPERLINK("http://www.twitter.com/nycoem/status/725713749349437440", "725713749349437440")</f>
        <v>0</v>
      </c>
      <c r="B648" s="2">
        <v>42488.6598958333</v>
      </c>
      <c r="C648">
        <v>3</v>
      </c>
      <c r="D648">
        <v>5</v>
      </c>
      <c r="E648" t="s">
        <v>644</v>
      </c>
    </row>
    <row r="649" spans="1:5">
      <c r="A649">
        <f>HYPERLINK("http://www.twitter.com/nycoem/status/725687831214043136", "725687831214043136")</f>
        <v>0</v>
      </c>
      <c r="B649" s="2">
        <v>42488.5883796296</v>
      </c>
      <c r="C649">
        <v>14</v>
      </c>
      <c r="D649">
        <v>10</v>
      </c>
      <c r="E649" t="s">
        <v>645</v>
      </c>
    </row>
    <row r="650" spans="1:5">
      <c r="A650">
        <f>HYPERLINK("http://www.twitter.com/nycoem/status/725678721131229184", "725678721131229184")</f>
        <v>0</v>
      </c>
      <c r="B650" s="2">
        <v>42488.5632407407</v>
      </c>
      <c r="C650">
        <v>1</v>
      </c>
      <c r="D650">
        <v>3</v>
      </c>
      <c r="E650" t="s">
        <v>646</v>
      </c>
    </row>
    <row r="651" spans="1:5">
      <c r="A651">
        <f>HYPERLINK("http://www.twitter.com/nycoem/status/725658658005258240", "725658658005258240")</f>
        <v>0</v>
      </c>
      <c r="B651" s="2">
        <v>42488.5078703704</v>
      </c>
      <c r="C651">
        <v>0</v>
      </c>
      <c r="D651">
        <v>13</v>
      </c>
      <c r="E651" t="s">
        <v>647</v>
      </c>
    </row>
    <row r="652" spans="1:5">
      <c r="A652">
        <f>HYPERLINK("http://www.twitter.com/nycoem/status/725357698171154436", "725357698171154436")</f>
        <v>0</v>
      </c>
      <c r="B652" s="2">
        <v>42487.6773842593</v>
      </c>
      <c r="C652">
        <v>4</v>
      </c>
      <c r="D652">
        <v>11</v>
      </c>
      <c r="E652" t="s">
        <v>648</v>
      </c>
    </row>
    <row r="653" spans="1:5">
      <c r="A653">
        <f>HYPERLINK("http://www.twitter.com/nycoem/status/725316372687900672", "725316372687900672")</f>
        <v>0</v>
      </c>
      <c r="B653" s="2">
        <v>42487.5633449074</v>
      </c>
      <c r="C653">
        <v>6</v>
      </c>
      <c r="D653">
        <v>6</v>
      </c>
      <c r="E653" t="s">
        <v>649</v>
      </c>
    </row>
    <row r="654" spans="1:5">
      <c r="A654">
        <f>HYPERLINK("http://www.twitter.com/nycoem/status/724993991217963008", "724993991217963008")</f>
        <v>0</v>
      </c>
      <c r="B654" s="2">
        <v>42486.6737384259</v>
      </c>
      <c r="C654">
        <v>4</v>
      </c>
      <c r="D654">
        <v>7</v>
      </c>
      <c r="E654" t="s">
        <v>650</v>
      </c>
    </row>
    <row r="655" spans="1:5">
      <c r="A655">
        <f>HYPERLINK("http://www.twitter.com/nycoem/status/724987428528869376", "724987428528869376")</f>
        <v>0</v>
      </c>
      <c r="B655" s="2">
        <v>42486.6556365741</v>
      </c>
      <c r="C655">
        <v>0</v>
      </c>
      <c r="D655">
        <v>26</v>
      </c>
      <c r="E655" t="s">
        <v>651</v>
      </c>
    </row>
    <row r="656" spans="1:5">
      <c r="A656">
        <f>HYPERLINK("http://www.twitter.com/nycoem/status/724959238599151616", "724959238599151616")</f>
        <v>0</v>
      </c>
      <c r="B656" s="2">
        <v>42486.5778472222</v>
      </c>
      <c r="C656">
        <v>0</v>
      </c>
      <c r="D656">
        <v>22</v>
      </c>
      <c r="E656" t="s">
        <v>652</v>
      </c>
    </row>
    <row r="657" spans="1:5">
      <c r="A657">
        <f>HYPERLINK("http://www.twitter.com/nycoem/status/724718424316882945", "724718424316882945")</f>
        <v>0</v>
      </c>
      <c r="B657" s="2">
        <v>42485.9133217593</v>
      </c>
      <c r="C657">
        <v>2</v>
      </c>
      <c r="D657">
        <v>7</v>
      </c>
      <c r="E657" t="s">
        <v>653</v>
      </c>
    </row>
    <row r="658" spans="1:5">
      <c r="A658">
        <f>HYPERLINK("http://www.twitter.com/nycoem/status/724625316195475456", "724625316195475456")</f>
        <v>0</v>
      </c>
      <c r="B658" s="2">
        <v>42485.6563888889</v>
      </c>
      <c r="C658">
        <v>2</v>
      </c>
      <c r="D658">
        <v>9</v>
      </c>
      <c r="E658" t="s">
        <v>654</v>
      </c>
    </row>
    <row r="659" spans="1:5">
      <c r="A659">
        <f>HYPERLINK("http://www.twitter.com/nycoem/status/724597910910984192", "724597910910984192")</f>
        <v>0</v>
      </c>
      <c r="B659" s="2">
        <v>42485.5807638889</v>
      </c>
      <c r="C659">
        <v>0</v>
      </c>
      <c r="D659">
        <v>21</v>
      </c>
      <c r="E659" t="s">
        <v>655</v>
      </c>
    </row>
    <row r="660" spans="1:5">
      <c r="A660">
        <f>HYPERLINK("http://www.twitter.com/nycoem/status/724564926912692224", "724564926912692224")</f>
        <v>0</v>
      </c>
      <c r="B660" s="2">
        <v>42485.4897453704</v>
      </c>
      <c r="C660">
        <v>0</v>
      </c>
      <c r="D660">
        <v>33</v>
      </c>
      <c r="E660" t="s">
        <v>656</v>
      </c>
    </row>
    <row r="661" spans="1:5">
      <c r="A661">
        <f>HYPERLINK("http://www.twitter.com/nycoem/status/724305428037918725", "724305428037918725")</f>
        <v>0</v>
      </c>
      <c r="B661" s="2">
        <v>42484.7736689815</v>
      </c>
      <c r="C661">
        <v>0</v>
      </c>
      <c r="D661">
        <v>19</v>
      </c>
      <c r="E661" t="s">
        <v>657</v>
      </c>
    </row>
    <row r="662" spans="1:5">
      <c r="A662">
        <f>HYPERLINK("http://www.twitter.com/nycoem/status/723848854102269953", "723848854102269953")</f>
        <v>0</v>
      </c>
      <c r="B662" s="2">
        <v>42483.5137615741</v>
      </c>
      <c r="C662">
        <v>0</v>
      </c>
      <c r="D662">
        <v>3</v>
      </c>
      <c r="E662" t="s">
        <v>658</v>
      </c>
    </row>
    <row r="663" spans="1:5">
      <c r="A663">
        <f>HYPERLINK("http://www.twitter.com/nycoem/status/723547036574949376", "723547036574949376")</f>
        <v>0</v>
      </c>
      <c r="B663" s="2">
        <v>42482.6809143519</v>
      </c>
      <c r="C663">
        <v>8</v>
      </c>
      <c r="D663">
        <v>7</v>
      </c>
      <c r="E663" t="s">
        <v>659</v>
      </c>
    </row>
    <row r="664" spans="1:5">
      <c r="A664">
        <f>HYPERLINK("http://www.twitter.com/nycoem/status/723523101674319873", "723523101674319873")</f>
        <v>0</v>
      </c>
      <c r="B664" s="2">
        <v>42482.6148611111</v>
      </c>
      <c r="C664">
        <v>14</v>
      </c>
      <c r="D664">
        <v>19</v>
      </c>
      <c r="E664" t="s">
        <v>660</v>
      </c>
    </row>
    <row r="665" spans="1:5">
      <c r="A665">
        <f>HYPERLINK("http://www.twitter.com/nycoem/status/723227380047859712", "723227380047859712")</f>
        <v>0</v>
      </c>
      <c r="B665" s="2">
        <v>42481.7988194444</v>
      </c>
      <c r="C665">
        <v>6</v>
      </c>
      <c r="D665">
        <v>10</v>
      </c>
      <c r="E665" t="s">
        <v>661</v>
      </c>
    </row>
    <row r="666" spans="1:5">
      <c r="A666">
        <f>HYPERLINK("http://www.twitter.com/nycoem/status/723187288692371456", "723187288692371456")</f>
        <v>0</v>
      </c>
      <c r="B666" s="2">
        <v>42481.6881944444</v>
      </c>
      <c r="C666">
        <v>0</v>
      </c>
      <c r="D666">
        <v>5</v>
      </c>
      <c r="E666" t="s">
        <v>662</v>
      </c>
    </row>
    <row r="667" spans="1:5">
      <c r="A667">
        <f>HYPERLINK("http://www.twitter.com/nycoem/status/723182085490483200", "723182085490483200")</f>
        <v>0</v>
      </c>
      <c r="B667" s="2">
        <v>42481.6738310185</v>
      </c>
      <c r="C667">
        <v>7</v>
      </c>
      <c r="D667">
        <v>4</v>
      </c>
      <c r="E667" t="s">
        <v>663</v>
      </c>
    </row>
    <row r="668" spans="1:5">
      <c r="A668">
        <f>HYPERLINK("http://www.twitter.com/nycoem/status/723159392045006848", "723159392045006848")</f>
        <v>0</v>
      </c>
      <c r="B668" s="2">
        <v>42481.6112152778</v>
      </c>
      <c r="C668">
        <v>0</v>
      </c>
      <c r="D668">
        <v>3</v>
      </c>
      <c r="E668" t="s">
        <v>664</v>
      </c>
    </row>
    <row r="669" spans="1:5">
      <c r="A669">
        <f>HYPERLINK("http://www.twitter.com/nycoem/status/722905269194199040", "722905269194199040")</f>
        <v>0</v>
      </c>
      <c r="B669" s="2">
        <v>42480.9099652778</v>
      </c>
      <c r="C669">
        <v>13</v>
      </c>
      <c r="D669">
        <v>9</v>
      </c>
      <c r="E669" t="s">
        <v>665</v>
      </c>
    </row>
    <row r="670" spans="1:5">
      <c r="A670">
        <f>HYPERLINK("http://www.twitter.com/nycoem/status/722861216054513664", "722861216054513664")</f>
        <v>0</v>
      </c>
      <c r="B670" s="2">
        <v>42480.7884027778</v>
      </c>
      <c r="C670">
        <v>6</v>
      </c>
      <c r="D670">
        <v>14</v>
      </c>
      <c r="E670" t="s">
        <v>666</v>
      </c>
    </row>
    <row r="671" spans="1:5">
      <c r="A671">
        <f>HYPERLINK("http://www.twitter.com/nycoem/status/722799527107891204", "722799527107891204")</f>
        <v>0</v>
      </c>
      <c r="B671" s="2">
        <v>42480.6181712963</v>
      </c>
      <c r="C671">
        <v>3</v>
      </c>
      <c r="D671">
        <v>4</v>
      </c>
      <c r="E671" t="s">
        <v>667</v>
      </c>
    </row>
    <row r="672" spans="1:5">
      <c r="A672">
        <f>HYPERLINK("http://www.twitter.com/nycoem/status/722779793234784256", "722779793234784256")</f>
        <v>0</v>
      </c>
      <c r="B672" s="2">
        <v>42480.5637152778</v>
      </c>
      <c r="C672">
        <v>0</v>
      </c>
      <c r="D672">
        <v>3</v>
      </c>
      <c r="E672" t="s">
        <v>668</v>
      </c>
    </row>
    <row r="673" spans="1:5">
      <c r="A673">
        <f>HYPERLINK("http://www.twitter.com/nycoem/status/722506378674315265", "722506378674315265")</f>
        <v>0</v>
      </c>
      <c r="B673" s="2">
        <v>42479.8092361111</v>
      </c>
      <c r="C673">
        <v>2</v>
      </c>
      <c r="D673">
        <v>2</v>
      </c>
      <c r="E673" t="s">
        <v>669</v>
      </c>
    </row>
    <row r="674" spans="1:5">
      <c r="A674">
        <f>HYPERLINK("http://www.twitter.com/nycoem/status/722470790768300033", "722470790768300033")</f>
        <v>0</v>
      </c>
      <c r="B674" s="2">
        <v>42479.7110416667</v>
      </c>
      <c r="C674">
        <v>0</v>
      </c>
      <c r="D674">
        <v>72</v>
      </c>
      <c r="E674" t="s">
        <v>670</v>
      </c>
    </row>
    <row r="675" spans="1:5">
      <c r="A675">
        <f>HYPERLINK("http://www.twitter.com/nycoem/status/722425890114793472", "722425890114793472")</f>
        <v>0</v>
      </c>
      <c r="B675" s="2">
        <v>42479.5871296296</v>
      </c>
      <c r="C675">
        <v>4</v>
      </c>
      <c r="D675">
        <v>2</v>
      </c>
      <c r="E675" t="s">
        <v>671</v>
      </c>
    </row>
    <row r="676" spans="1:5">
      <c r="A676">
        <f>HYPERLINK("http://www.twitter.com/nycoem/status/722420880832348161", "722420880832348161")</f>
        <v>0</v>
      </c>
      <c r="B676" s="2">
        <v>42479.5733101852</v>
      </c>
      <c r="C676">
        <v>0</v>
      </c>
      <c r="D676">
        <v>8</v>
      </c>
      <c r="E676" t="s">
        <v>672</v>
      </c>
    </row>
    <row r="677" spans="1:5">
      <c r="A677">
        <f>HYPERLINK("http://www.twitter.com/nycoem/status/722132695589986304", "722132695589986304")</f>
        <v>0</v>
      </c>
      <c r="B677" s="2">
        <v>42478.7780671296</v>
      </c>
      <c r="C677">
        <v>12</v>
      </c>
      <c r="D677">
        <v>11</v>
      </c>
      <c r="E677" t="s">
        <v>673</v>
      </c>
    </row>
    <row r="678" spans="1:5">
      <c r="A678">
        <f>HYPERLINK("http://www.twitter.com/nycoem/status/722125401456295936", "722125401456295936")</f>
        <v>0</v>
      </c>
      <c r="B678" s="2">
        <v>42478.7579398148</v>
      </c>
      <c r="C678">
        <v>0</v>
      </c>
      <c r="D678">
        <v>167</v>
      </c>
      <c r="E678" t="s">
        <v>674</v>
      </c>
    </row>
    <row r="679" spans="1:5">
      <c r="A679">
        <f>HYPERLINK("http://www.twitter.com/nycoem/status/722096186799341569", "722096186799341569")</f>
        <v>0</v>
      </c>
      <c r="B679" s="2">
        <v>42478.6773263889</v>
      </c>
      <c r="C679">
        <v>5</v>
      </c>
      <c r="D679">
        <v>4</v>
      </c>
      <c r="E679" t="s">
        <v>675</v>
      </c>
    </row>
    <row r="680" spans="1:5">
      <c r="A680">
        <f>HYPERLINK("http://www.twitter.com/nycoem/status/722068462374424576", "722068462374424576")</f>
        <v>0</v>
      </c>
      <c r="B680" s="2">
        <v>42478.6008217593</v>
      </c>
      <c r="C680">
        <v>3</v>
      </c>
      <c r="D680">
        <v>1</v>
      </c>
      <c r="E680" t="s">
        <v>676</v>
      </c>
    </row>
    <row r="681" spans="1:5">
      <c r="A681">
        <f>HYPERLINK("http://www.twitter.com/nycoem/status/721001463045091328", "721001463045091328")</f>
        <v>0</v>
      </c>
      <c r="B681" s="2">
        <v>42475.6564699074</v>
      </c>
      <c r="C681">
        <v>6</v>
      </c>
      <c r="D681">
        <v>6</v>
      </c>
      <c r="E681" t="s">
        <v>677</v>
      </c>
    </row>
    <row r="682" spans="1:5">
      <c r="A682">
        <f>HYPERLINK("http://www.twitter.com/nycoem/status/720981904871333889", "720981904871333889")</f>
        <v>0</v>
      </c>
      <c r="B682" s="2">
        <v>42475.6024884259</v>
      </c>
      <c r="C682">
        <v>0</v>
      </c>
      <c r="D682">
        <v>4</v>
      </c>
      <c r="E682" t="s">
        <v>678</v>
      </c>
    </row>
    <row r="683" spans="1:5">
      <c r="A683">
        <f>HYPERLINK("http://www.twitter.com/nycoem/status/720689380868886528", "720689380868886528")</f>
        <v>0</v>
      </c>
      <c r="B683" s="2">
        <v>42474.7952777778</v>
      </c>
      <c r="C683">
        <v>3</v>
      </c>
      <c r="D683">
        <v>5</v>
      </c>
      <c r="E683" t="s">
        <v>679</v>
      </c>
    </row>
    <row r="684" spans="1:5">
      <c r="A684">
        <f>HYPERLINK("http://www.twitter.com/nycoem/status/720666763843739648", "720666763843739648")</f>
        <v>0</v>
      </c>
      <c r="B684" s="2">
        <v>42474.7328703704</v>
      </c>
      <c r="C684">
        <v>2</v>
      </c>
      <c r="D684">
        <v>6</v>
      </c>
      <c r="E684" t="s">
        <v>680</v>
      </c>
    </row>
    <row r="685" spans="1:5">
      <c r="A685">
        <f>HYPERLINK("http://www.twitter.com/nycoem/status/720644110890201089", "720644110890201089")</f>
        <v>0</v>
      </c>
      <c r="B685" s="2">
        <v>42474.6703587963</v>
      </c>
      <c r="C685">
        <v>2</v>
      </c>
      <c r="D685">
        <v>5</v>
      </c>
      <c r="E685" t="s">
        <v>681</v>
      </c>
    </row>
    <row r="686" spans="1:5">
      <c r="A686">
        <f>HYPERLINK("http://www.twitter.com/nycoem/status/720626495669071872", "720626495669071872")</f>
        <v>0</v>
      </c>
      <c r="B686" s="2">
        <v>42474.6217476852</v>
      </c>
      <c r="C686">
        <v>1</v>
      </c>
      <c r="D686">
        <v>3</v>
      </c>
      <c r="E686" t="s">
        <v>682</v>
      </c>
    </row>
    <row r="687" spans="1:5">
      <c r="A687">
        <f>HYPERLINK("http://www.twitter.com/nycoem/status/720375995673534464", "720375995673534464")</f>
        <v>0</v>
      </c>
      <c r="B687" s="2">
        <v>42473.9304976852</v>
      </c>
      <c r="C687">
        <v>11</v>
      </c>
      <c r="D687">
        <v>8</v>
      </c>
      <c r="E687" t="s">
        <v>683</v>
      </c>
    </row>
    <row r="688" spans="1:5">
      <c r="A688">
        <f>HYPERLINK("http://www.twitter.com/nycoem/status/720369794034307072", "720369794034307072")</f>
        <v>0</v>
      </c>
      <c r="B688" s="2">
        <v>42473.9133912037</v>
      </c>
      <c r="C688">
        <v>4</v>
      </c>
      <c r="D688">
        <v>11</v>
      </c>
      <c r="E688" t="s">
        <v>684</v>
      </c>
    </row>
    <row r="689" spans="1:5">
      <c r="A689">
        <f>HYPERLINK("http://www.twitter.com/nycoem/status/720326063331622912", "720326063331622912")</f>
        <v>0</v>
      </c>
      <c r="B689" s="2">
        <v>42473.7927199074</v>
      </c>
      <c r="C689">
        <v>2</v>
      </c>
      <c r="D689">
        <v>1</v>
      </c>
      <c r="E689" t="s">
        <v>685</v>
      </c>
    </row>
    <row r="690" spans="1:5">
      <c r="A690">
        <f>HYPERLINK("http://www.twitter.com/nycoem/status/720281973751549957", "720281973751549957")</f>
        <v>0</v>
      </c>
      <c r="B690" s="2">
        <v>42473.6710532407</v>
      </c>
      <c r="C690">
        <v>0</v>
      </c>
      <c r="D690">
        <v>1639</v>
      </c>
      <c r="E690" t="s">
        <v>686</v>
      </c>
    </row>
    <row r="691" spans="1:5">
      <c r="A691">
        <f>HYPERLINK("http://www.twitter.com/nycoem/status/720280654701805568", "720280654701805568")</f>
        <v>0</v>
      </c>
      <c r="B691" s="2">
        <v>42473.6674074074</v>
      </c>
      <c r="C691">
        <v>6</v>
      </c>
      <c r="D691">
        <v>6</v>
      </c>
      <c r="E691" t="s">
        <v>687</v>
      </c>
    </row>
    <row r="692" spans="1:5">
      <c r="A692">
        <f>HYPERLINK("http://www.twitter.com/nycoem/status/720239367961362432", "720239367961362432")</f>
        <v>0</v>
      </c>
      <c r="B692" s="2">
        <v>42473.5534837963</v>
      </c>
      <c r="C692">
        <v>7</v>
      </c>
      <c r="D692">
        <v>6</v>
      </c>
      <c r="E692" t="s">
        <v>688</v>
      </c>
    </row>
    <row r="693" spans="1:5">
      <c r="A693">
        <f>HYPERLINK("http://www.twitter.com/nycoem/status/719918530909638656", "719918530909638656")</f>
        <v>0</v>
      </c>
      <c r="B693" s="2">
        <v>42472.6681365741</v>
      </c>
      <c r="C693">
        <v>30</v>
      </c>
      <c r="D693">
        <v>17</v>
      </c>
      <c r="E693" t="s">
        <v>689</v>
      </c>
    </row>
    <row r="694" spans="1:5">
      <c r="A694">
        <f>HYPERLINK("http://www.twitter.com/nycoem/status/719913241166516225", "719913241166516225")</f>
        <v>0</v>
      </c>
      <c r="B694" s="2">
        <v>42472.6535416667</v>
      </c>
      <c r="C694">
        <v>36</v>
      </c>
      <c r="D694">
        <v>20</v>
      </c>
      <c r="E694" t="s">
        <v>690</v>
      </c>
    </row>
    <row r="695" spans="1:5">
      <c r="A695">
        <f>HYPERLINK("http://www.twitter.com/nycoem/status/719906470561779713", "719906470561779713")</f>
        <v>0</v>
      </c>
      <c r="B695" s="2">
        <v>42472.6348611111</v>
      </c>
      <c r="C695">
        <v>18</v>
      </c>
      <c r="D695">
        <v>19</v>
      </c>
      <c r="E695" t="s">
        <v>691</v>
      </c>
    </row>
    <row r="696" spans="1:5">
      <c r="A696">
        <f>HYPERLINK("http://www.twitter.com/nycoem/status/719896632729419776", "719896632729419776")</f>
        <v>0</v>
      </c>
      <c r="B696" s="2">
        <v>42472.6077083333</v>
      </c>
      <c r="C696">
        <v>12</v>
      </c>
      <c r="D696">
        <v>14</v>
      </c>
      <c r="E696" t="s">
        <v>692</v>
      </c>
    </row>
    <row r="697" spans="1:5">
      <c r="A697">
        <f>HYPERLINK("http://www.twitter.com/nycoem/status/719657997035839488", "719657997035839488")</f>
        <v>0</v>
      </c>
      <c r="B697" s="2">
        <v>42471.9492013889</v>
      </c>
      <c r="C697">
        <v>21</v>
      </c>
      <c r="D697">
        <v>21</v>
      </c>
      <c r="E697" t="s">
        <v>693</v>
      </c>
    </row>
    <row r="698" spans="1:5">
      <c r="A698">
        <f>HYPERLINK("http://www.twitter.com/nycoem/status/719652794890719232", "719652794890719232")</f>
        <v>0</v>
      </c>
      <c r="B698" s="2">
        <v>42471.934849537</v>
      </c>
      <c r="C698">
        <v>0</v>
      </c>
      <c r="D698">
        <v>3</v>
      </c>
      <c r="E698" t="s">
        <v>694</v>
      </c>
    </row>
    <row r="699" spans="1:5">
      <c r="A699">
        <f>HYPERLINK("http://www.twitter.com/nycoem/status/719652487129464832", "719652487129464832")</f>
        <v>0</v>
      </c>
      <c r="B699" s="2">
        <v>42471.9340046296</v>
      </c>
      <c r="C699">
        <v>0</v>
      </c>
      <c r="D699">
        <v>15</v>
      </c>
      <c r="E699" t="s">
        <v>695</v>
      </c>
    </row>
    <row r="700" spans="1:5">
      <c r="A700">
        <f>HYPERLINK("http://www.twitter.com/nycoem/status/719603504717893632", "719603504717893632")</f>
        <v>0</v>
      </c>
      <c r="B700" s="2">
        <v>42471.7988310185</v>
      </c>
      <c r="C700">
        <v>4</v>
      </c>
      <c r="D700">
        <v>9</v>
      </c>
      <c r="E700" t="s">
        <v>696</v>
      </c>
    </row>
    <row r="701" spans="1:5">
      <c r="A701">
        <f>HYPERLINK("http://www.twitter.com/nycoem/status/719526713584128001", "719526713584128001")</f>
        <v>0</v>
      </c>
      <c r="B701" s="2">
        <v>42471.5869328704</v>
      </c>
      <c r="C701">
        <v>8</v>
      </c>
      <c r="D701">
        <v>7</v>
      </c>
      <c r="E701" t="s">
        <v>697</v>
      </c>
    </row>
    <row r="702" spans="1:5">
      <c r="A702">
        <f>HYPERLINK("http://www.twitter.com/nycoem/status/719524178509094912", "719524178509094912")</f>
        <v>0</v>
      </c>
      <c r="B702" s="2">
        <v>42471.5799305556</v>
      </c>
      <c r="C702">
        <v>12</v>
      </c>
      <c r="D702">
        <v>18</v>
      </c>
      <c r="E702" t="s">
        <v>698</v>
      </c>
    </row>
    <row r="703" spans="1:5">
      <c r="A703">
        <f>HYPERLINK("http://www.twitter.com/nycoem/status/718521477440647168", "718521477440647168")</f>
        <v>0</v>
      </c>
      <c r="B703" s="2">
        <v>42468.8130092593</v>
      </c>
      <c r="C703">
        <v>13</v>
      </c>
      <c r="D703">
        <v>24</v>
      </c>
      <c r="E703" t="s">
        <v>699</v>
      </c>
    </row>
    <row r="704" spans="1:5">
      <c r="A704">
        <f>HYPERLINK("http://www.twitter.com/nycoem/status/718503998706360320", "718503998706360320")</f>
        <v>0</v>
      </c>
      <c r="B704" s="2">
        <v>42468.7647800926</v>
      </c>
      <c r="C704">
        <v>0</v>
      </c>
      <c r="D704">
        <v>3</v>
      </c>
      <c r="E704" t="s">
        <v>700</v>
      </c>
    </row>
    <row r="705" spans="1:5">
      <c r="A705">
        <f>HYPERLINK("http://www.twitter.com/nycoem/status/718466002883842048", "718466002883842048")</f>
        <v>0</v>
      </c>
      <c r="B705" s="2">
        <v>42468.6599305556</v>
      </c>
      <c r="C705">
        <v>5</v>
      </c>
      <c r="D705">
        <v>9</v>
      </c>
      <c r="E705" t="s">
        <v>701</v>
      </c>
    </row>
    <row r="706" spans="1:5">
      <c r="A706">
        <f>HYPERLINK("http://www.twitter.com/nycoem/status/718150162405842944", "718150162405842944")</f>
        <v>0</v>
      </c>
      <c r="B706" s="2">
        <v>42467.7883680556</v>
      </c>
      <c r="C706">
        <v>11</v>
      </c>
      <c r="D706">
        <v>20</v>
      </c>
      <c r="E706" t="s">
        <v>702</v>
      </c>
    </row>
    <row r="707" spans="1:5">
      <c r="A707">
        <f>HYPERLINK("http://www.twitter.com/nycoem/status/718116164119957505", "718116164119957505")</f>
        <v>0</v>
      </c>
      <c r="B707" s="2">
        <v>42467.6945601852</v>
      </c>
      <c r="C707">
        <v>5</v>
      </c>
      <c r="D707">
        <v>11</v>
      </c>
      <c r="E707" t="s">
        <v>703</v>
      </c>
    </row>
    <row r="708" spans="1:5">
      <c r="A708">
        <f>HYPERLINK("http://www.twitter.com/nycoem/status/718108676360421376", "718108676360421376")</f>
        <v>0</v>
      </c>
      <c r="B708" s="2">
        <v>42467.6738888889</v>
      </c>
      <c r="C708">
        <v>4</v>
      </c>
      <c r="D708">
        <v>9</v>
      </c>
      <c r="E708" t="s">
        <v>704</v>
      </c>
    </row>
    <row r="709" spans="1:5">
      <c r="A709">
        <f>HYPERLINK("http://www.twitter.com/nycoem/status/717719855668011008", "717719855668011008")</f>
        <v>0</v>
      </c>
      <c r="B709" s="2">
        <v>42466.6009490741</v>
      </c>
      <c r="C709">
        <v>5</v>
      </c>
      <c r="D709">
        <v>8</v>
      </c>
      <c r="E709" t="s">
        <v>705</v>
      </c>
    </row>
    <row r="710" spans="1:5">
      <c r="A710">
        <f>HYPERLINK("http://www.twitter.com/nycoem/status/717714871387885568", "717714871387885568")</f>
        <v>0</v>
      </c>
      <c r="B710" s="2">
        <v>42466.5871990741</v>
      </c>
      <c r="C710">
        <v>9</v>
      </c>
      <c r="D710">
        <v>8</v>
      </c>
      <c r="E710" t="s">
        <v>706</v>
      </c>
    </row>
    <row r="711" spans="1:5">
      <c r="A711">
        <f>HYPERLINK("http://www.twitter.com/nycoem/status/717709201359900672", "717709201359900672")</f>
        <v>0</v>
      </c>
      <c r="B711" s="2">
        <v>42466.5715509259</v>
      </c>
      <c r="C711">
        <v>0</v>
      </c>
      <c r="D711">
        <v>7</v>
      </c>
      <c r="E711" t="s">
        <v>707</v>
      </c>
    </row>
    <row r="712" spans="1:5">
      <c r="A712">
        <f>HYPERLINK("http://www.twitter.com/nycoem/status/717386514632744960", "717386514632744960")</f>
        <v>0</v>
      </c>
      <c r="B712" s="2">
        <v>42465.6811111111</v>
      </c>
      <c r="C712">
        <v>0</v>
      </c>
      <c r="D712">
        <v>6</v>
      </c>
      <c r="E712" t="s">
        <v>708</v>
      </c>
    </row>
    <row r="713" spans="1:5">
      <c r="A713">
        <f>HYPERLINK("http://www.twitter.com/nycoem/status/717381492272443392", "717381492272443392")</f>
        <v>0</v>
      </c>
      <c r="B713" s="2">
        <v>42465.6672453704</v>
      </c>
      <c r="C713">
        <v>1</v>
      </c>
      <c r="D713">
        <v>8</v>
      </c>
      <c r="E713" t="s">
        <v>709</v>
      </c>
    </row>
    <row r="714" spans="1:5">
      <c r="A714">
        <f>HYPERLINK("http://www.twitter.com/nycoem/status/717357689454641152", "717357689454641152")</f>
        <v>0</v>
      </c>
      <c r="B714" s="2">
        <v>42465.6015625</v>
      </c>
      <c r="C714">
        <v>2</v>
      </c>
      <c r="D714">
        <v>2</v>
      </c>
      <c r="E714" t="s">
        <v>710</v>
      </c>
    </row>
    <row r="715" spans="1:5">
      <c r="A715">
        <f>HYPERLINK("http://www.twitter.com/nycoem/status/717344585647841280", "717344585647841280")</f>
        <v>0</v>
      </c>
      <c r="B715" s="2">
        <v>42465.5654050926</v>
      </c>
      <c r="C715">
        <v>0</v>
      </c>
      <c r="D715">
        <v>24</v>
      </c>
      <c r="E715" t="s">
        <v>711</v>
      </c>
    </row>
    <row r="716" spans="1:5">
      <c r="A716">
        <f>HYPERLINK("http://www.twitter.com/nycoem/status/717066665188569096", "717066665188569096")</f>
        <v>0</v>
      </c>
      <c r="B716" s="2">
        <v>42464.7984953704</v>
      </c>
      <c r="C716">
        <v>0</v>
      </c>
      <c r="D716">
        <v>528</v>
      </c>
      <c r="E716" t="s">
        <v>712</v>
      </c>
    </row>
    <row r="717" spans="1:5">
      <c r="A717">
        <f>HYPERLINK("http://www.twitter.com/nycoem/status/717065543753314306", "717065543753314306")</f>
        <v>0</v>
      </c>
      <c r="B717" s="2">
        <v>42464.7953935185</v>
      </c>
      <c r="C717">
        <v>3</v>
      </c>
      <c r="D717">
        <v>5</v>
      </c>
      <c r="E717" t="s">
        <v>713</v>
      </c>
    </row>
    <row r="718" spans="1:5">
      <c r="A718">
        <f>HYPERLINK("http://www.twitter.com/nycoem/status/717019133104234496", "717019133104234496")</f>
        <v>0</v>
      </c>
      <c r="B718" s="2">
        <v>42464.6673263889</v>
      </c>
      <c r="C718">
        <v>1</v>
      </c>
      <c r="D718">
        <v>5</v>
      </c>
      <c r="E718" t="s">
        <v>714</v>
      </c>
    </row>
    <row r="719" spans="1:5">
      <c r="A719">
        <f>HYPERLINK("http://www.twitter.com/nycoem/status/716988653415841792", "716988653415841792")</f>
        <v>0</v>
      </c>
      <c r="B719" s="2">
        <v>42464.5832175926</v>
      </c>
      <c r="C719">
        <v>0</v>
      </c>
      <c r="D719">
        <v>13</v>
      </c>
      <c r="E719" t="s">
        <v>715</v>
      </c>
    </row>
    <row r="720" spans="1:5">
      <c r="A720">
        <f>HYPERLINK("http://www.twitter.com/nycoem/status/716656142949228545", "716656142949228545")</f>
        <v>0</v>
      </c>
      <c r="B720" s="2">
        <v>42463.6656597222</v>
      </c>
      <c r="C720">
        <v>0</v>
      </c>
      <c r="D720">
        <v>5</v>
      </c>
      <c r="E720" t="s">
        <v>716</v>
      </c>
    </row>
    <row r="721" spans="1:5">
      <c r="A721">
        <f>HYPERLINK("http://www.twitter.com/nycoem/status/716656113597419520", "716656113597419520")</f>
        <v>0</v>
      </c>
      <c r="B721" s="2">
        <v>42463.6655787037</v>
      </c>
      <c r="C721">
        <v>0</v>
      </c>
      <c r="D721">
        <v>21</v>
      </c>
      <c r="E721" t="s">
        <v>717</v>
      </c>
    </row>
    <row r="722" spans="1:5">
      <c r="A722">
        <f>HYPERLINK("http://www.twitter.com/nycoem/status/716631266829975552", "716631266829975552")</f>
        <v>0</v>
      </c>
      <c r="B722" s="2">
        <v>42463.597025463</v>
      </c>
      <c r="C722">
        <v>0</v>
      </c>
      <c r="D722">
        <v>11</v>
      </c>
      <c r="E722" t="s">
        <v>718</v>
      </c>
    </row>
    <row r="723" spans="1:5">
      <c r="A723">
        <f>HYPERLINK("http://www.twitter.com/nycoem/status/716621331941498882", "716621331941498882")</f>
        <v>0</v>
      </c>
      <c r="B723" s="2">
        <v>42463.5696064815</v>
      </c>
      <c r="C723">
        <v>0</v>
      </c>
      <c r="D723">
        <v>18</v>
      </c>
      <c r="E723" t="s">
        <v>719</v>
      </c>
    </row>
    <row r="724" spans="1:5">
      <c r="A724">
        <f>HYPERLINK("http://www.twitter.com/nycoem/status/716616408835166208", "716616408835166208")</f>
        <v>0</v>
      </c>
      <c r="B724" s="2">
        <v>42463.5560185185</v>
      </c>
      <c r="C724">
        <v>0</v>
      </c>
      <c r="D724">
        <v>31</v>
      </c>
      <c r="E724" t="s">
        <v>720</v>
      </c>
    </row>
    <row r="725" spans="1:5">
      <c r="A725">
        <f>HYPERLINK("http://www.twitter.com/nycoem/status/716280367188209664", "716280367188209664")</f>
        <v>0</v>
      </c>
      <c r="B725" s="2">
        <v>42462.6287268518</v>
      </c>
      <c r="C725">
        <v>5</v>
      </c>
      <c r="D725">
        <v>4</v>
      </c>
      <c r="E725" t="s">
        <v>721</v>
      </c>
    </row>
    <row r="726" spans="1:5">
      <c r="A726">
        <f>HYPERLINK("http://www.twitter.com/nycoem/status/716046521763016705", "716046521763016705")</f>
        <v>0</v>
      </c>
      <c r="B726" s="2">
        <v>42461.9834259259</v>
      </c>
      <c r="C726">
        <v>0</v>
      </c>
      <c r="D726">
        <v>15</v>
      </c>
      <c r="E726" t="s">
        <v>722</v>
      </c>
    </row>
    <row r="727" spans="1:5">
      <c r="A727">
        <f>HYPERLINK("http://www.twitter.com/nycoem/status/715967097252225024", "715967097252225024")</f>
        <v>0</v>
      </c>
      <c r="B727" s="2">
        <v>42461.7642592593</v>
      </c>
      <c r="C727">
        <v>8</v>
      </c>
      <c r="D727">
        <v>20</v>
      </c>
      <c r="E727" t="s">
        <v>723</v>
      </c>
    </row>
    <row r="728" spans="1:5">
      <c r="A728">
        <f>HYPERLINK("http://www.twitter.com/nycoem/status/715935667696570369", "715935667696570369")</f>
        <v>0</v>
      </c>
      <c r="B728" s="2">
        <v>42461.6775347222</v>
      </c>
      <c r="C728">
        <v>5</v>
      </c>
      <c r="D728">
        <v>3</v>
      </c>
      <c r="E728" t="s">
        <v>724</v>
      </c>
    </row>
    <row r="729" spans="1:5">
      <c r="A729">
        <f>HYPERLINK("http://www.twitter.com/nycoem/status/715921706121093120", "715921706121093120")</f>
        <v>0</v>
      </c>
      <c r="B729" s="2">
        <v>42461.6390046296</v>
      </c>
      <c r="C729">
        <v>0</v>
      </c>
      <c r="D729">
        <v>6</v>
      </c>
      <c r="E729" t="s">
        <v>725</v>
      </c>
    </row>
    <row r="730" spans="1:5">
      <c r="A730">
        <f>HYPERLINK("http://www.twitter.com/nycoem/status/715919269079486464", "715919269079486464")</f>
        <v>0</v>
      </c>
      <c r="B730" s="2">
        <v>42461.6322800926</v>
      </c>
      <c r="C730">
        <v>2</v>
      </c>
      <c r="D730">
        <v>8</v>
      </c>
      <c r="E730" t="s">
        <v>726</v>
      </c>
    </row>
    <row r="731" spans="1:5">
      <c r="A731">
        <f>HYPERLINK("http://www.twitter.com/nycoem/status/715902831660769280", "715902831660769280")</f>
        <v>0</v>
      </c>
      <c r="B731" s="2">
        <v>42461.5869212963</v>
      </c>
      <c r="C731">
        <v>3</v>
      </c>
      <c r="D731">
        <v>4</v>
      </c>
      <c r="E731" t="s">
        <v>727</v>
      </c>
    </row>
    <row r="732" spans="1:5">
      <c r="A732">
        <f>HYPERLINK("http://www.twitter.com/nycoem/status/715896621356199938", "715896621356199938")</f>
        <v>0</v>
      </c>
      <c r="B732" s="2">
        <v>42461.5697800926</v>
      </c>
      <c r="C732">
        <v>12</v>
      </c>
      <c r="D732">
        <v>6</v>
      </c>
      <c r="E732" t="s">
        <v>728</v>
      </c>
    </row>
    <row r="733" spans="1:5">
      <c r="A733">
        <f>HYPERLINK("http://www.twitter.com/nycoem/status/715595893710405632", "715595893710405632")</f>
        <v>0</v>
      </c>
      <c r="B733" s="2">
        <v>42460.7399305556</v>
      </c>
      <c r="C733">
        <v>1</v>
      </c>
      <c r="D733">
        <v>0</v>
      </c>
      <c r="E733" t="s">
        <v>729</v>
      </c>
    </row>
    <row r="734" spans="1:5">
      <c r="A734">
        <f>HYPERLINK("http://www.twitter.com/nycoem/status/715571903633686530", "715571903633686530")</f>
        <v>0</v>
      </c>
      <c r="B734" s="2">
        <v>42460.6737384259</v>
      </c>
      <c r="C734">
        <v>24</v>
      </c>
      <c r="D734">
        <v>27</v>
      </c>
      <c r="E734" t="s">
        <v>730</v>
      </c>
    </row>
    <row r="735" spans="1:5">
      <c r="A735">
        <f>HYPERLINK("http://www.twitter.com/nycoem/status/715544299140751361", "715544299140751361")</f>
        <v>0</v>
      </c>
      <c r="B735" s="2">
        <v>42460.5975578704</v>
      </c>
      <c r="C735">
        <v>1</v>
      </c>
      <c r="D735">
        <v>6</v>
      </c>
      <c r="E735" t="s">
        <v>731</v>
      </c>
    </row>
    <row r="736" spans="1:5">
      <c r="A736">
        <f>HYPERLINK("http://www.twitter.com/nycoem/status/715253174043586560", "715253174043586560")</f>
        <v>0</v>
      </c>
      <c r="B736" s="2">
        <v>42459.794212963</v>
      </c>
      <c r="C736">
        <v>0</v>
      </c>
      <c r="D736">
        <v>9</v>
      </c>
      <c r="E736" t="s">
        <v>732</v>
      </c>
    </row>
    <row r="737" spans="1:5">
      <c r="A737">
        <f>HYPERLINK("http://www.twitter.com/nycoem/status/715253053159563265", "715253053159563265")</f>
        <v>0</v>
      </c>
      <c r="B737" s="2">
        <v>42459.7938773148</v>
      </c>
      <c r="C737">
        <v>5</v>
      </c>
      <c r="D737">
        <v>3</v>
      </c>
      <c r="E737" t="s">
        <v>733</v>
      </c>
    </row>
    <row r="738" spans="1:5">
      <c r="A738">
        <f>HYPERLINK("http://www.twitter.com/nycoem/status/715253012164378624", "715253012164378624")</f>
        <v>0</v>
      </c>
      <c r="B738" s="2">
        <v>42459.7937615741</v>
      </c>
      <c r="C738">
        <v>0</v>
      </c>
      <c r="D738">
        <v>3</v>
      </c>
      <c r="E738" t="s">
        <v>734</v>
      </c>
    </row>
    <row r="739" spans="1:5">
      <c r="A739">
        <f>HYPERLINK("http://www.twitter.com/nycoem/status/715252306955149312", "715252306955149312")</f>
        <v>0</v>
      </c>
      <c r="B739" s="2">
        <v>42459.7918171296</v>
      </c>
      <c r="C739">
        <v>1</v>
      </c>
      <c r="D739">
        <v>4</v>
      </c>
      <c r="E739" t="s">
        <v>735</v>
      </c>
    </row>
    <row r="740" spans="1:5">
      <c r="A740">
        <f>HYPERLINK("http://www.twitter.com/nycoem/status/715250950492057601", "715250950492057601")</f>
        <v>0</v>
      </c>
      <c r="B740" s="2">
        <v>42459.7880671296</v>
      </c>
      <c r="C740">
        <v>0</v>
      </c>
      <c r="D740">
        <v>3</v>
      </c>
      <c r="E740" t="s">
        <v>736</v>
      </c>
    </row>
    <row r="741" spans="1:5">
      <c r="A741">
        <f>HYPERLINK("http://www.twitter.com/nycoem/status/715249452433469441", "715249452433469441")</f>
        <v>0</v>
      </c>
      <c r="B741" s="2">
        <v>42459.7839351852</v>
      </c>
      <c r="C741">
        <v>8</v>
      </c>
      <c r="D741">
        <v>10</v>
      </c>
      <c r="E741" t="s">
        <v>737</v>
      </c>
    </row>
    <row r="742" spans="1:5">
      <c r="A742">
        <f>HYPERLINK("http://www.twitter.com/nycoem/status/715249198485078016", "715249198485078016")</f>
        <v>0</v>
      </c>
      <c r="B742" s="2">
        <v>42459.7832407407</v>
      </c>
      <c r="C742">
        <v>5</v>
      </c>
      <c r="D742">
        <v>7</v>
      </c>
      <c r="E742" t="s">
        <v>738</v>
      </c>
    </row>
    <row r="743" spans="1:5">
      <c r="A743">
        <f>HYPERLINK("http://www.twitter.com/nycoem/status/715248057143656448", "715248057143656448")</f>
        <v>0</v>
      </c>
      <c r="B743" s="2">
        <v>42459.7800925926</v>
      </c>
      <c r="C743">
        <v>0</v>
      </c>
      <c r="D743">
        <v>29</v>
      </c>
      <c r="E743" t="s">
        <v>739</v>
      </c>
    </row>
    <row r="744" spans="1:5">
      <c r="A744">
        <f>HYPERLINK("http://www.twitter.com/nycoem/status/715247722211713024", "715247722211713024")</f>
        <v>0</v>
      </c>
      <c r="B744" s="2">
        <v>42459.7791666667</v>
      </c>
      <c r="C744">
        <v>7</v>
      </c>
      <c r="D744">
        <v>5</v>
      </c>
      <c r="E744" t="s">
        <v>740</v>
      </c>
    </row>
    <row r="745" spans="1:5">
      <c r="A745">
        <f>HYPERLINK("http://www.twitter.com/nycoem/status/715246237142937601", "715246237142937601")</f>
        <v>0</v>
      </c>
      <c r="B745" s="2">
        <v>42459.7750694444</v>
      </c>
      <c r="C745">
        <v>2</v>
      </c>
      <c r="D745">
        <v>1</v>
      </c>
      <c r="E745" t="s">
        <v>741</v>
      </c>
    </row>
    <row r="746" spans="1:5">
      <c r="A746">
        <f>HYPERLINK("http://www.twitter.com/nycoem/status/715245613361795072", "715245613361795072")</f>
        <v>0</v>
      </c>
      <c r="B746" s="2">
        <v>42459.7733449074</v>
      </c>
      <c r="C746">
        <v>4</v>
      </c>
      <c r="D746">
        <v>6</v>
      </c>
      <c r="E746" t="s">
        <v>742</v>
      </c>
    </row>
    <row r="747" spans="1:5">
      <c r="A747">
        <f>HYPERLINK("http://www.twitter.com/nycoem/status/715244856126349312", "715244856126349312")</f>
        <v>0</v>
      </c>
      <c r="B747" s="2">
        <v>42459.77125</v>
      </c>
      <c r="C747">
        <v>2</v>
      </c>
      <c r="D747">
        <v>1</v>
      </c>
      <c r="E747" t="s">
        <v>743</v>
      </c>
    </row>
    <row r="748" spans="1:5">
      <c r="A748">
        <f>HYPERLINK("http://www.twitter.com/nycoem/status/715244664622866432", "715244664622866432")</f>
        <v>0</v>
      </c>
      <c r="B748" s="2">
        <v>42459.7707291667</v>
      </c>
      <c r="C748">
        <v>5</v>
      </c>
      <c r="D748">
        <v>8</v>
      </c>
      <c r="E748" t="s">
        <v>744</v>
      </c>
    </row>
    <row r="749" spans="1:5">
      <c r="A749">
        <f>HYPERLINK("http://www.twitter.com/nycoem/status/715242417801310208", "715242417801310208")</f>
        <v>0</v>
      </c>
      <c r="B749" s="2">
        <v>42459.764525463</v>
      </c>
      <c r="C749">
        <v>3</v>
      </c>
      <c r="D749">
        <v>0</v>
      </c>
      <c r="E749" t="s">
        <v>745</v>
      </c>
    </row>
    <row r="750" spans="1:5">
      <c r="A750">
        <f>HYPERLINK("http://www.twitter.com/nycoem/status/715242052695560197", "715242052695560197")</f>
        <v>0</v>
      </c>
      <c r="B750" s="2">
        <v>42459.7635185185</v>
      </c>
      <c r="C750">
        <v>4</v>
      </c>
      <c r="D750">
        <v>2</v>
      </c>
      <c r="E750" t="s">
        <v>746</v>
      </c>
    </row>
    <row r="751" spans="1:5">
      <c r="A751">
        <f>HYPERLINK("http://www.twitter.com/nycoem/status/715241021060300800", "715241021060300800")</f>
        <v>0</v>
      </c>
      <c r="B751" s="2">
        <v>42459.7606712963</v>
      </c>
      <c r="C751">
        <v>5</v>
      </c>
      <c r="D751">
        <v>5</v>
      </c>
      <c r="E751" t="s">
        <v>747</v>
      </c>
    </row>
    <row r="752" spans="1:5">
      <c r="A752">
        <f>HYPERLINK("http://www.twitter.com/nycoem/status/715239977899200512", "715239977899200512")</f>
        <v>0</v>
      </c>
      <c r="B752" s="2">
        <v>42459.7577893519</v>
      </c>
      <c r="C752">
        <v>3</v>
      </c>
      <c r="D752">
        <v>4</v>
      </c>
      <c r="E752" t="s">
        <v>748</v>
      </c>
    </row>
    <row r="753" spans="1:5">
      <c r="A753">
        <f>HYPERLINK("http://www.twitter.com/nycoem/status/715238880946098178", "715238880946098178")</f>
        <v>0</v>
      </c>
      <c r="B753" s="2">
        <v>42459.7547685185</v>
      </c>
      <c r="C753">
        <v>0</v>
      </c>
      <c r="D753">
        <v>3</v>
      </c>
      <c r="E753" t="s">
        <v>749</v>
      </c>
    </row>
    <row r="754" spans="1:5">
      <c r="A754">
        <f>HYPERLINK("http://www.twitter.com/nycoem/status/715238758157795328", "715238758157795328")</f>
        <v>0</v>
      </c>
      <c r="B754" s="2">
        <v>42459.7544328704</v>
      </c>
      <c r="C754">
        <v>4</v>
      </c>
      <c r="D754">
        <v>3</v>
      </c>
      <c r="E754" t="s">
        <v>750</v>
      </c>
    </row>
    <row r="755" spans="1:5">
      <c r="A755">
        <f>HYPERLINK("http://www.twitter.com/nycoem/status/715238045373579264", "715238045373579264")</f>
        <v>0</v>
      </c>
      <c r="B755" s="2">
        <v>42459.7524652778</v>
      </c>
      <c r="C755">
        <v>0</v>
      </c>
      <c r="D755">
        <v>5</v>
      </c>
      <c r="E755" t="s">
        <v>751</v>
      </c>
    </row>
    <row r="756" spans="1:5">
      <c r="A756">
        <f>HYPERLINK("http://www.twitter.com/nycoem/status/715209562584981505", "715209562584981505")</f>
        <v>0</v>
      </c>
      <c r="B756" s="2">
        <v>42459.6738657407</v>
      </c>
      <c r="C756">
        <v>2</v>
      </c>
      <c r="D756">
        <v>5</v>
      </c>
      <c r="E756" t="s">
        <v>752</v>
      </c>
    </row>
    <row r="757" spans="1:5">
      <c r="A757">
        <f>HYPERLINK("http://www.twitter.com/nycoem/status/714912989267292160", "714912989267292160")</f>
        <v>0</v>
      </c>
      <c r="B757" s="2">
        <v>42458.855474537</v>
      </c>
      <c r="C757">
        <v>0</v>
      </c>
      <c r="D757">
        <v>4</v>
      </c>
      <c r="E757" t="s">
        <v>753</v>
      </c>
    </row>
    <row r="758" spans="1:5">
      <c r="A758">
        <f>HYPERLINK("http://www.twitter.com/nycoem/status/714891224109461504", "714891224109461504")</f>
        <v>0</v>
      </c>
      <c r="B758" s="2">
        <v>42458.7954166667</v>
      </c>
      <c r="C758">
        <v>1</v>
      </c>
      <c r="D758">
        <v>6</v>
      </c>
      <c r="E758" t="s">
        <v>754</v>
      </c>
    </row>
    <row r="759" spans="1:5">
      <c r="A759">
        <f>HYPERLINK("http://www.twitter.com/nycoem/status/714843381814398976", "714843381814398976")</f>
        <v>0</v>
      </c>
      <c r="B759" s="2">
        <v>42458.6634027778</v>
      </c>
      <c r="C759">
        <v>7</v>
      </c>
      <c r="D759">
        <v>14</v>
      </c>
      <c r="E759" t="s">
        <v>755</v>
      </c>
    </row>
    <row r="760" spans="1:5">
      <c r="A760">
        <f>HYPERLINK("http://www.twitter.com/nycoem/status/714806973435355137", "714806973435355137")</f>
        <v>0</v>
      </c>
      <c r="B760" s="2">
        <v>42458.5629282407</v>
      </c>
      <c r="C760">
        <v>2</v>
      </c>
      <c r="D760">
        <v>6</v>
      </c>
      <c r="E760" t="s">
        <v>756</v>
      </c>
    </row>
    <row r="761" spans="1:5">
      <c r="A761">
        <f>HYPERLINK("http://www.twitter.com/nycoem/status/714573026738700289", "714573026738700289")</f>
        <v>0</v>
      </c>
      <c r="B761" s="2">
        <v>42457.9173611111</v>
      </c>
      <c r="C761">
        <v>2</v>
      </c>
      <c r="D761">
        <v>7</v>
      </c>
      <c r="E761" t="s">
        <v>757</v>
      </c>
    </row>
    <row r="762" spans="1:5">
      <c r="A762">
        <f>HYPERLINK("http://www.twitter.com/nycoem/status/714483521088307200", "714483521088307200")</f>
        <v>0</v>
      </c>
      <c r="B762" s="2">
        <v>42457.6703703704</v>
      </c>
      <c r="C762">
        <v>5</v>
      </c>
      <c r="D762">
        <v>10</v>
      </c>
      <c r="E762" t="s">
        <v>758</v>
      </c>
    </row>
    <row r="763" spans="1:5">
      <c r="A763">
        <f>HYPERLINK("http://www.twitter.com/nycoem/status/714450893861728256", "714450893861728256")</f>
        <v>0</v>
      </c>
      <c r="B763" s="2">
        <v>42457.5803356481</v>
      </c>
      <c r="C763">
        <v>0</v>
      </c>
      <c r="D763">
        <v>5</v>
      </c>
      <c r="E763" t="s">
        <v>759</v>
      </c>
    </row>
    <row r="764" spans="1:5">
      <c r="A764">
        <f>HYPERLINK("http://www.twitter.com/nycoem/status/713719806260854784", "713719806260854784")</f>
        <v>0</v>
      </c>
      <c r="B764" s="2">
        <v>42455.5629166667</v>
      </c>
      <c r="C764">
        <v>8</v>
      </c>
      <c r="D764">
        <v>10</v>
      </c>
      <c r="E764" t="s">
        <v>760</v>
      </c>
    </row>
    <row r="765" spans="1:5">
      <c r="A765">
        <f>HYPERLINK("http://www.twitter.com/nycoem/status/713396333286129664", "713396333286129664")</f>
        <v>0</v>
      </c>
      <c r="B765" s="2">
        <v>42454.6703009259</v>
      </c>
      <c r="C765">
        <v>4</v>
      </c>
      <c r="D765">
        <v>9</v>
      </c>
      <c r="E765" t="s">
        <v>761</v>
      </c>
    </row>
    <row r="766" spans="1:5">
      <c r="A766">
        <f>HYPERLINK("http://www.twitter.com/nycoem/status/713371174982565888", "713371174982565888")</f>
        <v>0</v>
      </c>
      <c r="B766" s="2">
        <v>42454.6008796296</v>
      </c>
      <c r="C766">
        <v>8</v>
      </c>
      <c r="D766">
        <v>10</v>
      </c>
      <c r="E766" t="s">
        <v>762</v>
      </c>
    </row>
    <row r="767" spans="1:5">
      <c r="A767">
        <f>HYPERLINK("http://www.twitter.com/nycoem/status/713124549617917952", "713124549617917952")</f>
        <v>0</v>
      </c>
      <c r="B767" s="2">
        <v>42453.9203240741</v>
      </c>
      <c r="C767">
        <v>1</v>
      </c>
      <c r="D767">
        <v>5</v>
      </c>
      <c r="E767" t="s">
        <v>763</v>
      </c>
    </row>
    <row r="768" spans="1:5">
      <c r="A768">
        <f>HYPERLINK("http://www.twitter.com/nycoem/status/713079257031950337", "713079257031950337")</f>
        <v>0</v>
      </c>
      <c r="B768" s="2">
        <v>42453.7953356481</v>
      </c>
      <c r="C768">
        <v>4</v>
      </c>
      <c r="D768">
        <v>12</v>
      </c>
      <c r="E768" t="s">
        <v>764</v>
      </c>
    </row>
    <row r="769" spans="1:5">
      <c r="A769">
        <f>HYPERLINK("http://www.twitter.com/nycoem/status/713032807937925120", "713032807937925120")</f>
        <v>0</v>
      </c>
      <c r="B769" s="2">
        <v>42453.6671643518</v>
      </c>
      <c r="C769">
        <v>4</v>
      </c>
      <c r="D769">
        <v>5</v>
      </c>
      <c r="E769" t="s">
        <v>765</v>
      </c>
    </row>
    <row r="770" spans="1:5">
      <c r="A770">
        <f>HYPERLINK("http://www.twitter.com/nycoem/status/712671548105220097", "712671548105220097")</f>
        <v>0</v>
      </c>
      <c r="B770" s="2">
        <v>42452.6702777778</v>
      </c>
      <c r="C770">
        <v>2</v>
      </c>
      <c r="D770">
        <v>2</v>
      </c>
      <c r="E770" t="s">
        <v>766</v>
      </c>
    </row>
    <row r="771" spans="1:5">
      <c r="A771">
        <f>HYPERLINK("http://www.twitter.com/nycoem/status/712308602573352960", "712308602573352960")</f>
        <v>0</v>
      </c>
      <c r="B771" s="2">
        <v>42451.6687384259</v>
      </c>
      <c r="C771">
        <v>0</v>
      </c>
      <c r="D771">
        <v>1</v>
      </c>
      <c r="E771" t="s">
        <v>767</v>
      </c>
    </row>
    <row r="772" spans="1:5">
      <c r="A772">
        <f>HYPERLINK("http://www.twitter.com/nycoem/status/712289889958678528", "712289889958678528")</f>
        <v>0</v>
      </c>
      <c r="B772" s="2">
        <v>42451.6171064815</v>
      </c>
      <c r="C772">
        <v>0</v>
      </c>
      <c r="D772">
        <v>116</v>
      </c>
      <c r="E772" t="s">
        <v>768</v>
      </c>
    </row>
    <row r="773" spans="1:5">
      <c r="A773">
        <f>HYPERLINK("http://www.twitter.com/nycoem/status/711970573958705153", "711970573958705153")</f>
        <v>0</v>
      </c>
      <c r="B773" s="2">
        <v>42450.7359606481</v>
      </c>
      <c r="C773">
        <v>3</v>
      </c>
      <c r="D773">
        <v>1</v>
      </c>
      <c r="E773" t="s">
        <v>769</v>
      </c>
    </row>
    <row r="774" spans="1:5">
      <c r="A774">
        <f>HYPERLINK("http://www.twitter.com/nycoem/status/711927982525435904", "711927982525435904")</f>
        <v>0</v>
      </c>
      <c r="B774" s="2">
        <v>42450.6184259259</v>
      </c>
      <c r="C774">
        <v>9</v>
      </c>
      <c r="D774">
        <v>10</v>
      </c>
      <c r="E774" t="s">
        <v>770</v>
      </c>
    </row>
    <row r="775" spans="1:5">
      <c r="A775">
        <f>HYPERLINK("http://www.twitter.com/nycoem/status/711703124126375936", "711703124126375936")</f>
        <v>0</v>
      </c>
      <c r="B775" s="2">
        <v>42449.9979398148</v>
      </c>
      <c r="C775">
        <v>0</v>
      </c>
      <c r="D775">
        <v>24</v>
      </c>
      <c r="E775" t="s">
        <v>771</v>
      </c>
    </row>
    <row r="776" spans="1:5">
      <c r="A776">
        <f>HYPERLINK("http://www.twitter.com/nycoem/status/711372513226452992", "711372513226452992")</f>
        <v>0</v>
      </c>
      <c r="B776" s="2">
        <v>42449.085625</v>
      </c>
      <c r="C776">
        <v>0</v>
      </c>
      <c r="D776">
        <v>10</v>
      </c>
      <c r="E776" t="s">
        <v>772</v>
      </c>
    </row>
    <row r="777" spans="1:5">
      <c r="A777">
        <f>HYPERLINK("http://www.twitter.com/nycoem/status/711003268709806080", "711003268709806080")</f>
        <v>0</v>
      </c>
      <c r="B777" s="2">
        <v>42448.0667013889</v>
      </c>
      <c r="C777">
        <v>0</v>
      </c>
      <c r="D777">
        <v>35</v>
      </c>
      <c r="E777" t="s">
        <v>773</v>
      </c>
    </row>
    <row r="778" spans="1:5">
      <c r="A778">
        <f>HYPERLINK("http://www.twitter.com/nycoem/status/710972069895389185", "710972069895389185")</f>
        <v>0</v>
      </c>
      <c r="B778" s="2">
        <v>42447.9806134259</v>
      </c>
      <c r="C778">
        <v>2</v>
      </c>
      <c r="D778">
        <v>10</v>
      </c>
      <c r="E778" t="s">
        <v>774</v>
      </c>
    </row>
    <row r="779" spans="1:5">
      <c r="A779">
        <f>HYPERLINK("http://www.twitter.com/nycoem/status/710919381111406592", "710919381111406592")</f>
        <v>0</v>
      </c>
      <c r="B779" s="2">
        <v>42447.8352199074</v>
      </c>
      <c r="C779">
        <v>0</v>
      </c>
      <c r="D779">
        <v>57</v>
      </c>
      <c r="E779" t="s">
        <v>775</v>
      </c>
    </row>
    <row r="780" spans="1:5">
      <c r="A780">
        <f>HYPERLINK("http://www.twitter.com/nycoem/status/710859646416904193", "710859646416904193")</f>
        <v>0</v>
      </c>
      <c r="B780" s="2">
        <v>42447.6703819444</v>
      </c>
      <c r="C780">
        <v>2</v>
      </c>
      <c r="D780">
        <v>4</v>
      </c>
      <c r="E780" t="s">
        <v>776</v>
      </c>
    </row>
    <row r="781" spans="1:5">
      <c r="A781">
        <f>HYPERLINK("http://www.twitter.com/nycoem/status/710836948580110337", "710836948580110337")</f>
        <v>0</v>
      </c>
      <c r="B781" s="2">
        <v>42447.6077430556</v>
      </c>
      <c r="C781">
        <v>3</v>
      </c>
      <c r="D781">
        <v>14</v>
      </c>
      <c r="E781" t="s">
        <v>777</v>
      </c>
    </row>
    <row r="782" spans="1:5">
      <c r="A782">
        <f>HYPERLINK("http://www.twitter.com/nycoem/status/710818566698827776", "710818566698827776")</f>
        <v>0</v>
      </c>
      <c r="B782" s="2">
        <v>42447.557025463</v>
      </c>
      <c r="C782">
        <v>0</v>
      </c>
      <c r="D782">
        <v>18</v>
      </c>
      <c r="E782" t="s">
        <v>778</v>
      </c>
    </row>
    <row r="783" spans="1:5">
      <c r="A783">
        <f>HYPERLINK("http://www.twitter.com/nycoem/status/710496183618240512", "710496183618240512")</f>
        <v>0</v>
      </c>
      <c r="B783" s="2">
        <v>42446.6674189815</v>
      </c>
      <c r="C783">
        <v>1</v>
      </c>
      <c r="D783">
        <v>1</v>
      </c>
      <c r="E783" t="s">
        <v>779</v>
      </c>
    </row>
    <row r="784" spans="1:5">
      <c r="A784">
        <f>HYPERLINK("http://www.twitter.com/nycoem/status/710477093512093696", "710477093512093696")</f>
        <v>0</v>
      </c>
      <c r="B784" s="2">
        <v>42446.6147337963</v>
      </c>
      <c r="C784">
        <v>3</v>
      </c>
      <c r="D784">
        <v>4</v>
      </c>
      <c r="E784" t="s">
        <v>780</v>
      </c>
    </row>
    <row r="785" spans="1:5">
      <c r="A785">
        <f>HYPERLINK("http://www.twitter.com/nycoem/status/710465848033615873", "710465848033615873")</f>
        <v>0</v>
      </c>
      <c r="B785" s="2">
        <v>42446.5837037037</v>
      </c>
      <c r="C785">
        <v>0</v>
      </c>
      <c r="D785">
        <v>0</v>
      </c>
      <c r="E785" t="s">
        <v>781</v>
      </c>
    </row>
    <row r="786" spans="1:5">
      <c r="A786">
        <f>HYPERLINK("http://www.twitter.com/nycoem/status/710137339981512704", "710137339981512704")</f>
        <v>0</v>
      </c>
      <c r="B786" s="2">
        <v>42445.6771990741</v>
      </c>
      <c r="C786">
        <v>8</v>
      </c>
      <c r="D786">
        <v>5</v>
      </c>
      <c r="E786" t="s">
        <v>782</v>
      </c>
    </row>
    <row r="787" spans="1:5">
      <c r="A787">
        <f>HYPERLINK("http://www.twitter.com/nycoem/status/710129811226812416", "710129811226812416")</f>
        <v>0</v>
      </c>
      <c r="B787" s="2">
        <v>42445.6564236111</v>
      </c>
      <c r="C787">
        <v>0</v>
      </c>
      <c r="D787">
        <v>0</v>
      </c>
      <c r="E787" t="s">
        <v>783</v>
      </c>
    </row>
    <row r="788" spans="1:5">
      <c r="A788">
        <f>HYPERLINK("http://www.twitter.com/nycoem/status/710087005540118531", "710087005540118531")</f>
        <v>0</v>
      </c>
      <c r="B788" s="2">
        <v>42445.5382986111</v>
      </c>
      <c r="C788">
        <v>5</v>
      </c>
      <c r="D788">
        <v>10</v>
      </c>
      <c r="E788" t="s">
        <v>784</v>
      </c>
    </row>
    <row r="789" spans="1:5">
      <c r="A789">
        <f>HYPERLINK("http://www.twitter.com/nycoem/status/710076904825561089", "710076904825561089")</f>
        <v>0</v>
      </c>
      <c r="B789" s="2">
        <v>42445.5104282407</v>
      </c>
      <c r="C789">
        <v>0</v>
      </c>
      <c r="D789">
        <v>28</v>
      </c>
      <c r="E789" t="s">
        <v>785</v>
      </c>
    </row>
    <row r="790" spans="1:5">
      <c r="A790">
        <f>HYPERLINK("http://www.twitter.com/nycoem/status/709820265564381185", "709820265564381185")</f>
        <v>0</v>
      </c>
      <c r="B790" s="2">
        <v>42444.8022337963</v>
      </c>
      <c r="C790">
        <v>2</v>
      </c>
      <c r="D790">
        <v>4</v>
      </c>
      <c r="E790" t="s">
        <v>786</v>
      </c>
    </row>
    <row r="791" spans="1:5">
      <c r="A791">
        <f>HYPERLINK("http://www.twitter.com/nycoem/status/709798203579883520", "709798203579883520")</f>
        <v>0</v>
      </c>
      <c r="B791" s="2">
        <v>42444.7413541667</v>
      </c>
      <c r="C791">
        <v>0</v>
      </c>
      <c r="D791">
        <v>25</v>
      </c>
      <c r="E791" t="s">
        <v>787</v>
      </c>
    </row>
    <row r="792" spans="1:5">
      <c r="A792">
        <f>HYPERLINK("http://www.twitter.com/nycoem/status/709771391126654976", "709771391126654976")</f>
        <v>0</v>
      </c>
      <c r="B792" s="2">
        <v>42444.6673726852</v>
      </c>
      <c r="C792">
        <v>1</v>
      </c>
      <c r="D792">
        <v>2</v>
      </c>
      <c r="E792" t="s">
        <v>788</v>
      </c>
    </row>
    <row r="793" spans="1:5">
      <c r="A793">
        <f>HYPERLINK("http://www.twitter.com/nycoem/status/709761139266228227", "709761139266228227")</f>
        <v>0</v>
      </c>
      <c r="B793" s="2">
        <v>42444.6390740741</v>
      </c>
      <c r="C793">
        <v>1</v>
      </c>
      <c r="D793">
        <v>7</v>
      </c>
      <c r="E793" t="s">
        <v>789</v>
      </c>
    </row>
    <row r="794" spans="1:5">
      <c r="A794">
        <f>HYPERLINK("http://www.twitter.com/nycoem/status/709480379963609088", "709480379963609088")</f>
        <v>0</v>
      </c>
      <c r="B794" s="2">
        <v>42443.8643287037</v>
      </c>
      <c r="C794">
        <v>0</v>
      </c>
      <c r="D794">
        <v>4</v>
      </c>
      <c r="E794" t="s">
        <v>790</v>
      </c>
    </row>
    <row r="795" spans="1:5">
      <c r="A795">
        <f>HYPERLINK("http://www.twitter.com/nycoem/status/709451620124401664", "709451620124401664")</f>
        <v>0</v>
      </c>
      <c r="B795" s="2">
        <v>42443.7849652778</v>
      </c>
      <c r="C795">
        <v>2</v>
      </c>
      <c r="D795">
        <v>2</v>
      </c>
      <c r="E795" t="s">
        <v>791</v>
      </c>
    </row>
    <row r="796" spans="1:5">
      <c r="A796">
        <f>HYPERLINK("http://www.twitter.com/nycoem/status/709405072753614849", "709405072753614849")</f>
        <v>0</v>
      </c>
      <c r="B796" s="2">
        <v>42443.6565277778</v>
      </c>
      <c r="C796">
        <v>0</v>
      </c>
      <c r="D796">
        <v>5</v>
      </c>
      <c r="E796" t="s">
        <v>792</v>
      </c>
    </row>
    <row r="797" spans="1:5">
      <c r="A797">
        <f>HYPERLINK("http://www.twitter.com/nycoem/status/709382842283786240", "709382842283786240")</f>
        <v>0</v>
      </c>
      <c r="B797" s="2">
        <v>42443.5951736111</v>
      </c>
      <c r="C797">
        <v>0</v>
      </c>
      <c r="D797">
        <v>2</v>
      </c>
      <c r="E797" t="s">
        <v>793</v>
      </c>
    </row>
    <row r="798" spans="1:5">
      <c r="A798">
        <f>HYPERLINK("http://www.twitter.com/nycoem/status/709367268208152576", "709367268208152576")</f>
        <v>0</v>
      </c>
      <c r="B798" s="2">
        <v>42443.5521990741</v>
      </c>
      <c r="C798">
        <v>0</v>
      </c>
      <c r="D798">
        <v>0</v>
      </c>
      <c r="E798" t="s">
        <v>794</v>
      </c>
    </row>
    <row r="799" spans="1:5">
      <c r="A799">
        <f>HYPERLINK("http://www.twitter.com/nycoem/status/709361715272654848", "709361715272654848")</f>
        <v>0</v>
      </c>
      <c r="B799" s="2">
        <v>42443.536875</v>
      </c>
      <c r="C799">
        <v>0</v>
      </c>
      <c r="D799">
        <v>14</v>
      </c>
      <c r="E799" t="s">
        <v>795</v>
      </c>
    </row>
    <row r="800" spans="1:5">
      <c r="A800">
        <f>HYPERLINK("http://www.twitter.com/nycoem/status/709023908704428032", "709023908704428032")</f>
        <v>0</v>
      </c>
      <c r="B800" s="2">
        <v>42442.6047106481</v>
      </c>
      <c r="C800">
        <v>1</v>
      </c>
      <c r="D800">
        <v>5</v>
      </c>
      <c r="E800" t="s">
        <v>796</v>
      </c>
    </row>
    <row r="801" spans="1:5">
      <c r="A801">
        <f>HYPERLINK("http://www.twitter.com/nycoem/status/709014964850262016", "709014964850262016")</f>
        <v>0</v>
      </c>
      <c r="B801" s="2">
        <v>42442.5800347222</v>
      </c>
      <c r="C801">
        <v>3</v>
      </c>
      <c r="D801">
        <v>5</v>
      </c>
      <c r="E801" t="s">
        <v>797</v>
      </c>
    </row>
    <row r="802" spans="1:5">
      <c r="A802">
        <f>HYPERLINK("http://www.twitter.com/nycoem/status/708674823250157568", "708674823250157568")</f>
        <v>0</v>
      </c>
      <c r="B802" s="2">
        <v>42441.6414236111</v>
      </c>
      <c r="C802">
        <v>7</v>
      </c>
      <c r="D802">
        <v>7</v>
      </c>
      <c r="E802" t="s">
        <v>798</v>
      </c>
    </row>
    <row r="803" spans="1:5">
      <c r="A803">
        <f>HYPERLINK("http://www.twitter.com/nycoem/status/708405915473584129", "708405915473584129")</f>
        <v>0</v>
      </c>
      <c r="B803" s="2">
        <v>42440.899375</v>
      </c>
      <c r="C803">
        <v>3</v>
      </c>
      <c r="D803">
        <v>2</v>
      </c>
      <c r="E803" t="s">
        <v>799</v>
      </c>
    </row>
    <row r="804" spans="1:5">
      <c r="A804">
        <f>HYPERLINK("http://www.twitter.com/nycoem/status/708399101147217922", "708399101147217922")</f>
        <v>0</v>
      </c>
      <c r="B804" s="2">
        <v>42440.8805671296</v>
      </c>
      <c r="C804">
        <v>1</v>
      </c>
      <c r="D804">
        <v>1</v>
      </c>
      <c r="E804" t="s">
        <v>800</v>
      </c>
    </row>
    <row r="805" spans="1:5">
      <c r="A805">
        <f>HYPERLINK("http://www.twitter.com/nycoem/status/708357097428230144", "708357097428230144")</f>
        <v>0</v>
      </c>
      <c r="B805" s="2">
        <v>42440.7646643519</v>
      </c>
      <c r="C805">
        <v>0</v>
      </c>
      <c r="D805">
        <v>2</v>
      </c>
      <c r="E805" t="s">
        <v>801</v>
      </c>
    </row>
    <row r="806" spans="1:5">
      <c r="A806">
        <f>HYPERLINK("http://www.twitter.com/nycoem/status/708336916157100033", "708336916157100033")</f>
        <v>0</v>
      </c>
      <c r="B806" s="2">
        <v>42440.7089699074</v>
      </c>
      <c r="C806">
        <v>6</v>
      </c>
      <c r="D806">
        <v>9</v>
      </c>
      <c r="E806" t="s">
        <v>802</v>
      </c>
    </row>
    <row r="807" spans="1:5">
      <c r="A807">
        <f>HYPERLINK("http://www.twitter.com/nycoem/status/708330599707185152", "708330599707185152")</f>
        <v>0</v>
      </c>
      <c r="B807" s="2">
        <v>42440.6915393519</v>
      </c>
      <c r="C807">
        <v>0</v>
      </c>
      <c r="D807">
        <v>5</v>
      </c>
      <c r="E807" t="s">
        <v>803</v>
      </c>
    </row>
    <row r="808" spans="1:5">
      <c r="A808">
        <f>HYPERLINK("http://www.twitter.com/nycoem/status/708304632704057344", "708304632704057344")</f>
        <v>0</v>
      </c>
      <c r="B808" s="2">
        <v>42440.6198842593</v>
      </c>
      <c r="C808">
        <v>0</v>
      </c>
      <c r="D808">
        <v>7</v>
      </c>
      <c r="E808" t="s">
        <v>804</v>
      </c>
    </row>
    <row r="809" spans="1:5">
      <c r="A809">
        <f>HYPERLINK("http://www.twitter.com/nycoem/status/707976901927763970", "707976901927763970")</f>
        <v>0</v>
      </c>
      <c r="B809" s="2">
        <v>42439.7155208333</v>
      </c>
      <c r="C809">
        <v>5</v>
      </c>
      <c r="D809">
        <v>4</v>
      </c>
      <c r="E809" t="s">
        <v>805</v>
      </c>
    </row>
    <row r="810" spans="1:5">
      <c r="A810">
        <f>HYPERLINK("http://www.twitter.com/nycoem/status/707944642613010433", "707944642613010433")</f>
        <v>0</v>
      </c>
      <c r="B810" s="2">
        <v>42439.6265046296</v>
      </c>
      <c r="C810">
        <v>2</v>
      </c>
      <c r="D810">
        <v>5</v>
      </c>
      <c r="E810" t="s">
        <v>806</v>
      </c>
    </row>
    <row r="811" spans="1:5">
      <c r="A811">
        <f>HYPERLINK("http://www.twitter.com/nycoem/status/707701327925780481", "707701327925780481")</f>
        <v>0</v>
      </c>
      <c r="B811" s="2">
        <v>42438.9550810185</v>
      </c>
      <c r="C811">
        <v>1</v>
      </c>
      <c r="D811">
        <v>2</v>
      </c>
      <c r="E811" t="s">
        <v>807</v>
      </c>
    </row>
    <row r="812" spans="1:5">
      <c r="A812">
        <f>HYPERLINK("http://www.twitter.com/nycoem/status/707659771562860544", "707659771562860544")</f>
        <v>0</v>
      </c>
      <c r="B812" s="2">
        <v>42438.8404050926</v>
      </c>
      <c r="C812">
        <v>6</v>
      </c>
      <c r="D812">
        <v>1</v>
      </c>
      <c r="E812" t="s">
        <v>808</v>
      </c>
    </row>
    <row r="813" spans="1:5">
      <c r="A813">
        <f>HYPERLINK("http://www.twitter.com/nycoem/status/707628688645496834", "707628688645496834")</f>
        <v>0</v>
      </c>
      <c r="B813" s="2">
        <v>42438.7546412037</v>
      </c>
      <c r="C813">
        <v>0</v>
      </c>
      <c r="D813">
        <v>7</v>
      </c>
      <c r="E813" t="s">
        <v>552</v>
      </c>
    </row>
    <row r="814" spans="1:5">
      <c r="A814">
        <f>HYPERLINK("http://www.twitter.com/nycoem/status/707612158692036612", "707612158692036612")</f>
        <v>0</v>
      </c>
      <c r="B814" s="2">
        <v>42438.7090277778</v>
      </c>
      <c r="C814">
        <v>3</v>
      </c>
      <c r="D814">
        <v>9</v>
      </c>
      <c r="E814" t="s">
        <v>809</v>
      </c>
    </row>
    <row r="815" spans="1:5">
      <c r="A815">
        <f>HYPERLINK("http://www.twitter.com/nycoem/status/707609424064614400", "707609424064614400")</f>
        <v>0</v>
      </c>
      <c r="B815" s="2">
        <v>42438.7014814815</v>
      </c>
      <c r="C815">
        <v>7</v>
      </c>
      <c r="D815">
        <v>5</v>
      </c>
      <c r="E815" t="s">
        <v>810</v>
      </c>
    </row>
    <row r="816" spans="1:5">
      <c r="A816">
        <f>HYPERLINK("http://www.twitter.com/nycoem/status/707292460129583104", "707292460129583104")</f>
        <v>0</v>
      </c>
      <c r="B816" s="2">
        <v>42437.8268287037</v>
      </c>
      <c r="C816">
        <v>1</v>
      </c>
      <c r="D816">
        <v>2</v>
      </c>
      <c r="E816" t="s">
        <v>811</v>
      </c>
    </row>
    <row r="817" spans="1:5">
      <c r="A817">
        <f>HYPERLINK("http://www.twitter.com/nycoem/status/707283189799239680", "707283189799239680")</f>
        <v>0</v>
      </c>
      <c r="B817" s="2">
        <v>42437.8012384259</v>
      </c>
      <c r="C817">
        <v>0</v>
      </c>
      <c r="D817">
        <v>1</v>
      </c>
      <c r="E817" t="s">
        <v>812</v>
      </c>
    </row>
    <row r="818" spans="1:5">
      <c r="A818">
        <f>HYPERLINK("http://www.twitter.com/nycoem/status/707274523842908160", "707274523842908160")</f>
        <v>0</v>
      </c>
      <c r="B818" s="2">
        <v>42437.7773263889</v>
      </c>
      <c r="C818">
        <v>0</v>
      </c>
      <c r="D818">
        <v>11</v>
      </c>
      <c r="E818" t="s">
        <v>813</v>
      </c>
    </row>
    <row r="819" spans="1:5">
      <c r="A819">
        <f>HYPERLINK("http://www.twitter.com/nycoem/status/707251134994452480", "707251134994452480")</f>
        <v>0</v>
      </c>
      <c r="B819" s="2">
        <v>42437.7127893519</v>
      </c>
      <c r="C819">
        <v>0</v>
      </c>
      <c r="D819">
        <v>9</v>
      </c>
      <c r="E819" t="s">
        <v>814</v>
      </c>
    </row>
    <row r="820" spans="1:5">
      <c r="A820">
        <f>HYPERLINK("http://www.twitter.com/nycoem/status/707245862666293248", "707245862666293248")</f>
        <v>0</v>
      </c>
      <c r="B820" s="2">
        <v>42437.6982407407</v>
      </c>
      <c r="C820">
        <v>1</v>
      </c>
      <c r="D820">
        <v>4</v>
      </c>
      <c r="E820" t="s">
        <v>815</v>
      </c>
    </row>
    <row r="821" spans="1:5">
      <c r="A821">
        <f>HYPERLINK("http://www.twitter.com/nycoem/status/706978081710407680", "706978081710407680")</f>
        <v>0</v>
      </c>
      <c r="B821" s="2">
        <v>42436.9593055556</v>
      </c>
      <c r="C821">
        <v>0</v>
      </c>
      <c r="D821">
        <v>5</v>
      </c>
      <c r="E821" t="s">
        <v>816</v>
      </c>
    </row>
    <row r="822" spans="1:5">
      <c r="A822">
        <f>HYPERLINK("http://www.twitter.com/nycoem/status/706933805811175424", "706933805811175424")</f>
        <v>0</v>
      </c>
      <c r="B822" s="2">
        <v>42436.8371296296</v>
      </c>
      <c r="C822">
        <v>3</v>
      </c>
      <c r="D822">
        <v>4</v>
      </c>
      <c r="E822" t="s">
        <v>817</v>
      </c>
    </row>
    <row r="823" spans="1:5">
      <c r="A823">
        <f>HYPERLINK("http://www.twitter.com/nycoem/status/706887439013572610", "706887439013572610")</f>
        <v>0</v>
      </c>
      <c r="B823" s="2">
        <v>42436.7091782407</v>
      </c>
      <c r="C823">
        <v>1</v>
      </c>
      <c r="D823">
        <v>7</v>
      </c>
      <c r="E823" t="s">
        <v>818</v>
      </c>
    </row>
    <row r="824" spans="1:5">
      <c r="A824">
        <f>HYPERLINK("http://www.twitter.com/nycoem/status/706105430381043712", "706105430381043712")</f>
        <v>0</v>
      </c>
      <c r="B824" s="2">
        <v>42434.55125</v>
      </c>
      <c r="C824">
        <v>5</v>
      </c>
      <c r="D824">
        <v>8</v>
      </c>
      <c r="E824" t="s">
        <v>819</v>
      </c>
    </row>
    <row r="825" spans="1:5">
      <c r="A825">
        <f>HYPERLINK("http://www.twitter.com/nycoem/status/705803860066095104", "705803860066095104")</f>
        <v>0</v>
      </c>
      <c r="B825" s="2">
        <v>42433.7190740741</v>
      </c>
      <c r="C825">
        <v>1</v>
      </c>
      <c r="D825">
        <v>4</v>
      </c>
      <c r="E825" t="s">
        <v>820</v>
      </c>
    </row>
    <row r="826" spans="1:5">
      <c r="A826">
        <f>HYPERLINK("http://www.twitter.com/nycoem/status/705761042278780928", "705761042278780928")</f>
        <v>0</v>
      </c>
      <c r="B826" s="2">
        <v>42433.6009143519</v>
      </c>
      <c r="C826">
        <v>2</v>
      </c>
      <c r="D826">
        <v>4</v>
      </c>
      <c r="E826" t="s">
        <v>821</v>
      </c>
    </row>
    <row r="827" spans="1:5">
      <c r="A827">
        <f>HYPERLINK("http://www.twitter.com/nycoem/status/705735774432600065", "705735774432600065")</f>
        <v>0</v>
      </c>
      <c r="B827" s="2">
        <v>42433.5311921296</v>
      </c>
      <c r="C827">
        <v>0</v>
      </c>
      <c r="D827">
        <v>5</v>
      </c>
      <c r="E827" t="s">
        <v>822</v>
      </c>
    </row>
    <row r="828" spans="1:5">
      <c r="A828">
        <f>HYPERLINK("http://www.twitter.com/nycoem/status/705487530876076032", "705487530876076032")</f>
        <v>0</v>
      </c>
      <c r="B828" s="2">
        <v>42432.8461689815</v>
      </c>
      <c r="C828">
        <v>0</v>
      </c>
      <c r="D828">
        <v>15</v>
      </c>
      <c r="E828" t="s">
        <v>823</v>
      </c>
    </row>
    <row r="829" spans="1:5">
      <c r="A829">
        <f>HYPERLINK("http://www.twitter.com/nycoem/status/705481741591511040", "705481741591511040")</f>
        <v>0</v>
      </c>
      <c r="B829" s="2">
        <v>42432.8301967593</v>
      </c>
      <c r="C829">
        <v>2</v>
      </c>
      <c r="D829">
        <v>2</v>
      </c>
      <c r="E829" t="s">
        <v>824</v>
      </c>
    </row>
    <row r="830" spans="1:5">
      <c r="A830">
        <f>HYPERLINK("http://www.twitter.com/nycoem/status/705449111722528768", "705449111722528768")</f>
        <v>0</v>
      </c>
      <c r="B830" s="2">
        <v>42432.740150463</v>
      </c>
      <c r="C830">
        <v>1</v>
      </c>
      <c r="D830">
        <v>3</v>
      </c>
      <c r="E830" t="s">
        <v>825</v>
      </c>
    </row>
    <row r="831" spans="1:5">
      <c r="A831">
        <f>HYPERLINK("http://www.twitter.com/nycoem/status/705434966717566976", "705434966717566976")</f>
        <v>0</v>
      </c>
      <c r="B831" s="2">
        <v>42432.7011226852</v>
      </c>
      <c r="C831">
        <v>0</v>
      </c>
      <c r="D831">
        <v>7</v>
      </c>
      <c r="E831" t="s">
        <v>826</v>
      </c>
    </row>
    <row r="832" spans="1:5">
      <c r="A832">
        <f>HYPERLINK("http://www.twitter.com/nycoem/status/705406970090692608", "705406970090692608")</f>
        <v>0</v>
      </c>
      <c r="B832" s="2">
        <v>42432.6238657407</v>
      </c>
      <c r="C832">
        <v>0</v>
      </c>
      <c r="D832">
        <v>9</v>
      </c>
      <c r="E832" t="s">
        <v>827</v>
      </c>
    </row>
    <row r="833" spans="1:5">
      <c r="A833">
        <f>HYPERLINK("http://www.twitter.com/nycoem/status/705398620879769600", "705398620879769600")</f>
        <v>0</v>
      </c>
      <c r="B833" s="2">
        <v>42432.6008217593</v>
      </c>
      <c r="C833">
        <v>0</v>
      </c>
      <c r="D833">
        <v>38</v>
      </c>
      <c r="E833" t="s">
        <v>828</v>
      </c>
    </row>
    <row r="834" spans="1:5">
      <c r="A834">
        <f>HYPERLINK("http://www.twitter.com/nycoem/status/705372828334485504", "705372828334485504")</f>
        <v>0</v>
      </c>
      <c r="B834" s="2">
        <v>42432.5296527778</v>
      </c>
      <c r="C834">
        <v>0</v>
      </c>
      <c r="D834">
        <v>37</v>
      </c>
      <c r="E834" t="s">
        <v>829</v>
      </c>
    </row>
    <row r="835" spans="1:5">
      <c r="A835">
        <f>HYPERLINK("http://www.twitter.com/nycoem/status/705077225696174081", "705077225696174081")</f>
        <v>0</v>
      </c>
      <c r="B835" s="2">
        <v>42431.7139351852</v>
      </c>
      <c r="C835">
        <v>0</v>
      </c>
      <c r="D835">
        <v>36</v>
      </c>
      <c r="E835" t="s">
        <v>830</v>
      </c>
    </row>
    <row r="836" spans="1:5">
      <c r="A836">
        <f>HYPERLINK("http://www.twitter.com/nycoem/status/705074001626984450", "705074001626984450")</f>
        <v>0</v>
      </c>
      <c r="B836" s="2">
        <v>42431.7050462963</v>
      </c>
      <c r="C836">
        <v>3</v>
      </c>
      <c r="D836">
        <v>6</v>
      </c>
      <c r="E836" t="s">
        <v>831</v>
      </c>
    </row>
    <row r="837" spans="1:5">
      <c r="A837">
        <f>HYPERLINK("http://www.twitter.com/nycoem/status/705045318350594049", "705045318350594049")</f>
        <v>0</v>
      </c>
      <c r="B837" s="2">
        <v>42431.6258912037</v>
      </c>
      <c r="C837">
        <v>2</v>
      </c>
      <c r="D837">
        <v>4</v>
      </c>
      <c r="E837" t="s">
        <v>832</v>
      </c>
    </row>
    <row r="838" spans="1:5">
      <c r="A838">
        <f>HYPERLINK("http://www.twitter.com/nycoem/status/705042024001622016", "705042024001622016")</f>
        <v>0</v>
      </c>
      <c r="B838" s="2">
        <v>42431.6168055556</v>
      </c>
      <c r="C838">
        <v>6</v>
      </c>
      <c r="D838">
        <v>2</v>
      </c>
      <c r="E838" t="s">
        <v>833</v>
      </c>
    </row>
    <row r="839" spans="1:5">
      <c r="A839">
        <f>HYPERLINK("http://www.twitter.com/nycoem/status/705033761495371777", "705033761495371777")</f>
        <v>0</v>
      </c>
      <c r="B839" s="2">
        <v>42431.5940046296</v>
      </c>
      <c r="C839">
        <v>4</v>
      </c>
      <c r="D839">
        <v>10</v>
      </c>
      <c r="E839" t="s">
        <v>834</v>
      </c>
    </row>
    <row r="840" spans="1:5">
      <c r="A840">
        <f>HYPERLINK("http://www.twitter.com/nycoem/status/704756931559333888", "704756931559333888")</f>
        <v>0</v>
      </c>
      <c r="B840" s="2">
        <v>42430.8300925926</v>
      </c>
      <c r="C840">
        <v>1</v>
      </c>
      <c r="D840">
        <v>0</v>
      </c>
      <c r="E840" t="s">
        <v>835</v>
      </c>
    </row>
    <row r="841" spans="1:5">
      <c r="A841">
        <f>HYPERLINK("http://www.twitter.com/nycoem/status/704709148328517632", "704709148328517632")</f>
        <v>0</v>
      </c>
      <c r="B841" s="2">
        <v>42430.6982407407</v>
      </c>
      <c r="C841">
        <v>3</v>
      </c>
      <c r="D841">
        <v>2</v>
      </c>
      <c r="E841" t="s">
        <v>836</v>
      </c>
    </row>
    <row r="842" spans="1:5">
      <c r="A842">
        <f>HYPERLINK("http://www.twitter.com/nycoem/status/704346841106747392", "704346841106747392")</f>
        <v>0</v>
      </c>
      <c r="B842" s="2">
        <v>42429.6984606481</v>
      </c>
      <c r="C842">
        <v>0</v>
      </c>
      <c r="D842">
        <v>0</v>
      </c>
      <c r="E842" t="s">
        <v>837</v>
      </c>
    </row>
    <row r="843" spans="1:5">
      <c r="A843">
        <f>HYPERLINK("http://www.twitter.com/nycoem/status/704324183174615041", "704324183174615041")</f>
        <v>0</v>
      </c>
      <c r="B843" s="2">
        <v>42429.6359375</v>
      </c>
      <c r="C843">
        <v>1</v>
      </c>
      <c r="D843">
        <v>4</v>
      </c>
      <c r="E843" t="s">
        <v>838</v>
      </c>
    </row>
    <row r="844" spans="1:5">
      <c r="A844">
        <f>HYPERLINK("http://www.twitter.com/nycoem/status/704313045888139265", "704313045888139265")</f>
        <v>0</v>
      </c>
      <c r="B844" s="2">
        <v>42429.6052083333</v>
      </c>
      <c r="C844">
        <v>5</v>
      </c>
      <c r="D844">
        <v>4</v>
      </c>
      <c r="E844" t="s">
        <v>839</v>
      </c>
    </row>
    <row r="845" spans="1:5">
      <c r="A845">
        <f>HYPERLINK("http://www.twitter.com/nycoem/status/703634563529105408", "703634563529105408")</f>
        <v>0</v>
      </c>
      <c r="B845" s="2">
        <v>42427.7329513889</v>
      </c>
      <c r="C845">
        <v>0</v>
      </c>
      <c r="D845">
        <v>5</v>
      </c>
      <c r="E845" t="s">
        <v>840</v>
      </c>
    </row>
    <row r="846" spans="1:5">
      <c r="A846">
        <f>HYPERLINK("http://www.twitter.com/nycoem/status/703340333120229376", "703340333120229376")</f>
        <v>0</v>
      </c>
      <c r="B846" s="2">
        <v>42426.9210300926</v>
      </c>
      <c r="C846">
        <v>2</v>
      </c>
      <c r="D846">
        <v>7</v>
      </c>
      <c r="E846" t="s">
        <v>841</v>
      </c>
    </row>
    <row r="847" spans="1:5">
      <c r="A847">
        <f>HYPERLINK("http://www.twitter.com/nycoem/status/703264663203680260", "703264663203680260")</f>
        <v>0</v>
      </c>
      <c r="B847" s="2">
        <v>42426.7122222222</v>
      </c>
      <c r="C847">
        <v>2</v>
      </c>
      <c r="D847">
        <v>3</v>
      </c>
      <c r="E847" t="s">
        <v>842</v>
      </c>
    </row>
    <row r="848" spans="1:5">
      <c r="A848">
        <f>HYPERLINK("http://www.twitter.com/nycoem/status/703236891534086144", "703236891534086144")</f>
        <v>0</v>
      </c>
      <c r="B848" s="2">
        <v>42426.6355902778</v>
      </c>
      <c r="C848">
        <v>10</v>
      </c>
      <c r="D848">
        <v>12</v>
      </c>
      <c r="E848" t="s">
        <v>843</v>
      </c>
    </row>
    <row r="849" spans="1:5">
      <c r="A849">
        <f>HYPERLINK("http://www.twitter.com/nycoem/status/703233202480148483", "703233202480148483")</f>
        <v>0</v>
      </c>
      <c r="B849" s="2">
        <v>42426.6254050926</v>
      </c>
      <c r="C849">
        <v>11</v>
      </c>
      <c r="D849">
        <v>14</v>
      </c>
      <c r="E849" t="s">
        <v>844</v>
      </c>
    </row>
    <row r="850" spans="1:5">
      <c r="A850">
        <f>HYPERLINK("http://www.twitter.com/nycoem/status/702944986489294848", "702944986489294848")</f>
        <v>0</v>
      </c>
      <c r="B850" s="2">
        <v>42425.8300810185</v>
      </c>
      <c r="C850">
        <v>2</v>
      </c>
      <c r="D850">
        <v>1</v>
      </c>
      <c r="E850" t="s">
        <v>845</v>
      </c>
    </row>
    <row r="851" spans="1:5">
      <c r="A851">
        <f>HYPERLINK("http://www.twitter.com/nycoem/status/702898439353442304", "702898439353442304")</f>
        <v>0</v>
      </c>
      <c r="B851" s="2">
        <v>42425.7016319444</v>
      </c>
      <c r="C851">
        <v>3</v>
      </c>
      <c r="D851">
        <v>9</v>
      </c>
      <c r="E851" t="s">
        <v>846</v>
      </c>
    </row>
    <row r="852" spans="1:5">
      <c r="A852">
        <f>HYPERLINK("http://www.twitter.com/nycoem/status/702880003608940546", "702880003608940546")</f>
        <v>0</v>
      </c>
      <c r="B852" s="2">
        <v>42425.6507638889</v>
      </c>
      <c r="C852">
        <v>0</v>
      </c>
      <c r="D852">
        <v>11</v>
      </c>
      <c r="E852" t="s">
        <v>847</v>
      </c>
    </row>
    <row r="853" spans="1:5">
      <c r="A853">
        <f>HYPERLINK("http://www.twitter.com/nycoem/status/702863196181417984", "702863196181417984")</f>
        <v>0</v>
      </c>
      <c r="B853" s="2">
        <v>42425.6043865741</v>
      </c>
      <c r="C853">
        <v>0</v>
      </c>
      <c r="D853">
        <v>2</v>
      </c>
      <c r="E853" t="s">
        <v>848</v>
      </c>
    </row>
    <row r="854" spans="1:5">
      <c r="A854">
        <f>HYPERLINK("http://www.twitter.com/nycoem/status/702858924601581568", "702858924601581568")</f>
        <v>0</v>
      </c>
      <c r="B854" s="2">
        <v>42425.5925925926</v>
      </c>
      <c r="C854">
        <v>0</v>
      </c>
      <c r="D854">
        <v>6</v>
      </c>
      <c r="E854" t="s">
        <v>552</v>
      </c>
    </row>
    <row r="855" spans="1:5">
      <c r="A855">
        <f>HYPERLINK("http://www.twitter.com/nycoem/status/702661751674937344", "702661751674937344")</f>
        <v>0</v>
      </c>
      <c r="B855" s="2">
        <v>42425.0485069444</v>
      </c>
      <c r="C855">
        <v>0</v>
      </c>
      <c r="D855">
        <v>64</v>
      </c>
      <c r="E855" t="s">
        <v>849</v>
      </c>
    </row>
    <row r="856" spans="1:5">
      <c r="A856">
        <f>HYPERLINK("http://www.twitter.com/nycoem/status/702599716677275650", "702599716677275650")</f>
        <v>0</v>
      </c>
      <c r="B856" s="2">
        <v>42424.8773148148</v>
      </c>
      <c r="C856">
        <v>0</v>
      </c>
      <c r="D856">
        <v>13</v>
      </c>
      <c r="E856" t="s">
        <v>850</v>
      </c>
    </row>
    <row r="857" spans="1:5">
      <c r="A857">
        <f>HYPERLINK("http://www.twitter.com/nycoem/status/702584166366453760", "702584166366453760")</f>
        <v>0</v>
      </c>
      <c r="B857" s="2">
        <v>42424.8344097222</v>
      </c>
      <c r="C857">
        <v>1</v>
      </c>
      <c r="D857">
        <v>7</v>
      </c>
      <c r="E857" t="s">
        <v>851</v>
      </c>
    </row>
    <row r="858" spans="1:5">
      <c r="A858">
        <f>HYPERLINK("http://www.twitter.com/nycoem/status/702536066402799616", "702536066402799616")</f>
        <v>0</v>
      </c>
      <c r="B858" s="2">
        <v>42424.7016782407</v>
      </c>
      <c r="C858">
        <v>4</v>
      </c>
      <c r="D858">
        <v>2</v>
      </c>
      <c r="E858" t="s">
        <v>852</v>
      </c>
    </row>
    <row r="859" spans="1:5">
      <c r="A859">
        <f>HYPERLINK("http://www.twitter.com/nycoem/status/702512994547318785", "702512994547318785")</f>
        <v>0</v>
      </c>
      <c r="B859" s="2">
        <v>42424.6380092593</v>
      </c>
      <c r="C859">
        <v>0</v>
      </c>
      <c r="D859">
        <v>24</v>
      </c>
      <c r="E859" t="s">
        <v>853</v>
      </c>
    </row>
    <row r="860" spans="1:5">
      <c r="A860">
        <f>HYPERLINK("http://www.twitter.com/nycoem/status/702218974835187712", "702218974835187712")</f>
        <v>0</v>
      </c>
      <c r="B860" s="2">
        <v>42423.8266666667</v>
      </c>
      <c r="C860">
        <v>2</v>
      </c>
      <c r="D860">
        <v>4</v>
      </c>
      <c r="E860" t="s">
        <v>854</v>
      </c>
    </row>
    <row r="861" spans="1:5">
      <c r="A861">
        <f>HYPERLINK("http://www.twitter.com/nycoem/status/702164435218075648", "702164435218075648")</f>
        <v>0</v>
      </c>
      <c r="B861" s="2">
        <v>42423.6761689815</v>
      </c>
      <c r="C861">
        <v>0</v>
      </c>
      <c r="D861">
        <v>2</v>
      </c>
      <c r="E861" t="s">
        <v>855</v>
      </c>
    </row>
    <row r="862" spans="1:5">
      <c r="A862">
        <f>HYPERLINK("http://www.twitter.com/nycoem/status/702143535588442115", "702143535588442115")</f>
        <v>0</v>
      </c>
      <c r="B862" s="2">
        <v>42423.6184953704</v>
      </c>
      <c r="C862">
        <v>2</v>
      </c>
      <c r="D862">
        <v>1</v>
      </c>
      <c r="E862" t="s">
        <v>856</v>
      </c>
    </row>
    <row r="863" spans="1:5">
      <c r="A863">
        <f>HYPERLINK("http://www.twitter.com/nycoem/status/701861668532436992", "701861668532436992")</f>
        <v>0</v>
      </c>
      <c r="B863" s="2">
        <v>42422.8406944444</v>
      </c>
      <c r="C863">
        <v>5</v>
      </c>
      <c r="D863">
        <v>10</v>
      </c>
      <c r="E863" t="s">
        <v>857</v>
      </c>
    </row>
    <row r="864" spans="1:5">
      <c r="A864">
        <f>HYPERLINK("http://www.twitter.com/nycoem/status/701814099659853824", "701814099659853824")</f>
        <v>0</v>
      </c>
      <c r="B864" s="2">
        <v>42422.7094328704</v>
      </c>
      <c r="C864">
        <v>0</v>
      </c>
      <c r="D864">
        <v>1</v>
      </c>
      <c r="E864" t="s">
        <v>858</v>
      </c>
    </row>
    <row r="865" spans="1:5">
      <c r="A865">
        <f>HYPERLINK("http://www.twitter.com/nycoem/status/701799926414626816", "701799926414626816")</f>
        <v>0</v>
      </c>
      <c r="B865" s="2">
        <v>42422.6703125</v>
      </c>
      <c r="C865">
        <v>1</v>
      </c>
      <c r="D865">
        <v>2</v>
      </c>
      <c r="E865" t="s">
        <v>859</v>
      </c>
    </row>
    <row r="866" spans="1:5">
      <c r="A866">
        <f>HYPERLINK("http://www.twitter.com/nycoem/status/700774014906662916", "700774014906662916")</f>
        <v>0</v>
      </c>
      <c r="B866" s="2">
        <v>42419.8393402778</v>
      </c>
      <c r="C866">
        <v>0</v>
      </c>
      <c r="D866">
        <v>10</v>
      </c>
      <c r="E866" t="s">
        <v>860</v>
      </c>
    </row>
    <row r="867" spans="1:5">
      <c r="A867">
        <f>HYPERLINK("http://www.twitter.com/nycoem/status/700772207497232385", "700772207497232385")</f>
        <v>0</v>
      </c>
      <c r="B867" s="2">
        <v>42419.8343518519</v>
      </c>
      <c r="C867">
        <v>3</v>
      </c>
      <c r="D867">
        <v>16</v>
      </c>
      <c r="E867" t="s">
        <v>861</v>
      </c>
    </row>
    <row r="868" spans="1:5">
      <c r="A868">
        <f>HYPERLINK("http://www.twitter.com/nycoem/status/700724101560795136", "700724101560795136")</f>
        <v>0</v>
      </c>
      <c r="B868" s="2">
        <v>42419.7016087963</v>
      </c>
      <c r="C868">
        <v>4</v>
      </c>
      <c r="D868">
        <v>1</v>
      </c>
      <c r="E868" t="s">
        <v>862</v>
      </c>
    </row>
    <row r="869" spans="1:5">
      <c r="A869">
        <f>HYPERLINK("http://www.twitter.com/nycoem/status/700695710769946624", "700695710769946624")</f>
        <v>0</v>
      </c>
      <c r="B869" s="2">
        <v>42419.6232638889</v>
      </c>
      <c r="C869">
        <v>8</v>
      </c>
      <c r="D869">
        <v>15</v>
      </c>
      <c r="E869" t="s">
        <v>863</v>
      </c>
    </row>
    <row r="870" spans="1:5">
      <c r="A870">
        <f>HYPERLINK("http://www.twitter.com/nycoem/status/700357092813709312", "700357092813709312")</f>
        <v>0</v>
      </c>
      <c r="B870" s="2">
        <v>42418.6888541667</v>
      </c>
      <c r="C870">
        <v>8</v>
      </c>
      <c r="D870">
        <v>5</v>
      </c>
      <c r="E870" t="s">
        <v>864</v>
      </c>
    </row>
    <row r="871" spans="1:5">
      <c r="A871">
        <f>HYPERLINK("http://www.twitter.com/nycoem/status/700319011737837568", "700319011737837568")</f>
        <v>0</v>
      </c>
      <c r="B871" s="2">
        <v>42418.5837731482</v>
      </c>
      <c r="C871">
        <v>3</v>
      </c>
      <c r="D871">
        <v>11</v>
      </c>
      <c r="E871" t="s">
        <v>865</v>
      </c>
    </row>
    <row r="872" spans="1:5">
      <c r="A872">
        <f>HYPERLINK("http://www.twitter.com/nycoem/status/700062785330417664", "700062785330417664")</f>
        <v>0</v>
      </c>
      <c r="B872" s="2">
        <v>42417.876724537</v>
      </c>
      <c r="C872">
        <v>2</v>
      </c>
      <c r="D872">
        <v>1</v>
      </c>
      <c r="E872" t="s">
        <v>866</v>
      </c>
    </row>
    <row r="873" spans="1:5">
      <c r="A873">
        <f>HYPERLINK("http://www.twitter.com/nycoem/status/699993018653343744", "699993018653343744")</f>
        <v>0</v>
      </c>
      <c r="B873" s="2">
        <v>42417.6842013889</v>
      </c>
      <c r="C873">
        <v>2</v>
      </c>
      <c r="D873">
        <v>6</v>
      </c>
      <c r="E873" t="s">
        <v>867</v>
      </c>
    </row>
    <row r="874" spans="1:5">
      <c r="A874">
        <f>HYPERLINK("http://www.twitter.com/nycoem/status/699980477688582145", "699980477688582145")</f>
        <v>0</v>
      </c>
      <c r="B874" s="2">
        <v>42417.6495949074</v>
      </c>
      <c r="C874">
        <v>2</v>
      </c>
      <c r="D874">
        <v>6</v>
      </c>
      <c r="E874" t="s">
        <v>868</v>
      </c>
    </row>
    <row r="875" spans="1:5">
      <c r="A875">
        <f>HYPERLINK("http://www.twitter.com/nycoem/status/699970802335227905", "699970802335227905")</f>
        <v>0</v>
      </c>
      <c r="B875" s="2">
        <v>42417.6228935185</v>
      </c>
      <c r="C875">
        <v>0</v>
      </c>
      <c r="D875">
        <v>1</v>
      </c>
      <c r="E875" t="s">
        <v>869</v>
      </c>
    </row>
    <row r="876" spans="1:5">
      <c r="A876">
        <f>HYPERLINK("http://www.twitter.com/nycoem/status/699726342154231808", "699726342154231808")</f>
        <v>0</v>
      </c>
      <c r="B876" s="2">
        <v>42416.9483101852</v>
      </c>
      <c r="C876">
        <v>3</v>
      </c>
      <c r="D876">
        <v>8</v>
      </c>
      <c r="E876" t="s">
        <v>870</v>
      </c>
    </row>
    <row r="877" spans="1:5">
      <c r="A877">
        <f>HYPERLINK("http://www.twitter.com/nycoem/status/699684018539859968", "699684018539859968")</f>
        <v>0</v>
      </c>
      <c r="B877" s="2">
        <v>42416.8315277778</v>
      </c>
      <c r="C877">
        <v>0</v>
      </c>
      <c r="D877">
        <v>12</v>
      </c>
      <c r="E877" t="s">
        <v>871</v>
      </c>
    </row>
    <row r="878" spans="1:5">
      <c r="A878">
        <f>HYPERLINK("http://www.twitter.com/nycoem/status/699682396778713089", "699682396778713089")</f>
        <v>0</v>
      </c>
      <c r="B878" s="2">
        <v>42416.8270486111</v>
      </c>
      <c r="C878">
        <v>1</v>
      </c>
      <c r="D878">
        <v>6</v>
      </c>
      <c r="E878" t="s">
        <v>872</v>
      </c>
    </row>
    <row r="879" spans="1:5">
      <c r="A879">
        <f>HYPERLINK("http://www.twitter.com/nycoem/status/699679613631524864", "699679613631524864")</f>
        <v>0</v>
      </c>
      <c r="B879" s="2">
        <v>42416.8193634259</v>
      </c>
      <c r="C879">
        <v>0</v>
      </c>
      <c r="D879">
        <v>25</v>
      </c>
      <c r="E879" t="s">
        <v>873</v>
      </c>
    </row>
    <row r="880" spans="1:5">
      <c r="A880">
        <f>HYPERLINK("http://www.twitter.com/nycoem/status/699647121776058368", "699647121776058368")</f>
        <v>0</v>
      </c>
      <c r="B880" s="2">
        <v>42416.7297106481</v>
      </c>
      <c r="C880">
        <v>5</v>
      </c>
      <c r="D880">
        <v>7</v>
      </c>
      <c r="E880" t="s">
        <v>874</v>
      </c>
    </row>
    <row r="881" spans="1:5">
      <c r="A881">
        <f>HYPERLINK("http://www.twitter.com/nycoem/status/699596651384696832", "699596651384696832")</f>
        <v>0</v>
      </c>
      <c r="B881" s="2">
        <v>42416.5904398148</v>
      </c>
      <c r="C881">
        <v>6</v>
      </c>
      <c r="D881">
        <v>6</v>
      </c>
      <c r="E881" t="s">
        <v>875</v>
      </c>
    </row>
    <row r="882" spans="1:5">
      <c r="A882">
        <f>HYPERLINK("http://www.twitter.com/nycoem/status/699355094974910464", "699355094974910464")</f>
        <v>0</v>
      </c>
      <c r="B882" s="2">
        <v>42415.9238657407</v>
      </c>
      <c r="C882">
        <v>0</v>
      </c>
      <c r="D882">
        <v>22</v>
      </c>
      <c r="E882" t="s">
        <v>876</v>
      </c>
    </row>
    <row r="883" spans="1:5">
      <c r="A883">
        <f>HYPERLINK("http://www.twitter.com/nycoem/status/699278358128021504", "699278358128021504")</f>
        <v>0</v>
      </c>
      <c r="B883" s="2">
        <v>42415.7121180556</v>
      </c>
      <c r="C883">
        <v>1</v>
      </c>
      <c r="D883">
        <v>3</v>
      </c>
      <c r="E883" t="s">
        <v>877</v>
      </c>
    </row>
    <row r="884" spans="1:5">
      <c r="A884">
        <f>HYPERLINK("http://www.twitter.com/nycoem/status/699235524352016385", "699235524352016385")</f>
        <v>0</v>
      </c>
      <c r="B884" s="2">
        <v>42415.593912037</v>
      </c>
      <c r="C884">
        <v>2</v>
      </c>
      <c r="D884">
        <v>3</v>
      </c>
      <c r="E884" t="s">
        <v>878</v>
      </c>
    </row>
    <row r="885" spans="1:5">
      <c r="A885">
        <f>HYPERLINK("http://www.twitter.com/nycoem/status/699227764482826240", "699227764482826240")</f>
        <v>0</v>
      </c>
      <c r="B885" s="2">
        <v>42415.5725</v>
      </c>
      <c r="C885">
        <v>0</v>
      </c>
      <c r="D885">
        <v>25</v>
      </c>
      <c r="E885" t="s">
        <v>879</v>
      </c>
    </row>
    <row r="886" spans="1:5">
      <c r="A886">
        <f>HYPERLINK("http://www.twitter.com/nycoem/status/699222262260633600", "699222262260633600")</f>
        <v>0</v>
      </c>
      <c r="B886" s="2">
        <v>42415.5573148148</v>
      </c>
      <c r="C886">
        <v>3</v>
      </c>
      <c r="D886">
        <v>6</v>
      </c>
      <c r="E886" t="s">
        <v>880</v>
      </c>
    </row>
    <row r="887" spans="1:5">
      <c r="A887">
        <f>HYPERLINK("http://www.twitter.com/nycoem/status/699036448197124097", "699036448197124097")</f>
        <v>0</v>
      </c>
      <c r="B887" s="2">
        <v>42415.0445717593</v>
      </c>
      <c r="C887">
        <v>0</v>
      </c>
      <c r="D887">
        <v>25</v>
      </c>
      <c r="E887" t="s">
        <v>881</v>
      </c>
    </row>
    <row r="888" spans="1:5">
      <c r="A888">
        <f>HYPERLINK("http://www.twitter.com/nycoem/status/698939490241507328", "698939490241507328")</f>
        <v>0</v>
      </c>
      <c r="B888" s="2">
        <v>42414.7770138889</v>
      </c>
      <c r="C888">
        <v>0</v>
      </c>
      <c r="D888">
        <v>30</v>
      </c>
      <c r="E888" t="s">
        <v>882</v>
      </c>
    </row>
    <row r="889" spans="1:5">
      <c r="A889">
        <f>HYPERLINK("http://www.twitter.com/nycoem/status/698915917883899904", "698915917883899904")</f>
        <v>0</v>
      </c>
      <c r="B889" s="2">
        <v>42414.7119675926</v>
      </c>
      <c r="C889">
        <v>3</v>
      </c>
      <c r="D889">
        <v>10</v>
      </c>
      <c r="E889" t="s">
        <v>883</v>
      </c>
    </row>
    <row r="890" spans="1:5">
      <c r="A890">
        <f>HYPERLINK("http://www.twitter.com/nycoem/status/698903751663423488", "698903751663423488")</f>
        <v>0</v>
      </c>
      <c r="B890" s="2">
        <v>42414.6784027778</v>
      </c>
      <c r="C890">
        <v>4</v>
      </c>
      <c r="D890">
        <v>17</v>
      </c>
      <c r="E890" t="s">
        <v>884</v>
      </c>
    </row>
    <row r="891" spans="1:5">
      <c r="A891">
        <f>HYPERLINK("http://www.twitter.com/nycoem/status/698891648428830720", "698891648428830720")</f>
        <v>0</v>
      </c>
      <c r="B891" s="2">
        <v>42414.645</v>
      </c>
      <c r="C891">
        <v>4</v>
      </c>
      <c r="D891">
        <v>9</v>
      </c>
      <c r="E891" t="s">
        <v>885</v>
      </c>
    </row>
    <row r="892" spans="1:5">
      <c r="A892">
        <f>HYPERLINK("http://www.twitter.com/nycoem/status/698886490223411200", "698886490223411200")</f>
        <v>0</v>
      </c>
      <c r="B892" s="2">
        <v>42414.6307638889</v>
      </c>
      <c r="C892">
        <v>9</v>
      </c>
      <c r="D892">
        <v>3</v>
      </c>
      <c r="E892" t="s">
        <v>886</v>
      </c>
    </row>
    <row r="893" spans="1:5">
      <c r="A893">
        <f>HYPERLINK("http://www.twitter.com/nycoem/status/698886420619010048", "698886420619010048")</f>
        <v>0</v>
      </c>
      <c r="B893" s="2">
        <v>42414.6305787037</v>
      </c>
      <c r="C893">
        <v>1</v>
      </c>
      <c r="D893">
        <v>9</v>
      </c>
      <c r="E893" t="s">
        <v>887</v>
      </c>
    </row>
    <row r="894" spans="1:5">
      <c r="A894">
        <f>HYPERLINK("http://www.twitter.com/nycoem/status/698669903650426880", "698669903650426880")</f>
        <v>0</v>
      </c>
      <c r="B894" s="2">
        <v>42414.0331018519</v>
      </c>
      <c r="C894">
        <v>0</v>
      </c>
      <c r="D894">
        <v>23</v>
      </c>
      <c r="E894" t="s">
        <v>888</v>
      </c>
    </row>
    <row r="895" spans="1:5">
      <c r="A895">
        <f>HYPERLINK("http://www.twitter.com/nycoem/status/698558146562891776", "698558146562891776")</f>
        <v>0</v>
      </c>
      <c r="B895" s="2">
        <v>42413.7247106481</v>
      </c>
      <c r="C895">
        <v>0</v>
      </c>
      <c r="D895">
        <v>26</v>
      </c>
      <c r="E895" t="s">
        <v>889</v>
      </c>
    </row>
    <row r="896" spans="1:5">
      <c r="A896">
        <f>HYPERLINK("http://www.twitter.com/nycoem/status/698557322709352449", "698557322709352449")</f>
        <v>0</v>
      </c>
      <c r="B896" s="2">
        <v>42413.7224305556</v>
      </c>
      <c r="C896">
        <v>3</v>
      </c>
      <c r="D896">
        <v>2</v>
      </c>
      <c r="E896" t="s">
        <v>890</v>
      </c>
    </row>
    <row r="897" spans="1:5">
      <c r="A897">
        <f>HYPERLINK("http://www.twitter.com/nycoem/status/698556307922616320", "698556307922616320")</f>
        <v>0</v>
      </c>
      <c r="B897" s="2">
        <v>42413.7196412037</v>
      </c>
      <c r="C897">
        <v>0</v>
      </c>
      <c r="D897">
        <v>6</v>
      </c>
      <c r="E897" t="s">
        <v>891</v>
      </c>
    </row>
    <row r="898" spans="1:5">
      <c r="A898">
        <f>HYPERLINK("http://www.twitter.com/nycoem/status/698556279455948801", "698556279455948801")</f>
        <v>0</v>
      </c>
      <c r="B898" s="2">
        <v>42413.7195601852</v>
      </c>
      <c r="C898">
        <v>0</v>
      </c>
      <c r="D898">
        <v>3</v>
      </c>
      <c r="E898" t="s">
        <v>892</v>
      </c>
    </row>
    <row r="899" spans="1:5">
      <c r="A899">
        <f>HYPERLINK("http://www.twitter.com/nycoem/status/698553004639784960", "698553004639784960")</f>
        <v>0</v>
      </c>
      <c r="B899" s="2">
        <v>42413.7105208333</v>
      </c>
      <c r="C899">
        <v>13</v>
      </c>
      <c r="D899">
        <v>34</v>
      </c>
      <c r="E899" t="s">
        <v>893</v>
      </c>
    </row>
    <row r="900" spans="1:5">
      <c r="A900">
        <f>HYPERLINK("http://www.twitter.com/nycoem/status/698512269513195520", "698512269513195520")</f>
        <v>0</v>
      </c>
      <c r="B900" s="2">
        <v>42413.5981134259</v>
      </c>
      <c r="C900">
        <v>2</v>
      </c>
      <c r="D900">
        <v>2</v>
      </c>
      <c r="E900" t="s">
        <v>894</v>
      </c>
    </row>
    <row r="901" spans="1:5">
      <c r="A901">
        <f>HYPERLINK("http://www.twitter.com/nycoem/status/698511274850836480", "698511274850836480")</f>
        <v>0</v>
      </c>
      <c r="B901" s="2">
        <v>42413.5953703704</v>
      </c>
      <c r="C901">
        <v>2</v>
      </c>
      <c r="D901">
        <v>7</v>
      </c>
      <c r="E901" t="s">
        <v>895</v>
      </c>
    </row>
    <row r="902" spans="1:5">
      <c r="A902">
        <f>HYPERLINK("http://www.twitter.com/nycoem/status/698510567552761856", "698510567552761856")</f>
        <v>0</v>
      </c>
      <c r="B902" s="2">
        <v>42413.5934143519</v>
      </c>
      <c r="C902">
        <v>5</v>
      </c>
      <c r="D902">
        <v>9</v>
      </c>
      <c r="E902" t="s">
        <v>896</v>
      </c>
    </row>
    <row r="903" spans="1:5">
      <c r="A903">
        <f>HYPERLINK("http://www.twitter.com/nycoem/status/698510142103515137", "698510142103515137")</f>
        <v>0</v>
      </c>
      <c r="B903" s="2">
        <v>42413.5922453704</v>
      </c>
      <c r="C903">
        <v>3</v>
      </c>
      <c r="D903">
        <v>3</v>
      </c>
      <c r="E903" t="s">
        <v>897</v>
      </c>
    </row>
    <row r="904" spans="1:5">
      <c r="A904">
        <f>HYPERLINK("http://www.twitter.com/nycoem/status/698509576967221249", "698509576967221249")</f>
        <v>0</v>
      </c>
      <c r="B904" s="2">
        <v>42413.5906828704</v>
      </c>
      <c r="C904">
        <v>1</v>
      </c>
      <c r="D904">
        <v>7</v>
      </c>
      <c r="E904" t="s">
        <v>898</v>
      </c>
    </row>
    <row r="905" spans="1:5">
      <c r="A905">
        <f>HYPERLINK("http://www.twitter.com/nycoem/status/698509173940731904", "698509173940731904")</f>
        <v>0</v>
      </c>
      <c r="B905" s="2">
        <v>42413.5895717593</v>
      </c>
      <c r="C905">
        <v>1</v>
      </c>
      <c r="D905">
        <v>8</v>
      </c>
      <c r="E905" t="s">
        <v>899</v>
      </c>
    </row>
    <row r="906" spans="1:5">
      <c r="A906">
        <f>HYPERLINK("http://www.twitter.com/nycoem/status/698508296274186240", "698508296274186240")</f>
        <v>0</v>
      </c>
      <c r="B906" s="2">
        <v>42413.5871527778</v>
      </c>
      <c r="C906">
        <v>1</v>
      </c>
      <c r="D906">
        <v>6</v>
      </c>
      <c r="E906" t="s">
        <v>900</v>
      </c>
    </row>
    <row r="907" spans="1:5">
      <c r="A907">
        <f>HYPERLINK("http://www.twitter.com/nycoem/status/698504839874084864", "698504839874084864")</f>
        <v>0</v>
      </c>
      <c r="B907" s="2">
        <v>42413.5776157407</v>
      </c>
      <c r="C907">
        <v>0</v>
      </c>
      <c r="D907">
        <v>49</v>
      </c>
      <c r="E907" t="s">
        <v>901</v>
      </c>
    </row>
    <row r="908" spans="1:5">
      <c r="A908">
        <f>HYPERLINK("http://www.twitter.com/nycoem/status/698491464502898688", "698491464502898688")</f>
        <v>0</v>
      </c>
      <c r="B908" s="2">
        <v>42413.5407060185</v>
      </c>
      <c r="C908">
        <v>0</v>
      </c>
      <c r="D908">
        <v>44</v>
      </c>
      <c r="E908" t="s">
        <v>902</v>
      </c>
    </row>
    <row r="909" spans="1:5">
      <c r="A909">
        <f>HYPERLINK("http://www.twitter.com/nycoem/status/698293081230209024", "698293081230209024")</f>
        <v>0</v>
      </c>
      <c r="B909" s="2">
        <v>42412.9932638889</v>
      </c>
      <c r="C909">
        <v>0</v>
      </c>
      <c r="D909">
        <v>14</v>
      </c>
      <c r="E909" t="s">
        <v>903</v>
      </c>
    </row>
    <row r="910" spans="1:5">
      <c r="A910">
        <f>HYPERLINK("http://www.twitter.com/nycoem/status/698281765035732994", "698281765035732994")</f>
        <v>0</v>
      </c>
      <c r="B910" s="2">
        <v>42412.962037037</v>
      </c>
      <c r="C910">
        <v>2</v>
      </c>
      <c r="D910">
        <v>7</v>
      </c>
      <c r="E910" t="s">
        <v>904</v>
      </c>
    </row>
    <row r="911" spans="1:5">
      <c r="A911">
        <f>HYPERLINK("http://www.twitter.com/nycoem/status/698259974003298304", "698259974003298304")</f>
        <v>0</v>
      </c>
      <c r="B911" s="2">
        <v>42412.9019097222</v>
      </c>
      <c r="C911">
        <v>0</v>
      </c>
      <c r="D911">
        <v>37</v>
      </c>
      <c r="E911" t="s">
        <v>905</v>
      </c>
    </row>
    <row r="912" spans="1:5">
      <c r="A912">
        <f>HYPERLINK("http://www.twitter.com/nycoem/status/698233957356277761", "698233957356277761")</f>
        <v>0</v>
      </c>
      <c r="B912" s="2">
        <v>42412.8301157407</v>
      </c>
      <c r="C912">
        <v>7</v>
      </c>
      <c r="D912">
        <v>13</v>
      </c>
      <c r="E912" t="s">
        <v>906</v>
      </c>
    </row>
    <row r="913" spans="1:5">
      <c r="A913">
        <f>HYPERLINK("http://www.twitter.com/nycoem/status/698224848984797184", "698224848984797184")</f>
        <v>0</v>
      </c>
      <c r="B913" s="2">
        <v>42412.8049884259</v>
      </c>
      <c r="C913">
        <v>0</v>
      </c>
      <c r="D913">
        <v>26</v>
      </c>
      <c r="E913" t="s">
        <v>907</v>
      </c>
    </row>
    <row r="914" spans="1:5">
      <c r="A914">
        <f>HYPERLINK("http://www.twitter.com/nycoem/status/698221796533932034", "698221796533932034")</f>
        <v>0</v>
      </c>
      <c r="B914" s="2">
        <v>42412.7965625</v>
      </c>
      <c r="C914">
        <v>2</v>
      </c>
      <c r="D914">
        <v>1</v>
      </c>
      <c r="E914" t="s">
        <v>908</v>
      </c>
    </row>
    <row r="915" spans="1:5">
      <c r="A915">
        <f>HYPERLINK("http://www.twitter.com/nycoem/status/698186141825159173", "698186141825159173")</f>
        <v>0</v>
      </c>
      <c r="B915" s="2">
        <v>42412.6981712963</v>
      </c>
      <c r="C915">
        <v>7</v>
      </c>
      <c r="D915">
        <v>3</v>
      </c>
      <c r="E915" t="s">
        <v>909</v>
      </c>
    </row>
    <row r="916" spans="1:5">
      <c r="A916">
        <f>HYPERLINK("http://www.twitter.com/nycoem/status/698159755957825537", "698159755957825537")</f>
        <v>0</v>
      </c>
      <c r="B916" s="2">
        <v>42412.6253587963</v>
      </c>
      <c r="C916">
        <v>5</v>
      </c>
      <c r="D916">
        <v>15</v>
      </c>
      <c r="E916" t="s">
        <v>910</v>
      </c>
    </row>
    <row r="917" spans="1:5">
      <c r="A917">
        <f>HYPERLINK("http://www.twitter.com/nycoem/status/698130542487797761", "698130542487797761")</f>
        <v>0</v>
      </c>
      <c r="B917" s="2">
        <v>42412.5447453704</v>
      </c>
      <c r="C917">
        <v>0</v>
      </c>
      <c r="D917">
        <v>104</v>
      </c>
      <c r="E917" t="s">
        <v>911</v>
      </c>
    </row>
    <row r="918" spans="1:5">
      <c r="A918">
        <f>HYPERLINK("http://www.twitter.com/nycoem/status/697920680428466181", "697920680428466181")</f>
        <v>0</v>
      </c>
      <c r="B918" s="2">
        <v>42411.9656365741</v>
      </c>
      <c r="C918">
        <v>1</v>
      </c>
      <c r="D918">
        <v>3</v>
      </c>
      <c r="E918" t="s">
        <v>912</v>
      </c>
    </row>
    <row r="919" spans="1:5">
      <c r="A919">
        <f>HYPERLINK("http://www.twitter.com/nycoem/status/697874114040766465", "697874114040766465")</f>
        <v>0</v>
      </c>
      <c r="B919" s="2">
        <v>42411.8371412037</v>
      </c>
      <c r="C919">
        <v>3</v>
      </c>
      <c r="D919">
        <v>6</v>
      </c>
      <c r="E919" t="s">
        <v>913</v>
      </c>
    </row>
    <row r="920" spans="1:5">
      <c r="A920">
        <f>HYPERLINK("http://www.twitter.com/nycoem/status/697858719858688000", "697858719858688000")</f>
        <v>0</v>
      </c>
      <c r="B920" s="2">
        <v>42411.7946643519</v>
      </c>
      <c r="C920">
        <v>10</v>
      </c>
      <c r="D920">
        <v>15</v>
      </c>
      <c r="E920" t="s">
        <v>914</v>
      </c>
    </row>
    <row r="921" spans="1:5">
      <c r="A921">
        <f>HYPERLINK("http://www.twitter.com/nycoem/status/697857770809397248", "697857770809397248")</f>
        <v>0</v>
      </c>
      <c r="B921" s="2">
        <v>42411.792037037</v>
      </c>
      <c r="C921">
        <v>0</v>
      </c>
      <c r="D921">
        <v>21</v>
      </c>
      <c r="E921" t="s">
        <v>915</v>
      </c>
    </row>
    <row r="922" spans="1:5">
      <c r="A922">
        <f>HYPERLINK("http://www.twitter.com/nycoem/status/697830074691756032", "697830074691756032")</f>
        <v>0</v>
      </c>
      <c r="B922" s="2">
        <v>42411.7156134259</v>
      </c>
      <c r="C922">
        <v>3</v>
      </c>
      <c r="D922">
        <v>6</v>
      </c>
      <c r="E922" t="s">
        <v>916</v>
      </c>
    </row>
    <row r="923" spans="1:5">
      <c r="A923">
        <f>HYPERLINK("http://www.twitter.com/nycoem/status/697807390796877824", "697807390796877824")</f>
        <v>0</v>
      </c>
      <c r="B923" s="2">
        <v>42411.6530208333</v>
      </c>
      <c r="C923">
        <v>1</v>
      </c>
      <c r="D923">
        <v>0</v>
      </c>
      <c r="E923" t="s">
        <v>917</v>
      </c>
    </row>
    <row r="924" spans="1:5">
      <c r="A924">
        <f>HYPERLINK("http://www.twitter.com/nycoem/status/697783429631516672", "697783429631516672")</f>
        <v>0</v>
      </c>
      <c r="B924" s="2">
        <v>42411.5868981481</v>
      </c>
      <c r="C924">
        <v>2</v>
      </c>
      <c r="D924">
        <v>10</v>
      </c>
      <c r="E924" t="s">
        <v>918</v>
      </c>
    </row>
    <row r="925" spans="1:5">
      <c r="A925">
        <f>HYPERLINK("http://www.twitter.com/nycoem/status/697532450357059584", "697532450357059584")</f>
        <v>0</v>
      </c>
      <c r="B925" s="2">
        <v>42410.8943287037</v>
      </c>
      <c r="C925">
        <v>7</v>
      </c>
      <c r="D925">
        <v>19</v>
      </c>
      <c r="E925" t="s">
        <v>919</v>
      </c>
    </row>
    <row r="926" spans="1:5">
      <c r="A926">
        <f>HYPERLINK("http://www.twitter.com/nycoem/status/697505385532489728", "697505385532489728")</f>
        <v>0</v>
      </c>
      <c r="B926" s="2">
        <v>42410.8196412037</v>
      </c>
      <c r="C926">
        <v>6</v>
      </c>
      <c r="D926">
        <v>6</v>
      </c>
      <c r="E926" t="s">
        <v>920</v>
      </c>
    </row>
    <row r="927" spans="1:5">
      <c r="A927">
        <f>HYPERLINK("http://www.twitter.com/nycoem/status/697466485556563969", "697466485556563969")</f>
        <v>0</v>
      </c>
      <c r="B927" s="2">
        <v>42410.7123032407</v>
      </c>
      <c r="C927">
        <v>0</v>
      </c>
      <c r="D927">
        <v>3</v>
      </c>
      <c r="E927" t="s">
        <v>921</v>
      </c>
    </row>
    <row r="928" spans="1:5">
      <c r="A928">
        <f>HYPERLINK("http://www.twitter.com/nycoem/status/697261041747628032", "697261041747628032")</f>
        <v>0</v>
      </c>
      <c r="B928" s="2">
        <v>42410.1453819444</v>
      </c>
      <c r="C928">
        <v>0</v>
      </c>
      <c r="D928">
        <v>55</v>
      </c>
      <c r="E928" t="s">
        <v>922</v>
      </c>
    </row>
    <row r="929" spans="1:5">
      <c r="A929">
        <f>HYPERLINK("http://www.twitter.com/nycoem/status/697233656939679745", "697233656939679745")</f>
        <v>0</v>
      </c>
      <c r="B929" s="2">
        <v>42410.0698148148</v>
      </c>
      <c r="C929">
        <v>0</v>
      </c>
      <c r="D929">
        <v>20</v>
      </c>
      <c r="E929" t="s">
        <v>923</v>
      </c>
    </row>
    <row r="930" spans="1:5">
      <c r="A930">
        <f>HYPERLINK("http://www.twitter.com/nycoem/status/697073863402852353", "697073863402852353")</f>
        <v>0</v>
      </c>
      <c r="B930" s="2">
        <v>42409.6288657407</v>
      </c>
      <c r="C930">
        <v>1</v>
      </c>
      <c r="D930">
        <v>2</v>
      </c>
      <c r="E930" t="s">
        <v>924</v>
      </c>
    </row>
    <row r="931" spans="1:5">
      <c r="A931">
        <f>HYPERLINK("http://www.twitter.com/nycoem/status/697069998150389760", "697069998150389760")</f>
        <v>0</v>
      </c>
      <c r="B931" s="2">
        <v>42409.6182060185</v>
      </c>
      <c r="C931">
        <v>2</v>
      </c>
      <c r="D931">
        <v>12</v>
      </c>
      <c r="E931" t="s">
        <v>925</v>
      </c>
    </row>
    <row r="932" spans="1:5">
      <c r="A932">
        <f>HYPERLINK("http://www.twitter.com/nycoem/status/697060439780433921", "697060439780433921")</f>
        <v>0</v>
      </c>
      <c r="B932" s="2">
        <v>42409.5918287037</v>
      </c>
      <c r="C932">
        <v>0</v>
      </c>
      <c r="D932">
        <v>80</v>
      </c>
      <c r="E932" t="s">
        <v>926</v>
      </c>
    </row>
    <row r="933" spans="1:5">
      <c r="A933">
        <f>HYPERLINK("http://www.twitter.com/nycoem/status/696885911850766336", "696885911850766336")</f>
        <v>0</v>
      </c>
      <c r="B933" s="2">
        <v>42409.1102199074</v>
      </c>
      <c r="C933">
        <v>0</v>
      </c>
      <c r="D933">
        <v>21</v>
      </c>
      <c r="E933" t="s">
        <v>927</v>
      </c>
    </row>
    <row r="934" spans="1:5">
      <c r="A934">
        <f>HYPERLINK("http://www.twitter.com/nycoem/status/696838205203730432", "696838205203730432")</f>
        <v>0</v>
      </c>
      <c r="B934" s="2">
        <v>42408.9785763889</v>
      </c>
      <c r="C934">
        <v>0</v>
      </c>
      <c r="D934">
        <v>6</v>
      </c>
      <c r="E934" t="s">
        <v>928</v>
      </c>
    </row>
    <row r="935" spans="1:5">
      <c r="A935">
        <f>HYPERLINK("http://www.twitter.com/nycoem/status/696763747298340864", "696763747298340864")</f>
        <v>0</v>
      </c>
      <c r="B935" s="2">
        <v>42408.7731134259</v>
      </c>
      <c r="C935">
        <v>0</v>
      </c>
      <c r="D935">
        <v>56</v>
      </c>
      <c r="E935" t="s">
        <v>929</v>
      </c>
    </row>
    <row r="936" spans="1:5">
      <c r="A936">
        <f>HYPERLINK("http://www.twitter.com/nycoem/status/696750855614304256", "696750855614304256")</f>
        <v>0</v>
      </c>
      <c r="B936" s="2">
        <v>42408.7375347222</v>
      </c>
      <c r="C936">
        <v>0</v>
      </c>
      <c r="D936">
        <v>5</v>
      </c>
      <c r="E936" t="s">
        <v>930</v>
      </c>
    </row>
    <row r="937" spans="1:5">
      <c r="A937">
        <f>HYPERLINK("http://www.twitter.com/nycoem/status/696710220697964544", "696710220697964544")</f>
        <v>0</v>
      </c>
      <c r="B937" s="2">
        <v>42408.6254050926</v>
      </c>
      <c r="C937">
        <v>2</v>
      </c>
      <c r="D937">
        <v>6</v>
      </c>
      <c r="E937" t="s">
        <v>931</v>
      </c>
    </row>
    <row r="938" spans="1:5">
      <c r="A938">
        <f>HYPERLINK("http://www.twitter.com/nycoem/status/696708855758192640", "696708855758192640")</f>
        <v>0</v>
      </c>
      <c r="B938" s="2">
        <v>42408.6216435185</v>
      </c>
      <c r="C938">
        <v>4</v>
      </c>
      <c r="D938">
        <v>8</v>
      </c>
      <c r="E938" t="s">
        <v>932</v>
      </c>
    </row>
    <row r="939" spans="1:5">
      <c r="A939">
        <f>HYPERLINK("http://www.twitter.com/nycoem/status/696682556243234816", "696682556243234816")</f>
        <v>0</v>
      </c>
      <c r="B939" s="2">
        <v>42408.5490625</v>
      </c>
      <c r="C939">
        <v>0</v>
      </c>
      <c r="D939">
        <v>26</v>
      </c>
      <c r="E939" t="s">
        <v>933</v>
      </c>
    </row>
    <row r="940" spans="1:5">
      <c r="A940">
        <f>HYPERLINK("http://www.twitter.com/nycoem/status/696682543844872192", "696682543844872192")</f>
        <v>0</v>
      </c>
      <c r="B940" s="2">
        <v>42408.5490277778</v>
      </c>
      <c r="C940">
        <v>0</v>
      </c>
      <c r="D940">
        <v>113</v>
      </c>
      <c r="E940" t="s">
        <v>934</v>
      </c>
    </row>
    <row r="941" spans="1:5">
      <c r="A941">
        <f>HYPERLINK("http://www.twitter.com/nycoem/status/696554219403395073", "696554219403395073")</f>
        <v>0</v>
      </c>
      <c r="B941" s="2">
        <v>42408.1949189815</v>
      </c>
      <c r="C941">
        <v>0</v>
      </c>
      <c r="D941">
        <v>41</v>
      </c>
      <c r="E941" t="s">
        <v>935</v>
      </c>
    </row>
    <row r="942" spans="1:5">
      <c r="A942">
        <f>HYPERLINK("http://www.twitter.com/nycoem/status/696457488116420609", "696457488116420609")</f>
        <v>0</v>
      </c>
      <c r="B942" s="2">
        <v>42407.9279976852</v>
      </c>
      <c r="C942">
        <v>0</v>
      </c>
      <c r="D942">
        <v>24</v>
      </c>
      <c r="E942" t="s">
        <v>936</v>
      </c>
    </row>
    <row r="943" spans="1:5">
      <c r="A943">
        <f>HYPERLINK("http://www.twitter.com/nycoem/status/696457471188201476", "696457471188201476")</f>
        <v>0</v>
      </c>
      <c r="B943" s="2">
        <v>42407.9279513889</v>
      </c>
      <c r="C943">
        <v>0</v>
      </c>
      <c r="D943">
        <v>56</v>
      </c>
      <c r="E943" t="s">
        <v>937</v>
      </c>
    </row>
    <row r="944" spans="1:5">
      <c r="A944">
        <f>HYPERLINK("http://www.twitter.com/nycoem/status/696428385615089664", "696428385615089664")</f>
        <v>0</v>
      </c>
      <c r="B944" s="2">
        <v>42407.8476851852</v>
      </c>
      <c r="C944">
        <v>4</v>
      </c>
      <c r="D944">
        <v>2</v>
      </c>
      <c r="E944" t="s">
        <v>938</v>
      </c>
    </row>
    <row r="945" spans="1:5">
      <c r="A945">
        <f>HYPERLINK("http://www.twitter.com/nycoem/status/696372656342433792", "696372656342433792")</f>
        <v>0</v>
      </c>
      <c r="B945" s="2">
        <v>42407.693900463</v>
      </c>
      <c r="C945">
        <v>0</v>
      </c>
      <c r="D945">
        <v>12</v>
      </c>
      <c r="E945" t="s">
        <v>939</v>
      </c>
    </row>
    <row r="946" spans="1:5">
      <c r="A946">
        <f>HYPERLINK("http://www.twitter.com/nycoem/status/696372600625303553", "696372600625303553")</f>
        <v>0</v>
      </c>
      <c r="B946" s="2">
        <v>42407.69375</v>
      </c>
      <c r="C946">
        <v>0</v>
      </c>
      <c r="D946">
        <v>32</v>
      </c>
      <c r="E946" t="s">
        <v>940</v>
      </c>
    </row>
    <row r="947" spans="1:5">
      <c r="A947">
        <f>HYPERLINK("http://www.twitter.com/nycoem/status/695799106732761089", "695799106732761089")</f>
        <v>0</v>
      </c>
      <c r="B947" s="2">
        <v>42406.1112152778</v>
      </c>
      <c r="C947">
        <v>0</v>
      </c>
      <c r="D947">
        <v>13</v>
      </c>
      <c r="E947" t="s">
        <v>941</v>
      </c>
    </row>
    <row r="948" spans="1:5">
      <c r="A948">
        <f>HYPERLINK("http://www.twitter.com/nycoem/status/695762754494402561", "695762754494402561")</f>
        <v>0</v>
      </c>
      <c r="B948" s="2">
        <v>42406.0108912037</v>
      </c>
      <c r="C948">
        <v>0</v>
      </c>
      <c r="D948">
        <v>24</v>
      </c>
      <c r="E948" t="s">
        <v>942</v>
      </c>
    </row>
    <row r="949" spans="1:5">
      <c r="A949">
        <f>HYPERLINK("http://www.twitter.com/nycoem/status/695726428608925698", "695726428608925698")</f>
        <v>0</v>
      </c>
      <c r="B949" s="2">
        <v>42405.9106597222</v>
      </c>
      <c r="C949">
        <v>0</v>
      </c>
      <c r="D949">
        <v>9</v>
      </c>
      <c r="E949" t="s">
        <v>943</v>
      </c>
    </row>
    <row r="950" spans="1:5">
      <c r="A950">
        <f>HYPERLINK("http://www.twitter.com/nycoem/status/695623813636231169", "695623813636231169")</f>
        <v>0</v>
      </c>
      <c r="B950" s="2">
        <v>42405.6274884259</v>
      </c>
      <c r="C950">
        <v>0</v>
      </c>
      <c r="D950">
        <v>27</v>
      </c>
      <c r="E950" t="s">
        <v>944</v>
      </c>
    </row>
    <row r="951" spans="1:5">
      <c r="A951">
        <f>HYPERLINK("http://www.twitter.com/nycoem/status/695611726872629248", "695611726872629248")</f>
        <v>0</v>
      </c>
      <c r="B951" s="2">
        <v>42405.5941435185</v>
      </c>
      <c r="C951">
        <v>2</v>
      </c>
      <c r="D951">
        <v>6</v>
      </c>
      <c r="E951" t="s">
        <v>945</v>
      </c>
    </row>
    <row r="952" spans="1:5">
      <c r="A952">
        <f>HYPERLINK("http://www.twitter.com/nycoem/status/695607074466754561", "695607074466754561")</f>
        <v>0</v>
      </c>
      <c r="B952" s="2">
        <v>42405.5812962963</v>
      </c>
      <c r="C952">
        <v>0</v>
      </c>
      <c r="D952">
        <v>32</v>
      </c>
      <c r="E952" t="s">
        <v>946</v>
      </c>
    </row>
    <row r="953" spans="1:5">
      <c r="A953">
        <f>HYPERLINK("http://www.twitter.com/nycoem/status/695606207730597888", "695606207730597888")</f>
        <v>0</v>
      </c>
      <c r="B953" s="2">
        <v>42405.578912037</v>
      </c>
      <c r="C953">
        <v>0</v>
      </c>
      <c r="D953">
        <v>30</v>
      </c>
      <c r="E953" t="s">
        <v>947</v>
      </c>
    </row>
    <row r="954" spans="1:5">
      <c r="A954">
        <f>HYPERLINK("http://www.twitter.com/nycoem/status/695390942359003137", "695390942359003137")</f>
        <v>0</v>
      </c>
      <c r="B954" s="2">
        <v>42404.9848958333</v>
      </c>
      <c r="C954">
        <v>0</v>
      </c>
      <c r="D954">
        <v>72</v>
      </c>
      <c r="E954" t="s">
        <v>948</v>
      </c>
    </row>
    <row r="955" spans="1:5">
      <c r="A955">
        <f>HYPERLINK("http://www.twitter.com/nycoem/status/695384172710334464", "695384172710334464")</f>
        <v>0</v>
      </c>
      <c r="B955" s="2">
        <v>42404.9662152778</v>
      </c>
      <c r="C955">
        <v>2</v>
      </c>
      <c r="D955">
        <v>11</v>
      </c>
      <c r="E955" t="s">
        <v>949</v>
      </c>
    </row>
    <row r="956" spans="1:5">
      <c r="A956">
        <f>HYPERLINK("http://www.twitter.com/nycoem/status/695366830064422912", "695366830064422912")</f>
        <v>0</v>
      </c>
      <c r="B956" s="2">
        <v>42404.9183564815</v>
      </c>
      <c r="C956">
        <v>0</v>
      </c>
      <c r="D956">
        <v>60</v>
      </c>
      <c r="E956" t="s">
        <v>950</v>
      </c>
    </row>
    <row r="957" spans="1:5">
      <c r="A957">
        <f>HYPERLINK("http://www.twitter.com/nycoem/status/695319275389771776", "695319275389771776")</f>
        <v>0</v>
      </c>
      <c r="B957" s="2">
        <v>42404.7871296296</v>
      </c>
      <c r="C957">
        <v>0</v>
      </c>
      <c r="D957">
        <v>21</v>
      </c>
      <c r="E957" t="s">
        <v>951</v>
      </c>
    </row>
    <row r="958" spans="1:5">
      <c r="A958">
        <f>HYPERLINK("http://www.twitter.com/nycoem/status/695314112214081536", "695314112214081536")</f>
        <v>0</v>
      </c>
      <c r="B958" s="2">
        <v>42404.7728819444</v>
      </c>
      <c r="C958">
        <v>0</v>
      </c>
      <c r="D958">
        <v>111</v>
      </c>
      <c r="E958" t="s">
        <v>952</v>
      </c>
    </row>
    <row r="959" spans="1:5">
      <c r="A959">
        <f>HYPERLINK("http://www.twitter.com/nycoem/status/695287068117831680", "695287068117831680")</f>
        <v>0</v>
      </c>
      <c r="B959" s="2">
        <v>42404.6982523148</v>
      </c>
      <c r="C959">
        <v>1</v>
      </c>
      <c r="D959">
        <v>3</v>
      </c>
      <c r="E959" t="s">
        <v>953</v>
      </c>
    </row>
    <row r="960" spans="1:5">
      <c r="A960">
        <f>HYPERLINK("http://www.twitter.com/nycoem/status/695275899948769280", "695275899948769280")</f>
        <v>0</v>
      </c>
      <c r="B960" s="2">
        <v>42404.6674305556</v>
      </c>
      <c r="C960">
        <v>2</v>
      </c>
      <c r="D960">
        <v>0</v>
      </c>
      <c r="E960" t="s">
        <v>954</v>
      </c>
    </row>
    <row r="961" spans="1:5">
      <c r="A961">
        <f>HYPERLINK("http://www.twitter.com/nycoem/status/695248021920026624", "695248021920026624")</f>
        <v>0</v>
      </c>
      <c r="B961" s="2">
        <v>42404.5905092593</v>
      </c>
      <c r="C961">
        <v>0</v>
      </c>
      <c r="D961">
        <v>3</v>
      </c>
      <c r="E961" t="s">
        <v>955</v>
      </c>
    </row>
    <row r="962" spans="1:5">
      <c r="A962">
        <f>HYPERLINK("http://www.twitter.com/nycoem/status/695024679598342145", "695024679598342145")</f>
        <v>0</v>
      </c>
      <c r="B962" s="2">
        <v>42403.9742013889</v>
      </c>
      <c r="C962">
        <v>0</v>
      </c>
      <c r="D962">
        <v>41</v>
      </c>
      <c r="E962" t="s">
        <v>956</v>
      </c>
    </row>
    <row r="963" spans="1:5">
      <c r="A963">
        <f>HYPERLINK("http://www.twitter.com/nycoem/status/694985049704370178", "694985049704370178")</f>
        <v>0</v>
      </c>
      <c r="B963" s="2">
        <v>42403.864837963</v>
      </c>
      <c r="C963">
        <v>2</v>
      </c>
      <c r="D963">
        <v>1</v>
      </c>
      <c r="E963" t="s">
        <v>957</v>
      </c>
    </row>
    <row r="964" spans="1:5">
      <c r="A964">
        <f>HYPERLINK("http://www.twitter.com/nycoem/status/694972457489424384", "694972457489424384")</f>
        <v>0</v>
      </c>
      <c r="B964" s="2">
        <v>42403.8300925926</v>
      </c>
      <c r="C964">
        <v>2</v>
      </c>
      <c r="D964">
        <v>7</v>
      </c>
      <c r="E964" t="s">
        <v>958</v>
      </c>
    </row>
    <row r="965" spans="1:5">
      <c r="A965">
        <f>HYPERLINK("http://www.twitter.com/nycoem/status/694925900035411972", "694925900035411972")</f>
        <v>0</v>
      </c>
      <c r="B965" s="2">
        <v>42403.7016203704</v>
      </c>
      <c r="C965">
        <v>3</v>
      </c>
      <c r="D965">
        <v>7</v>
      </c>
      <c r="E965" t="s">
        <v>959</v>
      </c>
    </row>
    <row r="966" spans="1:5">
      <c r="A966">
        <f>HYPERLINK("http://www.twitter.com/nycoem/status/694864115500711937", "694864115500711937")</f>
        <v>0</v>
      </c>
      <c r="B966" s="2">
        <v>42403.5311226852</v>
      </c>
      <c r="C966">
        <v>0</v>
      </c>
      <c r="D966">
        <v>32</v>
      </c>
      <c r="E966" t="s">
        <v>960</v>
      </c>
    </row>
    <row r="967" spans="1:5">
      <c r="A967">
        <f>HYPERLINK("http://www.twitter.com/nycoem/status/694655154075930626", "694655154075930626")</f>
        <v>0</v>
      </c>
      <c r="B967" s="2">
        <v>42402.9545023148</v>
      </c>
      <c r="C967">
        <v>11</v>
      </c>
      <c r="D967">
        <v>4</v>
      </c>
      <c r="E967" t="s">
        <v>961</v>
      </c>
    </row>
    <row r="968" spans="1:5">
      <c r="A968">
        <f>HYPERLINK("http://www.twitter.com/nycoem/status/694607136509288448", "694607136509288448")</f>
        <v>0</v>
      </c>
      <c r="B968" s="2">
        <v>42402.8220023148</v>
      </c>
      <c r="C968">
        <v>0</v>
      </c>
      <c r="D968">
        <v>14</v>
      </c>
      <c r="E968" t="s">
        <v>962</v>
      </c>
    </row>
    <row r="969" spans="1:5">
      <c r="A969">
        <f>HYPERLINK("http://www.twitter.com/nycoem/status/694553558000230400", "694553558000230400")</f>
        <v>0</v>
      </c>
      <c r="B969" s="2">
        <v>42402.6741550926</v>
      </c>
      <c r="C969">
        <v>1</v>
      </c>
      <c r="D969">
        <v>6</v>
      </c>
      <c r="E969" t="s">
        <v>963</v>
      </c>
    </row>
    <row r="970" spans="1:5">
      <c r="A970">
        <f>HYPERLINK("http://www.twitter.com/nycoem/status/694529509404598272", "694529509404598272")</f>
        <v>0</v>
      </c>
      <c r="B970" s="2">
        <v>42402.6077893519</v>
      </c>
      <c r="C970">
        <v>2</v>
      </c>
      <c r="D970">
        <v>4</v>
      </c>
      <c r="E970" t="s">
        <v>964</v>
      </c>
    </row>
    <row r="971" spans="1:5">
      <c r="A971">
        <f>HYPERLINK("http://www.twitter.com/nycoem/status/694521952371875840", "694521952371875840")</f>
        <v>0</v>
      </c>
      <c r="B971" s="2">
        <v>42402.5869328704</v>
      </c>
      <c r="C971">
        <v>3</v>
      </c>
      <c r="D971">
        <v>7</v>
      </c>
      <c r="E971" t="s">
        <v>965</v>
      </c>
    </row>
    <row r="972" spans="1:5">
      <c r="A972">
        <f>HYPERLINK("http://www.twitter.com/nycoem/status/694234183628120064", "694234183628120064")</f>
        <v>0</v>
      </c>
      <c r="B972" s="2">
        <v>42401.7928472222</v>
      </c>
      <c r="C972">
        <v>0</v>
      </c>
      <c r="D972">
        <v>23</v>
      </c>
      <c r="E972" t="s">
        <v>966</v>
      </c>
    </row>
    <row r="973" spans="1:5">
      <c r="A973">
        <f>HYPERLINK("http://www.twitter.com/nycoem/status/694181894062235649", "694181894062235649")</f>
        <v>0</v>
      </c>
      <c r="B973" s="2">
        <v>42401.6485532407</v>
      </c>
      <c r="C973">
        <v>0</v>
      </c>
      <c r="D973">
        <v>3</v>
      </c>
      <c r="E973" t="s">
        <v>967</v>
      </c>
    </row>
    <row r="974" spans="1:5">
      <c r="A974">
        <f>HYPERLINK("http://www.twitter.com/nycoem/status/694173506255339521", "694173506255339521")</f>
        <v>0</v>
      </c>
      <c r="B974" s="2">
        <v>42401.6254050926</v>
      </c>
      <c r="C974">
        <v>9</v>
      </c>
      <c r="D974">
        <v>7</v>
      </c>
      <c r="E974" t="s">
        <v>968</v>
      </c>
    </row>
    <row r="975" spans="1:5">
      <c r="A975">
        <f>HYPERLINK("http://www.twitter.com/nycoem/status/693452482761080832", "693452482761080832")</f>
        <v>0</v>
      </c>
      <c r="B975" s="2">
        <v>42399.6357638889</v>
      </c>
      <c r="C975">
        <v>1</v>
      </c>
      <c r="D975">
        <v>6</v>
      </c>
      <c r="E975" t="s">
        <v>969</v>
      </c>
    </row>
    <row r="976" spans="1:5">
      <c r="A976">
        <f>HYPERLINK("http://www.twitter.com/nycoem/status/693213718684028928", "693213718684028928")</f>
        <v>0</v>
      </c>
      <c r="B976" s="2">
        <v>42398.9768981481</v>
      </c>
      <c r="C976">
        <v>0</v>
      </c>
      <c r="D976">
        <v>15</v>
      </c>
      <c r="E976" t="s">
        <v>970</v>
      </c>
    </row>
    <row r="977" spans="1:5">
      <c r="A977">
        <f>HYPERLINK("http://www.twitter.com/nycoem/status/693165526797926401", "693165526797926401")</f>
        <v>0</v>
      </c>
      <c r="B977" s="2">
        <v>42398.843912037</v>
      </c>
      <c r="C977">
        <v>1</v>
      </c>
      <c r="D977">
        <v>3</v>
      </c>
      <c r="E977" t="s">
        <v>971</v>
      </c>
    </row>
    <row r="978" spans="1:5">
      <c r="A978">
        <f>HYPERLINK("http://www.twitter.com/nycoem/status/693161818060124160", "693161818060124160")</f>
        <v>0</v>
      </c>
      <c r="B978" s="2">
        <v>42398.8336805556</v>
      </c>
      <c r="C978">
        <v>2</v>
      </c>
      <c r="D978">
        <v>2</v>
      </c>
      <c r="E978" t="s">
        <v>972</v>
      </c>
    </row>
    <row r="979" spans="1:5">
      <c r="A979">
        <f>HYPERLINK("http://www.twitter.com/nycoem/status/693155433125658624", "693155433125658624")</f>
        <v>0</v>
      </c>
      <c r="B979" s="2">
        <v>42398.8160648148</v>
      </c>
      <c r="C979">
        <v>4</v>
      </c>
      <c r="D979">
        <v>10</v>
      </c>
      <c r="E979" t="s">
        <v>973</v>
      </c>
    </row>
    <row r="980" spans="1:5">
      <c r="A980">
        <f>HYPERLINK("http://www.twitter.com/nycoem/status/693147888256454656", "693147888256454656")</f>
        <v>0</v>
      </c>
      <c r="B980" s="2">
        <v>42398.7952430556</v>
      </c>
      <c r="C980">
        <v>5</v>
      </c>
      <c r="D980">
        <v>3</v>
      </c>
      <c r="E980" t="s">
        <v>974</v>
      </c>
    </row>
    <row r="981" spans="1:5">
      <c r="A981">
        <f>HYPERLINK("http://www.twitter.com/nycoem/status/693144269624872960", "693144269624872960")</f>
        <v>0</v>
      </c>
      <c r="B981" s="2">
        <v>42398.7852546296</v>
      </c>
      <c r="C981">
        <v>1</v>
      </c>
      <c r="D981">
        <v>1</v>
      </c>
      <c r="E981" t="s">
        <v>975</v>
      </c>
    </row>
    <row r="982" spans="1:5">
      <c r="A982">
        <f>HYPERLINK("http://www.twitter.com/nycoem/status/693120278063349761", "693120278063349761")</f>
        <v>0</v>
      </c>
      <c r="B982" s="2">
        <v>42398.7190509259</v>
      </c>
      <c r="C982">
        <v>1</v>
      </c>
      <c r="D982">
        <v>6</v>
      </c>
      <c r="E982" t="s">
        <v>976</v>
      </c>
    </row>
    <row r="983" spans="1:5">
      <c r="A983">
        <f>HYPERLINK("http://www.twitter.com/nycoem/status/692847298267643905", "692847298267643905")</f>
        <v>0</v>
      </c>
      <c r="B983" s="2">
        <v>42397.965775463</v>
      </c>
      <c r="C983">
        <v>4</v>
      </c>
      <c r="D983">
        <v>4</v>
      </c>
      <c r="E983" t="s">
        <v>977</v>
      </c>
    </row>
    <row r="984" spans="1:5">
      <c r="A984">
        <f>HYPERLINK("http://www.twitter.com/nycoem/status/692842130377543680", "692842130377543680")</f>
        <v>0</v>
      </c>
      <c r="B984" s="2">
        <v>42397.9515046296</v>
      </c>
      <c r="C984">
        <v>5</v>
      </c>
      <c r="D984">
        <v>6</v>
      </c>
      <c r="E984" t="s">
        <v>978</v>
      </c>
    </row>
    <row r="985" spans="1:5">
      <c r="A985">
        <f>HYPERLINK("http://www.twitter.com/nycoem/status/692820973322682372", "692820973322682372")</f>
        <v>0</v>
      </c>
      <c r="B985" s="2">
        <v>42397.893125</v>
      </c>
      <c r="C985">
        <v>0</v>
      </c>
      <c r="D985">
        <v>93</v>
      </c>
      <c r="E985" t="s">
        <v>979</v>
      </c>
    </row>
    <row r="986" spans="1:5">
      <c r="A986">
        <f>HYPERLINK("http://www.twitter.com/nycoem/status/692805646715076609", "692805646715076609")</f>
        <v>0</v>
      </c>
      <c r="B986" s="2">
        <v>42397.8508333333</v>
      </c>
      <c r="C986">
        <v>0</v>
      </c>
      <c r="D986">
        <v>83</v>
      </c>
      <c r="E986" t="s">
        <v>980</v>
      </c>
    </row>
    <row r="987" spans="1:5">
      <c r="A987">
        <f>HYPERLINK("http://www.twitter.com/nycoem/status/692803139800580097", "692803139800580097")</f>
        <v>0</v>
      </c>
      <c r="B987" s="2">
        <v>42397.843912037</v>
      </c>
      <c r="C987">
        <v>1</v>
      </c>
      <c r="D987">
        <v>4</v>
      </c>
      <c r="E987" t="s">
        <v>981</v>
      </c>
    </row>
    <row r="988" spans="1:5">
      <c r="A988">
        <f>HYPERLINK("http://www.twitter.com/nycoem/status/692791467283222528", "692791467283222528")</f>
        <v>0</v>
      </c>
      <c r="B988" s="2">
        <v>42397.8117013889</v>
      </c>
      <c r="C988">
        <v>4</v>
      </c>
      <c r="D988">
        <v>0</v>
      </c>
      <c r="E988" t="s">
        <v>982</v>
      </c>
    </row>
    <row r="989" spans="1:5">
      <c r="A989">
        <f>HYPERLINK("http://www.twitter.com/nycoem/status/692752826599084033", "692752826599084033")</f>
        <v>0</v>
      </c>
      <c r="B989" s="2">
        <v>42397.7050810185</v>
      </c>
      <c r="C989">
        <v>7</v>
      </c>
      <c r="D989">
        <v>6</v>
      </c>
      <c r="E989" t="s">
        <v>983</v>
      </c>
    </row>
    <row r="990" spans="1:5">
      <c r="A990">
        <f>HYPERLINK("http://www.twitter.com/nycoem/status/692751596149669889", "692751596149669889")</f>
        <v>0</v>
      </c>
      <c r="B990" s="2">
        <v>42397.7016782407</v>
      </c>
      <c r="C990">
        <v>3</v>
      </c>
      <c r="D990">
        <v>4</v>
      </c>
      <c r="E990" t="s">
        <v>984</v>
      </c>
    </row>
    <row r="991" spans="1:5">
      <c r="A991">
        <f>HYPERLINK("http://www.twitter.com/nycoem/status/692720068875124736", "692720068875124736")</f>
        <v>0</v>
      </c>
      <c r="B991" s="2">
        <v>42397.6146875</v>
      </c>
      <c r="C991">
        <v>1</v>
      </c>
      <c r="D991">
        <v>5</v>
      </c>
      <c r="E991" t="s">
        <v>985</v>
      </c>
    </row>
    <row r="992" spans="1:5">
      <c r="A992">
        <f>HYPERLINK("http://www.twitter.com/nycoem/status/692474076745572352", "692474076745572352")</f>
        <v>0</v>
      </c>
      <c r="B992" s="2">
        <v>42396.9358796296</v>
      </c>
      <c r="C992">
        <v>4</v>
      </c>
      <c r="D992">
        <v>5</v>
      </c>
      <c r="E992" t="s">
        <v>986</v>
      </c>
    </row>
    <row r="993" spans="1:5">
      <c r="A993">
        <f>HYPERLINK("http://www.twitter.com/nycoem/status/692445242755268609", "692445242755268609")</f>
        <v>0</v>
      </c>
      <c r="B993" s="2">
        <v>42396.8563078704</v>
      </c>
      <c r="C993">
        <v>0</v>
      </c>
      <c r="D993">
        <v>20</v>
      </c>
      <c r="E993" t="s">
        <v>987</v>
      </c>
    </row>
    <row r="994" spans="1:5">
      <c r="A994">
        <f>HYPERLINK("http://www.twitter.com/nycoem/status/692391969901940737", "692391969901940737")</f>
        <v>0</v>
      </c>
      <c r="B994" s="2">
        <v>42396.7093055556</v>
      </c>
      <c r="C994">
        <v>0</v>
      </c>
      <c r="D994">
        <v>3</v>
      </c>
      <c r="E994" t="s">
        <v>988</v>
      </c>
    </row>
    <row r="995" spans="1:5">
      <c r="A995">
        <f>HYPERLINK("http://www.twitter.com/nycoem/status/692390482576556033", "692390482576556033")</f>
        <v>0</v>
      </c>
      <c r="B995" s="2">
        <v>42396.7051967593</v>
      </c>
      <c r="C995">
        <v>1</v>
      </c>
      <c r="D995">
        <v>5</v>
      </c>
      <c r="E995" t="s">
        <v>989</v>
      </c>
    </row>
    <row r="996" spans="1:5">
      <c r="A996">
        <f>HYPERLINK("http://www.twitter.com/nycoem/status/692370272587010048", "692370272587010048")</f>
        <v>0</v>
      </c>
      <c r="B996" s="2">
        <v>42396.6494328704</v>
      </c>
      <c r="C996">
        <v>3</v>
      </c>
      <c r="D996">
        <v>8</v>
      </c>
      <c r="E996" t="s">
        <v>990</v>
      </c>
    </row>
    <row r="997" spans="1:5">
      <c r="A997">
        <f>HYPERLINK("http://www.twitter.com/nycoem/status/692353733817208832", "692353733817208832")</f>
        <v>0</v>
      </c>
      <c r="B997" s="2">
        <v>42396.6037962963</v>
      </c>
      <c r="C997">
        <v>0</v>
      </c>
      <c r="D997">
        <v>8</v>
      </c>
      <c r="E997" t="s">
        <v>991</v>
      </c>
    </row>
    <row r="998" spans="1:5">
      <c r="A998">
        <f>HYPERLINK("http://www.twitter.com/nycoem/status/692133675887124480", "692133675887124480")</f>
        <v>0</v>
      </c>
      <c r="B998" s="2">
        <v>42395.9965509259</v>
      </c>
      <c r="C998">
        <v>4</v>
      </c>
      <c r="D998">
        <v>6</v>
      </c>
      <c r="E998" t="s">
        <v>992</v>
      </c>
    </row>
    <row r="999" spans="1:5">
      <c r="A999">
        <f>HYPERLINK("http://www.twitter.com/nycoem/status/692031871404875777", "692031871404875777")</f>
        <v>0</v>
      </c>
      <c r="B999" s="2">
        <v>42395.715625</v>
      </c>
      <c r="C999">
        <v>2</v>
      </c>
      <c r="D999">
        <v>1</v>
      </c>
      <c r="E999" t="s">
        <v>993</v>
      </c>
    </row>
    <row r="1000" spans="1:5">
      <c r="A1000">
        <f>HYPERLINK("http://www.twitter.com/nycoem/status/692026138093338626", "692026138093338626")</f>
        <v>0</v>
      </c>
      <c r="B1000" s="2">
        <v>42395.6998032407</v>
      </c>
      <c r="C1000">
        <v>1</v>
      </c>
      <c r="D1000">
        <v>3</v>
      </c>
      <c r="E1000" t="s">
        <v>994</v>
      </c>
    </row>
    <row r="1001" spans="1:5">
      <c r="A1001">
        <f>HYPERLINK("http://www.twitter.com/nycoem/status/691991224371273728", "691991224371273728")</f>
        <v>0</v>
      </c>
      <c r="B1001" s="2">
        <v>42395.6034606481</v>
      </c>
      <c r="C1001">
        <v>0</v>
      </c>
      <c r="D1001">
        <v>30</v>
      </c>
      <c r="E1001" t="s">
        <v>995</v>
      </c>
    </row>
    <row r="1002" spans="1:5">
      <c r="A1002">
        <f>HYPERLINK("http://www.twitter.com/nycoem/status/691990850708992001", "691990850708992001")</f>
        <v>0</v>
      </c>
      <c r="B1002" s="2">
        <v>42395.6024305556</v>
      </c>
      <c r="C1002">
        <v>0</v>
      </c>
      <c r="D1002">
        <v>9</v>
      </c>
      <c r="E1002" t="s">
        <v>996</v>
      </c>
    </row>
    <row r="1003" spans="1:5">
      <c r="A1003">
        <f>HYPERLINK("http://www.twitter.com/nycoem/status/691924719235420161", "691924719235420161")</f>
        <v>0</v>
      </c>
      <c r="B1003" s="2">
        <v>42395.4199421296</v>
      </c>
      <c r="C1003">
        <v>0</v>
      </c>
      <c r="D1003">
        <v>11</v>
      </c>
      <c r="E1003" t="s">
        <v>997</v>
      </c>
    </row>
    <row r="1004" spans="1:5">
      <c r="A1004">
        <f>HYPERLINK("http://www.twitter.com/nycoem/status/691809137706016768", "691809137706016768")</f>
        <v>0</v>
      </c>
      <c r="B1004" s="2">
        <v>42395.1009953704</v>
      </c>
      <c r="C1004">
        <v>0</v>
      </c>
      <c r="D1004">
        <v>22</v>
      </c>
      <c r="E1004" t="s">
        <v>998</v>
      </c>
    </row>
    <row r="1005" spans="1:5">
      <c r="A1005">
        <f>HYPERLINK("http://www.twitter.com/nycoem/status/691776629627080708", "691776629627080708")</f>
        <v>0</v>
      </c>
      <c r="B1005" s="2">
        <v>42395.0112847222</v>
      </c>
      <c r="C1005">
        <v>0</v>
      </c>
      <c r="D1005">
        <v>42</v>
      </c>
      <c r="E1005" t="s">
        <v>999</v>
      </c>
    </row>
    <row r="1006" spans="1:5">
      <c r="A1006">
        <f>HYPERLINK("http://www.twitter.com/nycoem/status/691735880944500737", "691735880944500737")</f>
        <v>0</v>
      </c>
      <c r="B1006" s="2">
        <v>42394.8988425926</v>
      </c>
      <c r="C1006">
        <v>0</v>
      </c>
      <c r="D1006">
        <v>6</v>
      </c>
      <c r="E1006" t="s">
        <v>1000</v>
      </c>
    </row>
    <row r="1007" spans="1:5">
      <c r="A1007">
        <f>HYPERLINK("http://www.twitter.com/nycoem/status/691735792587243520", "691735792587243520")</f>
        <v>0</v>
      </c>
      <c r="B1007" s="2">
        <v>42394.898599537</v>
      </c>
      <c r="C1007">
        <v>0</v>
      </c>
      <c r="D1007">
        <v>9</v>
      </c>
      <c r="E1007" t="s">
        <v>1001</v>
      </c>
    </row>
    <row r="1008" spans="1:5">
      <c r="A1008">
        <f>HYPERLINK("http://www.twitter.com/nycoem/status/691715066425663488", "691715066425663488")</f>
        <v>0</v>
      </c>
      <c r="B1008" s="2">
        <v>42394.841400463</v>
      </c>
      <c r="C1008">
        <v>0</v>
      </c>
      <c r="D1008">
        <v>9</v>
      </c>
      <c r="E1008" t="s">
        <v>1002</v>
      </c>
    </row>
    <row r="1009" spans="1:5">
      <c r="A1009">
        <f>HYPERLINK("http://www.twitter.com/nycoem/status/691713113910071296", "691713113910071296")</f>
        <v>0</v>
      </c>
      <c r="B1009" s="2">
        <v>42394.8360185185</v>
      </c>
      <c r="C1009">
        <v>1</v>
      </c>
      <c r="D1009">
        <v>5</v>
      </c>
      <c r="E1009" t="s">
        <v>1003</v>
      </c>
    </row>
    <row r="1010" spans="1:5">
      <c r="A1010">
        <f>HYPERLINK("http://www.twitter.com/nycoem/status/691681985308278784", "691681985308278784")</f>
        <v>0</v>
      </c>
      <c r="B1010" s="2">
        <v>42394.7501157407</v>
      </c>
      <c r="C1010">
        <v>0</v>
      </c>
      <c r="D1010">
        <v>4</v>
      </c>
      <c r="E1010" t="s">
        <v>1004</v>
      </c>
    </row>
    <row r="1011" spans="1:5">
      <c r="A1011">
        <f>HYPERLINK("http://www.twitter.com/nycoem/status/691678222052888576", "691678222052888576")</f>
        <v>0</v>
      </c>
      <c r="B1011" s="2">
        <v>42394.7397337963</v>
      </c>
      <c r="C1011">
        <v>4</v>
      </c>
      <c r="D1011">
        <v>9</v>
      </c>
      <c r="E1011" t="s">
        <v>1005</v>
      </c>
    </row>
    <row r="1012" spans="1:5">
      <c r="A1012">
        <f>HYPERLINK("http://www.twitter.com/nycoem/status/691635774379409411", "691635774379409411")</f>
        <v>0</v>
      </c>
      <c r="B1012" s="2">
        <v>42394.6226041667</v>
      </c>
      <c r="C1012">
        <v>0</v>
      </c>
      <c r="D1012">
        <v>97</v>
      </c>
      <c r="E1012" t="s">
        <v>1006</v>
      </c>
    </row>
    <row r="1013" spans="1:5">
      <c r="A1013">
        <f>HYPERLINK("http://www.twitter.com/nycoem/status/691626928546136064", "691626928546136064")</f>
        <v>0</v>
      </c>
      <c r="B1013" s="2">
        <v>42394.5981944444</v>
      </c>
      <c r="C1013">
        <v>0</v>
      </c>
      <c r="D1013">
        <v>21</v>
      </c>
      <c r="E1013" t="s">
        <v>1007</v>
      </c>
    </row>
    <row r="1014" spans="1:5">
      <c r="A1014">
        <f>HYPERLINK("http://www.twitter.com/nycoem/status/691626624610074625", "691626624610074625")</f>
        <v>0</v>
      </c>
      <c r="B1014" s="2">
        <v>42394.597349537</v>
      </c>
      <c r="C1014">
        <v>0</v>
      </c>
      <c r="D1014">
        <v>7</v>
      </c>
      <c r="E1014" t="s">
        <v>1008</v>
      </c>
    </row>
    <row r="1015" spans="1:5">
      <c r="A1015">
        <f>HYPERLINK("http://www.twitter.com/nycoem/status/691604710776774658", "691604710776774658")</f>
        <v>0</v>
      </c>
      <c r="B1015" s="2">
        <v>42394.5368865741</v>
      </c>
      <c r="C1015">
        <v>4</v>
      </c>
      <c r="D1015">
        <v>16</v>
      </c>
      <c r="E1015" t="s">
        <v>1009</v>
      </c>
    </row>
    <row r="1016" spans="1:5">
      <c r="A1016">
        <f>HYPERLINK("http://www.twitter.com/nycoem/status/691572250714247168", "691572250714247168")</f>
        <v>0</v>
      </c>
      <c r="B1016" s="2">
        <v>42394.4473148148</v>
      </c>
      <c r="C1016">
        <v>0</v>
      </c>
      <c r="D1016">
        <v>30</v>
      </c>
      <c r="E1016" t="s">
        <v>1010</v>
      </c>
    </row>
    <row r="1017" spans="1:5">
      <c r="A1017">
        <f>HYPERLINK("http://www.twitter.com/nycoem/status/691440538587889664", "691440538587889664")</f>
        <v>0</v>
      </c>
      <c r="B1017" s="2">
        <v>42394.0838541667</v>
      </c>
      <c r="C1017">
        <v>0</v>
      </c>
      <c r="D1017">
        <v>107</v>
      </c>
      <c r="E1017" t="s">
        <v>1011</v>
      </c>
    </row>
    <row r="1018" spans="1:5">
      <c r="A1018">
        <f>HYPERLINK("http://www.twitter.com/nycoem/status/691395614895136769", "691395614895136769")</f>
        <v>0</v>
      </c>
      <c r="B1018" s="2">
        <v>42393.9598842593</v>
      </c>
      <c r="C1018">
        <v>0</v>
      </c>
      <c r="D1018">
        <v>34</v>
      </c>
      <c r="E1018" t="s">
        <v>1012</v>
      </c>
    </row>
    <row r="1019" spans="1:5">
      <c r="A1019">
        <f>HYPERLINK("http://www.twitter.com/nycoem/status/691395565398134785", "691395565398134785")</f>
        <v>0</v>
      </c>
      <c r="B1019" s="2">
        <v>42393.9597453704</v>
      </c>
      <c r="C1019">
        <v>0</v>
      </c>
      <c r="D1019">
        <v>101</v>
      </c>
      <c r="E1019" t="s">
        <v>1013</v>
      </c>
    </row>
    <row r="1020" spans="1:5">
      <c r="A1020">
        <f>HYPERLINK("http://www.twitter.com/nycoem/status/691395057681825792", "691395057681825792")</f>
        <v>0</v>
      </c>
      <c r="B1020" s="2">
        <v>42393.9583449074</v>
      </c>
      <c r="C1020">
        <v>0</v>
      </c>
      <c r="D1020">
        <v>64</v>
      </c>
      <c r="E1020" t="s">
        <v>1014</v>
      </c>
    </row>
    <row r="1021" spans="1:5">
      <c r="A1021">
        <f>HYPERLINK("http://www.twitter.com/nycoem/status/691391532612599810", "691391532612599810")</f>
        <v>0</v>
      </c>
      <c r="B1021" s="2">
        <v>42393.9486226852</v>
      </c>
      <c r="C1021">
        <v>0</v>
      </c>
      <c r="D1021">
        <v>39</v>
      </c>
      <c r="E1021" t="s">
        <v>1015</v>
      </c>
    </row>
    <row r="1022" spans="1:5">
      <c r="A1022">
        <f>HYPERLINK("http://www.twitter.com/nycoem/status/691373189902012416", "691373189902012416")</f>
        <v>0</v>
      </c>
      <c r="B1022" s="2">
        <v>42393.8980092593</v>
      </c>
      <c r="C1022">
        <v>0</v>
      </c>
      <c r="D1022">
        <v>206</v>
      </c>
      <c r="E1022" t="s">
        <v>1016</v>
      </c>
    </row>
    <row r="1023" spans="1:5">
      <c r="A1023">
        <f>HYPERLINK("http://www.twitter.com/nycoem/status/691372791585755136", "691372791585755136")</f>
        <v>0</v>
      </c>
      <c r="B1023" s="2">
        <v>42393.8969097222</v>
      </c>
      <c r="C1023">
        <v>0</v>
      </c>
      <c r="D1023">
        <v>10</v>
      </c>
      <c r="E1023" t="s">
        <v>1017</v>
      </c>
    </row>
    <row r="1024" spans="1:5">
      <c r="A1024">
        <f>HYPERLINK("http://www.twitter.com/nycoem/status/691372704029642753", "691372704029642753")</f>
        <v>0</v>
      </c>
      <c r="B1024" s="2">
        <v>42393.8966666667</v>
      </c>
      <c r="C1024">
        <v>0</v>
      </c>
      <c r="D1024">
        <v>3</v>
      </c>
      <c r="E1024" t="s">
        <v>1018</v>
      </c>
    </row>
    <row r="1025" spans="1:5">
      <c r="A1025">
        <f>HYPERLINK("http://www.twitter.com/nycoem/status/691372687017545729", "691372687017545729")</f>
        <v>0</v>
      </c>
      <c r="B1025" s="2">
        <v>42393.8966203704</v>
      </c>
      <c r="C1025">
        <v>0</v>
      </c>
      <c r="D1025">
        <v>3</v>
      </c>
      <c r="E1025" t="s">
        <v>1019</v>
      </c>
    </row>
    <row r="1026" spans="1:5">
      <c r="A1026">
        <f>HYPERLINK("http://www.twitter.com/nycoem/status/691372460441276420", "691372460441276420")</f>
        <v>0</v>
      </c>
      <c r="B1026" s="2">
        <v>42393.8959953704</v>
      </c>
      <c r="C1026">
        <v>0</v>
      </c>
      <c r="D1026">
        <v>5</v>
      </c>
      <c r="E1026" t="s">
        <v>1020</v>
      </c>
    </row>
    <row r="1027" spans="1:5">
      <c r="A1027">
        <f>HYPERLINK("http://www.twitter.com/nycoem/status/691372413880262661", "691372413880262661")</f>
        <v>0</v>
      </c>
      <c r="B1027" s="2">
        <v>42393.8958680556</v>
      </c>
      <c r="C1027">
        <v>0</v>
      </c>
      <c r="D1027">
        <v>7</v>
      </c>
      <c r="E1027" t="s">
        <v>1021</v>
      </c>
    </row>
    <row r="1028" spans="1:5">
      <c r="A1028">
        <f>HYPERLINK("http://www.twitter.com/nycoem/status/691363421137297408", "691363421137297408")</f>
        <v>0</v>
      </c>
      <c r="B1028" s="2">
        <v>42393.8710532407</v>
      </c>
      <c r="C1028">
        <v>0</v>
      </c>
      <c r="D1028">
        <v>175</v>
      </c>
      <c r="E1028" t="s">
        <v>1022</v>
      </c>
    </row>
    <row r="1029" spans="1:5">
      <c r="A1029">
        <f>HYPERLINK("http://www.twitter.com/nycoem/status/691339152898551808", "691339152898551808")</f>
        <v>0</v>
      </c>
      <c r="B1029" s="2">
        <v>42393.8040856481</v>
      </c>
      <c r="C1029">
        <v>11</v>
      </c>
      <c r="D1029">
        <v>24</v>
      </c>
      <c r="E1029" t="s">
        <v>1009</v>
      </c>
    </row>
    <row r="1030" spans="1:5">
      <c r="A1030">
        <f>HYPERLINK("http://www.twitter.com/nycoem/status/691337629380562944", "691337629380562944")</f>
        <v>0</v>
      </c>
      <c r="B1030" s="2">
        <v>42393.7998726852</v>
      </c>
      <c r="C1030">
        <v>0</v>
      </c>
      <c r="D1030">
        <v>34</v>
      </c>
      <c r="E1030" t="s">
        <v>1023</v>
      </c>
    </row>
    <row r="1031" spans="1:5">
      <c r="A1031">
        <f>HYPERLINK("http://www.twitter.com/nycoem/status/691337345765937154", "691337345765937154")</f>
        <v>0</v>
      </c>
      <c r="B1031" s="2">
        <v>42393.7990972222</v>
      </c>
      <c r="C1031">
        <v>0</v>
      </c>
      <c r="D1031">
        <v>30</v>
      </c>
      <c r="E1031" t="s">
        <v>1024</v>
      </c>
    </row>
    <row r="1032" spans="1:5">
      <c r="A1032">
        <f>HYPERLINK("http://www.twitter.com/nycoem/status/691331030175891460", "691331030175891460")</f>
        <v>0</v>
      </c>
      <c r="B1032" s="2">
        <v>42393.7816666667</v>
      </c>
      <c r="C1032">
        <v>0</v>
      </c>
      <c r="D1032">
        <v>222</v>
      </c>
      <c r="E1032" t="s">
        <v>1025</v>
      </c>
    </row>
    <row r="1033" spans="1:5">
      <c r="A1033">
        <f>HYPERLINK("http://www.twitter.com/nycoem/status/691321774022205441", "691321774022205441")</f>
        <v>0</v>
      </c>
      <c r="B1033" s="2">
        <v>42393.7561226852</v>
      </c>
      <c r="C1033">
        <v>6</v>
      </c>
      <c r="D1033">
        <v>15</v>
      </c>
      <c r="E1033" t="s">
        <v>1026</v>
      </c>
    </row>
    <row r="1034" spans="1:5">
      <c r="A1034">
        <f>HYPERLINK("http://www.twitter.com/nycoem/status/691315453034151936", "691315453034151936")</f>
        <v>0</v>
      </c>
      <c r="B1034" s="2">
        <v>42393.7386805556</v>
      </c>
      <c r="C1034">
        <v>0</v>
      </c>
      <c r="D1034">
        <v>10</v>
      </c>
      <c r="E1034" t="s">
        <v>1027</v>
      </c>
    </row>
    <row r="1035" spans="1:5">
      <c r="A1035">
        <f>HYPERLINK("http://www.twitter.com/nycoem/status/691314292751220736", "691314292751220736")</f>
        <v>0</v>
      </c>
      <c r="B1035" s="2">
        <v>42393.7354861111</v>
      </c>
      <c r="C1035">
        <v>0</v>
      </c>
      <c r="D1035">
        <v>25</v>
      </c>
      <c r="E1035" t="s">
        <v>1028</v>
      </c>
    </row>
    <row r="1036" spans="1:5">
      <c r="A1036">
        <f>HYPERLINK("http://www.twitter.com/nycoem/status/691314266645884928", "691314266645884928")</f>
        <v>0</v>
      </c>
      <c r="B1036" s="2">
        <v>42393.7354050926</v>
      </c>
      <c r="C1036">
        <v>0</v>
      </c>
      <c r="D1036">
        <v>9</v>
      </c>
      <c r="E1036" t="s">
        <v>1029</v>
      </c>
    </row>
    <row r="1037" spans="1:5">
      <c r="A1037">
        <f>HYPERLINK("http://www.twitter.com/nycoem/status/691314259490422784", "691314259490422784")</f>
        <v>0</v>
      </c>
      <c r="B1037" s="2">
        <v>42393.7353935185</v>
      </c>
      <c r="C1037">
        <v>0</v>
      </c>
      <c r="D1037">
        <v>13</v>
      </c>
      <c r="E1037" t="s">
        <v>1030</v>
      </c>
    </row>
    <row r="1038" spans="1:5">
      <c r="A1038">
        <f>HYPERLINK("http://www.twitter.com/nycoem/status/691304988300218368", "691304988300218368")</f>
        <v>0</v>
      </c>
      <c r="B1038" s="2">
        <v>42393.7098032407</v>
      </c>
      <c r="C1038">
        <v>0</v>
      </c>
      <c r="D1038">
        <v>15</v>
      </c>
      <c r="E1038" t="s">
        <v>1031</v>
      </c>
    </row>
    <row r="1039" spans="1:5">
      <c r="A1039">
        <f>HYPERLINK("http://www.twitter.com/nycoem/status/691297451282665472", "691297451282665472")</f>
        <v>0</v>
      </c>
      <c r="B1039" s="2">
        <v>42393.6890046296</v>
      </c>
      <c r="C1039">
        <v>0</v>
      </c>
      <c r="D1039">
        <v>7</v>
      </c>
      <c r="E1039" t="s">
        <v>1032</v>
      </c>
    </row>
    <row r="1040" spans="1:5">
      <c r="A1040">
        <f>HYPERLINK("http://www.twitter.com/nycoem/status/691297417065558016", "691297417065558016")</f>
        <v>0</v>
      </c>
      <c r="B1040" s="2">
        <v>42393.688912037</v>
      </c>
      <c r="C1040">
        <v>0</v>
      </c>
      <c r="D1040">
        <v>3</v>
      </c>
      <c r="E1040" t="s">
        <v>1033</v>
      </c>
    </row>
    <row r="1041" spans="1:5">
      <c r="A1041">
        <f>HYPERLINK("http://www.twitter.com/nycoem/status/691296769502756864", "691296769502756864")</f>
        <v>0</v>
      </c>
      <c r="B1041" s="2">
        <v>42393.6871296296</v>
      </c>
      <c r="C1041">
        <v>0</v>
      </c>
      <c r="D1041">
        <v>28</v>
      </c>
      <c r="E1041" t="s">
        <v>1034</v>
      </c>
    </row>
    <row r="1042" spans="1:5">
      <c r="A1042">
        <f>HYPERLINK("http://www.twitter.com/nycoem/status/691294450765684736", "691294450765684736")</f>
        <v>0</v>
      </c>
      <c r="B1042" s="2">
        <v>42393.6807291667</v>
      </c>
      <c r="C1042">
        <v>0</v>
      </c>
      <c r="D1042">
        <v>28</v>
      </c>
      <c r="E1042" t="s">
        <v>1035</v>
      </c>
    </row>
    <row r="1043" spans="1:5">
      <c r="A1043">
        <f>HYPERLINK("http://www.twitter.com/nycoem/status/691293601372966913", "691293601372966913")</f>
        <v>0</v>
      </c>
      <c r="B1043" s="2">
        <v>42393.6783796296</v>
      </c>
      <c r="C1043">
        <v>0</v>
      </c>
      <c r="D1043">
        <v>9</v>
      </c>
      <c r="E1043" t="s">
        <v>1036</v>
      </c>
    </row>
    <row r="1044" spans="1:5">
      <c r="A1044">
        <f>HYPERLINK("http://www.twitter.com/nycoem/status/691268728013611013", "691268728013611013")</f>
        <v>0</v>
      </c>
      <c r="B1044" s="2">
        <v>42393.6097453704</v>
      </c>
      <c r="C1044">
        <v>0</v>
      </c>
      <c r="D1044">
        <v>143</v>
      </c>
      <c r="E1044" t="s">
        <v>1037</v>
      </c>
    </row>
    <row r="1045" spans="1:5">
      <c r="A1045">
        <f>HYPERLINK("http://www.twitter.com/nycoem/status/691268655619923968", "691268655619923968")</f>
        <v>0</v>
      </c>
      <c r="B1045" s="2">
        <v>42393.6095486111</v>
      </c>
      <c r="C1045">
        <v>0</v>
      </c>
      <c r="D1045">
        <v>156</v>
      </c>
      <c r="E1045" t="s">
        <v>1038</v>
      </c>
    </row>
    <row r="1046" spans="1:5">
      <c r="A1046">
        <f>HYPERLINK("http://www.twitter.com/nycoem/status/691268343446294528", "691268343446294528")</f>
        <v>0</v>
      </c>
      <c r="B1046" s="2">
        <v>42393.6086805556</v>
      </c>
      <c r="C1046">
        <v>0</v>
      </c>
      <c r="D1046">
        <v>166</v>
      </c>
      <c r="E1046" t="s">
        <v>1039</v>
      </c>
    </row>
    <row r="1047" spans="1:5">
      <c r="A1047">
        <f>HYPERLINK("http://www.twitter.com/nycoem/status/691264839092703232", "691264839092703232")</f>
        <v>0</v>
      </c>
      <c r="B1047" s="2">
        <v>42393.5990162037</v>
      </c>
      <c r="C1047">
        <v>0</v>
      </c>
      <c r="D1047">
        <v>506</v>
      </c>
      <c r="E1047" t="s">
        <v>1040</v>
      </c>
    </row>
    <row r="1048" spans="1:5">
      <c r="A1048">
        <f>HYPERLINK("http://www.twitter.com/nycoem/status/691261609122123776", "691261609122123776")</f>
        <v>0</v>
      </c>
      <c r="B1048" s="2">
        <v>42393.5901041667</v>
      </c>
      <c r="C1048">
        <v>8</v>
      </c>
      <c r="D1048">
        <v>29</v>
      </c>
      <c r="E1048" t="s">
        <v>1041</v>
      </c>
    </row>
    <row r="1049" spans="1:5">
      <c r="A1049">
        <f>HYPERLINK("http://www.twitter.com/nycoem/status/691260979049582592", "691260979049582592")</f>
        <v>0</v>
      </c>
      <c r="B1049" s="2">
        <v>42393.5883680556</v>
      </c>
      <c r="C1049">
        <v>20</v>
      </c>
      <c r="D1049">
        <v>54</v>
      </c>
      <c r="E1049" t="s">
        <v>1042</v>
      </c>
    </row>
    <row r="1050" spans="1:5">
      <c r="A1050">
        <f>HYPERLINK("http://www.twitter.com/nycoem/status/691259810449342464", "691259810449342464")</f>
        <v>0</v>
      </c>
      <c r="B1050" s="2">
        <v>42393.5851388889</v>
      </c>
      <c r="C1050">
        <v>0</v>
      </c>
      <c r="D1050">
        <v>21</v>
      </c>
      <c r="E1050" t="s">
        <v>1043</v>
      </c>
    </row>
    <row r="1051" spans="1:5">
      <c r="A1051">
        <f>HYPERLINK("http://www.twitter.com/nycoem/status/691259520463544320", "691259520463544320")</f>
        <v>0</v>
      </c>
      <c r="B1051" s="2">
        <v>42393.5843402778</v>
      </c>
      <c r="C1051">
        <v>7</v>
      </c>
      <c r="D1051">
        <v>22</v>
      </c>
      <c r="E1051" t="s">
        <v>1044</v>
      </c>
    </row>
    <row r="1052" spans="1:5">
      <c r="A1052">
        <f>HYPERLINK("http://www.twitter.com/nycoem/status/691250001675186176", "691250001675186176")</f>
        <v>0</v>
      </c>
      <c r="B1052" s="2">
        <v>42393.5580671296</v>
      </c>
      <c r="C1052">
        <v>5</v>
      </c>
      <c r="D1052">
        <v>13</v>
      </c>
      <c r="E1052" t="s">
        <v>1045</v>
      </c>
    </row>
    <row r="1053" spans="1:5">
      <c r="A1053">
        <f>HYPERLINK("http://www.twitter.com/nycoem/status/691243580283863040", "691243580283863040")</f>
        <v>0</v>
      </c>
      <c r="B1053" s="2">
        <v>42393.5403472222</v>
      </c>
      <c r="C1053">
        <v>0</v>
      </c>
      <c r="D1053">
        <v>35</v>
      </c>
      <c r="E1053" t="s">
        <v>1046</v>
      </c>
    </row>
    <row r="1054" spans="1:5">
      <c r="A1054">
        <f>HYPERLINK("http://www.twitter.com/nycoem/status/691077493139378177", "691077493139378177")</f>
        <v>0</v>
      </c>
      <c r="B1054" s="2">
        <v>42393.082037037</v>
      </c>
      <c r="C1054">
        <v>0</v>
      </c>
      <c r="D1054">
        <v>64</v>
      </c>
      <c r="E1054" t="s">
        <v>1047</v>
      </c>
    </row>
    <row r="1055" spans="1:5">
      <c r="A1055">
        <f>HYPERLINK("http://www.twitter.com/nycoem/status/691075656189399040", "691075656189399040")</f>
        <v>0</v>
      </c>
      <c r="B1055" s="2">
        <v>42393.0769675926</v>
      </c>
      <c r="C1055">
        <v>15</v>
      </c>
      <c r="D1055">
        <v>31</v>
      </c>
      <c r="E1055" t="s">
        <v>1048</v>
      </c>
    </row>
    <row r="1056" spans="1:5">
      <c r="A1056">
        <f>HYPERLINK("http://www.twitter.com/nycoem/status/691064859753054208", "691064859753054208")</f>
        <v>0</v>
      </c>
      <c r="B1056" s="2">
        <v>42393.0471759259</v>
      </c>
      <c r="C1056">
        <v>0</v>
      </c>
      <c r="D1056">
        <v>17</v>
      </c>
      <c r="E1056" t="s">
        <v>1049</v>
      </c>
    </row>
    <row r="1057" spans="1:5">
      <c r="A1057">
        <f>HYPERLINK("http://www.twitter.com/nycoem/status/691064745751900160", "691064745751900160")</f>
        <v>0</v>
      </c>
      <c r="B1057" s="2">
        <v>42393.0468634259</v>
      </c>
      <c r="C1057">
        <v>0</v>
      </c>
      <c r="D1057">
        <v>863</v>
      </c>
      <c r="E1057" t="s">
        <v>1050</v>
      </c>
    </row>
    <row r="1058" spans="1:5">
      <c r="A1058">
        <f>HYPERLINK("http://www.twitter.com/nycoem/status/691043691415232512", "691043691415232512")</f>
        <v>0</v>
      </c>
      <c r="B1058" s="2">
        <v>42392.9887615741</v>
      </c>
      <c r="C1058">
        <v>0</v>
      </c>
      <c r="D1058">
        <v>45</v>
      </c>
      <c r="E1058" t="s">
        <v>1051</v>
      </c>
    </row>
    <row r="1059" spans="1:5">
      <c r="A1059">
        <f>HYPERLINK("http://www.twitter.com/nycoem/status/691027737537089536", "691027737537089536")</f>
        <v>0</v>
      </c>
      <c r="B1059" s="2">
        <v>42392.9447337963</v>
      </c>
      <c r="C1059">
        <v>0</v>
      </c>
      <c r="D1059">
        <v>90</v>
      </c>
      <c r="E1059" t="s">
        <v>1052</v>
      </c>
    </row>
    <row r="1060" spans="1:5">
      <c r="A1060">
        <f>HYPERLINK("http://www.twitter.com/nycoem/status/691026618001838080", "691026618001838080")</f>
        <v>0</v>
      </c>
      <c r="B1060" s="2">
        <v>42392.9416550926</v>
      </c>
      <c r="C1060">
        <v>0</v>
      </c>
      <c r="D1060">
        <v>70</v>
      </c>
      <c r="E1060" t="s">
        <v>1053</v>
      </c>
    </row>
    <row r="1061" spans="1:5">
      <c r="A1061">
        <f>HYPERLINK("http://www.twitter.com/nycoem/status/691026608321380353", "691026608321380353")</f>
        <v>0</v>
      </c>
      <c r="B1061" s="2">
        <v>42392.9416203704</v>
      </c>
      <c r="C1061">
        <v>0</v>
      </c>
      <c r="D1061">
        <v>55</v>
      </c>
      <c r="E1061" t="s">
        <v>1054</v>
      </c>
    </row>
    <row r="1062" spans="1:5">
      <c r="A1062">
        <f>HYPERLINK("http://www.twitter.com/nycoem/status/691026598359883776", "691026598359883776")</f>
        <v>0</v>
      </c>
      <c r="B1062" s="2">
        <v>42392.9415972222</v>
      </c>
      <c r="C1062">
        <v>0</v>
      </c>
      <c r="D1062">
        <v>16</v>
      </c>
      <c r="E1062" t="s">
        <v>1055</v>
      </c>
    </row>
    <row r="1063" spans="1:5">
      <c r="A1063">
        <f>HYPERLINK("http://www.twitter.com/nycoem/status/691017964578017281", "691017964578017281")</f>
        <v>0</v>
      </c>
      <c r="B1063" s="2">
        <v>42392.9177662037</v>
      </c>
      <c r="C1063">
        <v>0</v>
      </c>
      <c r="D1063">
        <v>63</v>
      </c>
      <c r="E1063" t="s">
        <v>1056</v>
      </c>
    </row>
    <row r="1064" spans="1:5">
      <c r="A1064">
        <f>HYPERLINK("http://www.twitter.com/nycoem/status/691008314013028352", "691008314013028352")</f>
        <v>0</v>
      </c>
      <c r="B1064" s="2">
        <v>42392.8911458333</v>
      </c>
      <c r="C1064">
        <v>6</v>
      </c>
      <c r="D1064">
        <v>8</v>
      </c>
      <c r="E1064" t="s">
        <v>1057</v>
      </c>
    </row>
    <row r="1065" spans="1:5">
      <c r="A1065">
        <f>HYPERLINK("http://www.twitter.com/nycoem/status/691008024048197632", "691008024048197632")</f>
        <v>0</v>
      </c>
      <c r="B1065" s="2">
        <v>42392.8903356481</v>
      </c>
      <c r="C1065">
        <v>0</v>
      </c>
      <c r="D1065">
        <v>24</v>
      </c>
      <c r="E1065" t="s">
        <v>1057</v>
      </c>
    </row>
    <row r="1066" spans="1:5">
      <c r="A1066">
        <f>HYPERLINK("http://www.twitter.com/nycoem/status/691006181276532736", "691006181276532736")</f>
        <v>0</v>
      </c>
      <c r="B1066" s="2">
        <v>42392.8852546296</v>
      </c>
      <c r="C1066">
        <v>12</v>
      </c>
      <c r="D1066">
        <v>11</v>
      </c>
      <c r="E1066" t="s">
        <v>1058</v>
      </c>
    </row>
    <row r="1067" spans="1:5">
      <c r="A1067">
        <f>HYPERLINK("http://www.twitter.com/nycoem/status/691005408530554880", "691005408530554880")</f>
        <v>0</v>
      </c>
      <c r="B1067" s="2">
        <v>42392.883125</v>
      </c>
      <c r="C1067">
        <v>13</v>
      </c>
      <c r="D1067">
        <v>19</v>
      </c>
      <c r="E1067" t="s">
        <v>1059</v>
      </c>
    </row>
    <row r="1068" spans="1:5">
      <c r="A1068">
        <f>HYPERLINK("http://www.twitter.com/nycoem/status/691004236197404672", "691004236197404672")</f>
        <v>0</v>
      </c>
      <c r="B1068" s="2">
        <v>42392.8798842593</v>
      </c>
      <c r="C1068">
        <v>0</v>
      </c>
      <c r="D1068">
        <v>3</v>
      </c>
      <c r="E1068" t="s">
        <v>1060</v>
      </c>
    </row>
    <row r="1069" spans="1:5">
      <c r="A1069">
        <f>HYPERLINK("http://www.twitter.com/nycoem/status/690996256798285824", "690996256798285824")</f>
        <v>0</v>
      </c>
      <c r="B1069" s="2">
        <v>42392.8578703704</v>
      </c>
      <c r="C1069">
        <v>0</v>
      </c>
      <c r="D1069">
        <v>173</v>
      </c>
      <c r="E1069" t="s">
        <v>1061</v>
      </c>
    </row>
    <row r="1070" spans="1:5">
      <c r="A1070">
        <f>HYPERLINK("http://www.twitter.com/nycoem/status/690985813694402560", "690985813694402560")</f>
        <v>0</v>
      </c>
      <c r="B1070" s="2">
        <v>42392.8290509259</v>
      </c>
      <c r="C1070">
        <v>0</v>
      </c>
      <c r="D1070">
        <v>305</v>
      </c>
      <c r="E1070" t="s">
        <v>1062</v>
      </c>
    </row>
    <row r="1071" spans="1:5">
      <c r="A1071">
        <f>HYPERLINK("http://www.twitter.com/nycoem/status/690974735128227840", "690974735128227840")</f>
        <v>0</v>
      </c>
      <c r="B1071" s="2">
        <v>42392.7984837963</v>
      </c>
      <c r="C1071">
        <v>0</v>
      </c>
      <c r="D1071">
        <v>30</v>
      </c>
      <c r="E1071" t="s">
        <v>1063</v>
      </c>
    </row>
    <row r="1072" spans="1:5">
      <c r="A1072">
        <f>HYPERLINK("http://www.twitter.com/nycoem/status/690963610059825152", "690963610059825152")</f>
        <v>0</v>
      </c>
      <c r="B1072" s="2">
        <v>42392.7677777778</v>
      </c>
      <c r="C1072">
        <v>63</v>
      </c>
      <c r="D1072">
        <v>102</v>
      </c>
      <c r="E1072" t="s">
        <v>1064</v>
      </c>
    </row>
    <row r="1073" spans="1:5">
      <c r="A1073">
        <f>HYPERLINK("http://www.twitter.com/nycoem/status/690963120970428416", "690963120970428416")</f>
        <v>0</v>
      </c>
      <c r="B1073" s="2">
        <v>42392.7664351852</v>
      </c>
      <c r="C1073">
        <v>24</v>
      </c>
      <c r="D1073">
        <v>75</v>
      </c>
      <c r="E1073" t="s">
        <v>1065</v>
      </c>
    </row>
    <row r="1074" spans="1:5">
      <c r="A1074">
        <f>HYPERLINK("http://www.twitter.com/nycoem/status/690961520822456322", "690961520822456322")</f>
        <v>0</v>
      </c>
      <c r="B1074" s="2">
        <v>42392.7620138889</v>
      </c>
      <c r="C1074">
        <v>0</v>
      </c>
      <c r="D1074">
        <v>270</v>
      </c>
      <c r="E1074" t="s">
        <v>1066</v>
      </c>
    </row>
    <row r="1075" spans="1:5">
      <c r="A1075">
        <f>HYPERLINK("http://www.twitter.com/nycoem/status/690958632679313408", "690958632679313408")</f>
        <v>0</v>
      </c>
      <c r="B1075" s="2">
        <v>42392.7540509259</v>
      </c>
      <c r="C1075">
        <v>0</v>
      </c>
      <c r="D1075">
        <v>173</v>
      </c>
      <c r="E1075" t="s">
        <v>1067</v>
      </c>
    </row>
    <row r="1076" spans="1:5">
      <c r="A1076">
        <f>HYPERLINK("http://www.twitter.com/nycoem/status/690955579590860801", "690955579590860801")</f>
        <v>0</v>
      </c>
      <c r="B1076" s="2">
        <v>42392.745625</v>
      </c>
      <c r="C1076">
        <v>0</v>
      </c>
      <c r="D1076">
        <v>2508</v>
      </c>
      <c r="E1076" t="s">
        <v>1068</v>
      </c>
    </row>
    <row r="1077" spans="1:5">
      <c r="A1077">
        <f>HYPERLINK("http://www.twitter.com/nycoem/status/690953767156596736", "690953767156596736")</f>
        <v>0</v>
      </c>
      <c r="B1077" s="2">
        <v>42392.740625</v>
      </c>
      <c r="C1077">
        <v>0</v>
      </c>
      <c r="D1077">
        <v>20</v>
      </c>
      <c r="E1077" t="s">
        <v>1069</v>
      </c>
    </row>
    <row r="1078" spans="1:5">
      <c r="A1078">
        <f>HYPERLINK("http://www.twitter.com/nycoem/status/690950375260688384", "690950375260688384")</f>
        <v>0</v>
      </c>
      <c r="B1078" s="2">
        <v>42392.7312615741</v>
      </c>
      <c r="C1078">
        <v>0</v>
      </c>
      <c r="D1078">
        <v>20</v>
      </c>
      <c r="E1078" t="s">
        <v>1070</v>
      </c>
    </row>
    <row r="1079" spans="1:5">
      <c r="A1079">
        <f>HYPERLINK("http://www.twitter.com/nycoem/status/690938038189432832", "690938038189432832")</f>
        <v>0</v>
      </c>
      <c r="B1079" s="2">
        <v>42392.6972106481</v>
      </c>
      <c r="C1079">
        <v>0</v>
      </c>
      <c r="D1079">
        <v>22</v>
      </c>
      <c r="E1079" t="s">
        <v>1071</v>
      </c>
    </row>
    <row r="1080" spans="1:5">
      <c r="A1080">
        <f>HYPERLINK("http://www.twitter.com/nycoem/status/690933661697511424", "690933661697511424")</f>
        <v>0</v>
      </c>
      <c r="B1080" s="2">
        <v>42392.6851388889</v>
      </c>
      <c r="C1080">
        <v>0</v>
      </c>
      <c r="D1080">
        <v>380</v>
      </c>
      <c r="E1080" t="s">
        <v>1072</v>
      </c>
    </row>
    <row r="1081" spans="1:5">
      <c r="A1081">
        <f>HYPERLINK("http://www.twitter.com/nycoem/status/690926376950571008", "690926376950571008")</f>
        <v>0</v>
      </c>
      <c r="B1081" s="2">
        <v>42392.6650347222</v>
      </c>
      <c r="C1081">
        <v>0</v>
      </c>
      <c r="D1081">
        <v>204</v>
      </c>
      <c r="E1081" t="s">
        <v>1073</v>
      </c>
    </row>
    <row r="1082" spans="1:5">
      <c r="A1082">
        <f>HYPERLINK("http://www.twitter.com/nycoem/status/690917969292038144", "690917969292038144")</f>
        <v>0</v>
      </c>
      <c r="B1082" s="2">
        <v>42392.6418402778</v>
      </c>
      <c r="C1082">
        <v>0</v>
      </c>
      <c r="D1082">
        <v>204</v>
      </c>
      <c r="E1082" t="s">
        <v>1074</v>
      </c>
    </row>
    <row r="1083" spans="1:5">
      <c r="A1083">
        <f>HYPERLINK("http://www.twitter.com/nycoem/status/690901577872314368", "690901577872314368")</f>
        <v>0</v>
      </c>
      <c r="B1083" s="2">
        <v>42392.5966087963</v>
      </c>
      <c r="C1083">
        <v>0</v>
      </c>
      <c r="D1083">
        <v>53</v>
      </c>
      <c r="E1083" t="s">
        <v>1075</v>
      </c>
    </row>
    <row r="1084" spans="1:5">
      <c r="A1084">
        <f>HYPERLINK("http://www.twitter.com/nycoem/status/690893585944829952", "690893585944829952")</f>
        <v>0</v>
      </c>
      <c r="B1084" s="2">
        <v>42392.5745486111</v>
      </c>
      <c r="C1084">
        <v>0</v>
      </c>
      <c r="D1084">
        <v>113</v>
      </c>
      <c r="E1084" t="s">
        <v>1076</v>
      </c>
    </row>
    <row r="1085" spans="1:5">
      <c r="A1085">
        <f>HYPERLINK("http://www.twitter.com/nycoem/status/690884620334809088", "690884620334809088")</f>
        <v>0</v>
      </c>
      <c r="B1085" s="2">
        <v>42392.5498148148</v>
      </c>
      <c r="C1085">
        <v>0</v>
      </c>
      <c r="D1085">
        <v>148</v>
      </c>
      <c r="E1085" t="s">
        <v>1077</v>
      </c>
    </row>
    <row r="1086" spans="1:5">
      <c r="A1086">
        <f>HYPERLINK("http://www.twitter.com/nycoem/status/690765853642657792", "690765853642657792")</f>
        <v>0</v>
      </c>
      <c r="B1086" s="2">
        <v>42392.2220717593</v>
      </c>
      <c r="C1086">
        <v>0</v>
      </c>
      <c r="D1086">
        <v>201</v>
      </c>
      <c r="E1086" t="s">
        <v>1078</v>
      </c>
    </row>
    <row r="1087" spans="1:5">
      <c r="A1087">
        <f>HYPERLINK("http://www.twitter.com/nycoem/status/690711787554095105", "690711787554095105")</f>
        <v>0</v>
      </c>
      <c r="B1087" s="2">
        <v>42392.0728819444</v>
      </c>
      <c r="C1087">
        <v>0</v>
      </c>
      <c r="D1087">
        <v>15</v>
      </c>
      <c r="E1087" t="s">
        <v>1079</v>
      </c>
    </row>
    <row r="1088" spans="1:5">
      <c r="A1088">
        <f>HYPERLINK("http://www.twitter.com/nycoem/status/690695896091205632", "690695896091205632")</f>
        <v>0</v>
      </c>
      <c r="B1088" s="2">
        <v>42392.0290277778</v>
      </c>
      <c r="C1088">
        <v>0</v>
      </c>
      <c r="D1088">
        <v>4</v>
      </c>
      <c r="E1088" t="s">
        <v>1080</v>
      </c>
    </row>
    <row r="1089" spans="1:5">
      <c r="A1089">
        <f>HYPERLINK("http://www.twitter.com/nycoem/status/690695886062645248", "690695886062645248")</f>
        <v>0</v>
      </c>
      <c r="B1089" s="2">
        <v>42392.0290046296</v>
      </c>
      <c r="C1089">
        <v>0</v>
      </c>
      <c r="D1089">
        <v>14</v>
      </c>
      <c r="E1089" t="s">
        <v>1081</v>
      </c>
    </row>
    <row r="1090" spans="1:5">
      <c r="A1090">
        <f>HYPERLINK("http://www.twitter.com/nycoem/status/690695613575487488", "690695613575487488")</f>
        <v>0</v>
      </c>
      <c r="B1090" s="2">
        <v>42392.0282523148</v>
      </c>
      <c r="C1090">
        <v>0</v>
      </c>
      <c r="D1090">
        <v>44</v>
      </c>
      <c r="E1090" t="s">
        <v>1082</v>
      </c>
    </row>
    <row r="1091" spans="1:5">
      <c r="A1091">
        <f>HYPERLINK("http://www.twitter.com/nycoem/status/690675983821701120", "690675983821701120")</f>
        <v>0</v>
      </c>
      <c r="B1091" s="2">
        <v>42391.9740856482</v>
      </c>
      <c r="C1091">
        <v>0</v>
      </c>
      <c r="D1091">
        <v>25</v>
      </c>
      <c r="E1091" t="s">
        <v>1083</v>
      </c>
    </row>
    <row r="1092" spans="1:5">
      <c r="A1092">
        <f>HYPERLINK("http://www.twitter.com/nycoem/status/690668010005200900", "690668010005200900")</f>
        <v>0</v>
      </c>
      <c r="B1092" s="2">
        <v>42391.9520833333</v>
      </c>
      <c r="C1092">
        <v>0</v>
      </c>
      <c r="D1092">
        <v>173</v>
      </c>
      <c r="E1092" t="s">
        <v>1084</v>
      </c>
    </row>
    <row r="1093" spans="1:5">
      <c r="A1093">
        <f>HYPERLINK("http://www.twitter.com/nycoem/status/690666885294223362", "690666885294223362")</f>
        <v>0</v>
      </c>
      <c r="B1093" s="2">
        <v>42391.9489814815</v>
      </c>
      <c r="C1093">
        <v>0</v>
      </c>
      <c r="D1093">
        <v>10</v>
      </c>
      <c r="E1093" t="s">
        <v>1085</v>
      </c>
    </row>
    <row r="1094" spans="1:5">
      <c r="A1094">
        <f>HYPERLINK("http://www.twitter.com/nycoem/status/690666875450200064", "690666875450200064")</f>
        <v>0</v>
      </c>
      <c r="B1094" s="2">
        <v>42391.9489467593</v>
      </c>
      <c r="C1094">
        <v>0</v>
      </c>
      <c r="D1094">
        <v>150</v>
      </c>
      <c r="E1094" t="s">
        <v>1086</v>
      </c>
    </row>
    <row r="1095" spans="1:5">
      <c r="A1095">
        <f>HYPERLINK("http://www.twitter.com/nycoem/status/690664128990593024", "690664128990593024")</f>
        <v>0</v>
      </c>
      <c r="B1095" s="2">
        <v>42391.9413657407</v>
      </c>
      <c r="C1095">
        <v>0</v>
      </c>
      <c r="D1095">
        <v>10</v>
      </c>
      <c r="E1095" t="s">
        <v>1087</v>
      </c>
    </row>
    <row r="1096" spans="1:5">
      <c r="A1096">
        <f>HYPERLINK("http://www.twitter.com/nycoem/status/690664094337204224", "690664094337204224")</f>
        <v>0</v>
      </c>
      <c r="B1096" s="2">
        <v>42391.9412731481</v>
      </c>
      <c r="C1096">
        <v>0</v>
      </c>
      <c r="D1096">
        <v>33</v>
      </c>
      <c r="E1096" t="s">
        <v>1088</v>
      </c>
    </row>
    <row r="1097" spans="1:5">
      <c r="A1097">
        <f>HYPERLINK("http://www.twitter.com/nycoem/status/690625104351477760", "690625104351477760")</f>
        <v>0</v>
      </c>
      <c r="B1097" s="2">
        <v>42391.8336805556</v>
      </c>
      <c r="C1097">
        <v>3</v>
      </c>
      <c r="D1097">
        <v>5</v>
      </c>
      <c r="E1097" t="s">
        <v>1089</v>
      </c>
    </row>
    <row r="1098" spans="1:5">
      <c r="A1098">
        <f>HYPERLINK("http://www.twitter.com/nycoem/status/690617528670932993", "690617528670932993")</f>
        <v>0</v>
      </c>
      <c r="B1098" s="2">
        <v>42391.8127777778</v>
      </c>
      <c r="C1098">
        <v>9</v>
      </c>
      <c r="D1098">
        <v>28</v>
      </c>
      <c r="E1098" t="s">
        <v>1090</v>
      </c>
    </row>
    <row r="1099" spans="1:5">
      <c r="A1099">
        <f>HYPERLINK("http://www.twitter.com/nycoem/status/690605563185623040", "690605563185623040")</f>
        <v>0</v>
      </c>
      <c r="B1099" s="2">
        <v>42391.7797569444</v>
      </c>
      <c r="C1099">
        <v>0</v>
      </c>
      <c r="D1099">
        <v>2</v>
      </c>
      <c r="E1099" t="s">
        <v>1091</v>
      </c>
    </row>
    <row r="1100" spans="1:5">
      <c r="A1100">
        <f>HYPERLINK("http://www.twitter.com/nycoem/status/690605203041751040", "690605203041751040")</f>
        <v>0</v>
      </c>
      <c r="B1100" s="2">
        <v>42391.7787615741</v>
      </c>
      <c r="C1100">
        <v>0</v>
      </c>
      <c r="D1100">
        <v>19</v>
      </c>
      <c r="E1100" t="s">
        <v>1092</v>
      </c>
    </row>
    <row r="1101" spans="1:5">
      <c r="A1101">
        <f>HYPERLINK("http://www.twitter.com/nycoem/status/690597917057531904", "690597917057531904")</f>
        <v>0</v>
      </c>
      <c r="B1101" s="2">
        <v>42391.7586574074</v>
      </c>
      <c r="C1101">
        <v>10</v>
      </c>
      <c r="D1101">
        <v>25</v>
      </c>
      <c r="E1101" t="s">
        <v>1093</v>
      </c>
    </row>
    <row r="1102" spans="1:5">
      <c r="A1102">
        <f>HYPERLINK("http://www.twitter.com/nycoem/status/690597792641867776", "690597792641867776")</f>
        <v>0</v>
      </c>
      <c r="B1102" s="2">
        <v>42391.7583217593</v>
      </c>
      <c r="C1102">
        <v>0</v>
      </c>
      <c r="D1102">
        <v>30</v>
      </c>
      <c r="E1102" t="s">
        <v>1094</v>
      </c>
    </row>
    <row r="1103" spans="1:5">
      <c r="A1103">
        <f>HYPERLINK("http://www.twitter.com/nycoem/status/690571272753909760", "690571272753909760")</f>
        <v>0</v>
      </c>
      <c r="B1103" s="2">
        <v>42391.6851388889</v>
      </c>
      <c r="C1103">
        <v>0</v>
      </c>
      <c r="D1103">
        <v>15</v>
      </c>
      <c r="E1103" t="s">
        <v>1095</v>
      </c>
    </row>
    <row r="1104" spans="1:5">
      <c r="A1104">
        <f>HYPERLINK("http://www.twitter.com/nycoem/status/690548332847038465", "690548332847038465")</f>
        <v>0</v>
      </c>
      <c r="B1104" s="2">
        <v>42391.6218287037</v>
      </c>
      <c r="C1104">
        <v>0</v>
      </c>
      <c r="D1104">
        <v>75</v>
      </c>
      <c r="E1104" t="s">
        <v>1096</v>
      </c>
    </row>
    <row r="1105" spans="1:5">
      <c r="A1105">
        <f>HYPERLINK("http://www.twitter.com/nycoem/status/690504142184398848", "690504142184398848")</f>
        <v>0</v>
      </c>
      <c r="B1105" s="2">
        <v>42391.4998958333</v>
      </c>
      <c r="C1105">
        <v>0</v>
      </c>
      <c r="D1105">
        <v>120</v>
      </c>
      <c r="E1105" t="s">
        <v>1097</v>
      </c>
    </row>
    <row r="1106" spans="1:5">
      <c r="A1106">
        <f>HYPERLINK("http://www.twitter.com/nycoem/status/690334078491574273", "690334078491574273")</f>
        <v>0</v>
      </c>
      <c r="B1106" s="2">
        <v>42391.0306018519</v>
      </c>
      <c r="C1106">
        <v>0</v>
      </c>
      <c r="D1106">
        <v>7</v>
      </c>
      <c r="E1106" t="s">
        <v>1098</v>
      </c>
    </row>
    <row r="1107" spans="1:5">
      <c r="A1107">
        <f>HYPERLINK("http://www.twitter.com/nycoem/status/690312566833299457", "690312566833299457")</f>
        <v>0</v>
      </c>
      <c r="B1107" s="2">
        <v>42390.9712384259</v>
      </c>
      <c r="C1107">
        <v>0</v>
      </c>
      <c r="D1107">
        <v>20</v>
      </c>
      <c r="E1107" t="s">
        <v>1099</v>
      </c>
    </row>
    <row r="1108" spans="1:5">
      <c r="A1108">
        <f>HYPERLINK("http://www.twitter.com/nycoem/status/690286613751029765", "690286613751029765")</f>
        <v>0</v>
      </c>
      <c r="B1108" s="2">
        <v>42390.8996296296</v>
      </c>
      <c r="C1108">
        <v>0</v>
      </c>
      <c r="D1108">
        <v>70</v>
      </c>
      <c r="E1108" t="s">
        <v>1100</v>
      </c>
    </row>
    <row r="1109" spans="1:5">
      <c r="A1109">
        <f>HYPERLINK("http://www.twitter.com/nycoem/status/690282045646508032", "690282045646508032")</f>
        <v>0</v>
      </c>
      <c r="B1109" s="2">
        <v>42390.887025463</v>
      </c>
      <c r="C1109">
        <v>0</v>
      </c>
      <c r="D1109">
        <v>21</v>
      </c>
      <c r="E1109" t="s">
        <v>1101</v>
      </c>
    </row>
    <row r="1110" spans="1:5">
      <c r="A1110">
        <f>HYPERLINK("http://www.twitter.com/nycoem/status/690256764751736833", "690256764751736833")</f>
        <v>0</v>
      </c>
      <c r="B1110" s="2">
        <v>42390.8172569444</v>
      </c>
      <c r="C1110">
        <v>0</v>
      </c>
      <c r="D1110">
        <v>80</v>
      </c>
      <c r="E1110" t="s">
        <v>1102</v>
      </c>
    </row>
    <row r="1111" spans="1:5">
      <c r="A1111">
        <f>HYPERLINK("http://www.twitter.com/nycoem/status/690218347649220609", "690218347649220609")</f>
        <v>0</v>
      </c>
      <c r="B1111" s="2">
        <v>42390.71125</v>
      </c>
      <c r="C1111">
        <v>8</v>
      </c>
      <c r="D1111">
        <v>25</v>
      </c>
      <c r="E1111" t="s">
        <v>1103</v>
      </c>
    </row>
    <row r="1112" spans="1:5">
      <c r="A1112">
        <f>HYPERLINK("http://www.twitter.com/nycoem/status/690216088471244802", "690216088471244802")</f>
        <v>0</v>
      </c>
      <c r="B1112" s="2">
        <v>42390.7050115741</v>
      </c>
      <c r="C1112">
        <v>6</v>
      </c>
      <c r="D1112">
        <v>19</v>
      </c>
      <c r="E1112" t="s">
        <v>1104</v>
      </c>
    </row>
    <row r="1113" spans="1:5">
      <c r="A1113">
        <f>HYPERLINK("http://www.twitter.com/nycoem/status/690203886548819968", "690203886548819968")</f>
        <v>0</v>
      </c>
      <c r="B1113" s="2">
        <v>42390.6713425926</v>
      </c>
      <c r="C1113">
        <v>0</v>
      </c>
      <c r="D1113">
        <v>65</v>
      </c>
      <c r="E1113" t="s">
        <v>1105</v>
      </c>
    </row>
    <row r="1114" spans="1:5">
      <c r="A1114">
        <f>HYPERLINK("http://www.twitter.com/nycoem/status/690185874949160961", "690185874949160961")</f>
        <v>0</v>
      </c>
      <c r="B1114" s="2">
        <v>42390.6216435185</v>
      </c>
      <c r="C1114">
        <v>2</v>
      </c>
      <c r="D1114">
        <v>3</v>
      </c>
      <c r="E1114" t="s">
        <v>1106</v>
      </c>
    </row>
    <row r="1115" spans="1:5">
      <c r="A1115">
        <f>HYPERLINK("http://www.twitter.com/nycoem/status/690184699050905600", "690184699050905600")</f>
        <v>0</v>
      </c>
      <c r="B1115" s="2">
        <v>42390.6183912037</v>
      </c>
      <c r="C1115">
        <v>7</v>
      </c>
      <c r="D1115">
        <v>6</v>
      </c>
      <c r="E1115" t="s">
        <v>1107</v>
      </c>
    </row>
    <row r="1116" spans="1:5">
      <c r="A1116">
        <f>HYPERLINK("http://www.twitter.com/nycoem/status/690173383737212929", "690173383737212929")</f>
        <v>0</v>
      </c>
      <c r="B1116" s="2">
        <v>42390.5871759259</v>
      </c>
      <c r="C1116">
        <v>0</v>
      </c>
      <c r="D1116">
        <v>107</v>
      </c>
      <c r="E1116" t="s">
        <v>1108</v>
      </c>
    </row>
    <row r="1117" spans="1:5">
      <c r="A1117">
        <f>HYPERLINK("http://www.twitter.com/nycoem/status/689870267829633024", "689870267829633024")</f>
        <v>0</v>
      </c>
      <c r="B1117" s="2">
        <v>42389.7507291667</v>
      </c>
      <c r="C1117">
        <v>32</v>
      </c>
      <c r="D1117">
        <v>27</v>
      </c>
      <c r="E1117" t="s">
        <v>1109</v>
      </c>
    </row>
    <row r="1118" spans="1:5">
      <c r="A1118">
        <f>HYPERLINK("http://www.twitter.com/nycoem/status/689841122374504449", "689841122374504449")</f>
        <v>0</v>
      </c>
      <c r="B1118" s="2">
        <v>42389.6703009259</v>
      </c>
      <c r="C1118">
        <v>2</v>
      </c>
      <c r="D1118">
        <v>5</v>
      </c>
      <c r="E1118" t="s">
        <v>1110</v>
      </c>
    </row>
    <row r="1119" spans="1:5">
      <c r="A1119">
        <f>HYPERLINK("http://www.twitter.com/nycoem/status/689820975513387008", "689820975513387008")</f>
        <v>0</v>
      </c>
      <c r="B1119" s="2">
        <v>42389.6147106482</v>
      </c>
      <c r="C1119">
        <v>9</v>
      </c>
      <c r="D1119">
        <v>15</v>
      </c>
      <c r="E1119" t="s">
        <v>1111</v>
      </c>
    </row>
    <row r="1120" spans="1:5">
      <c r="A1120">
        <f>HYPERLINK("http://www.twitter.com/nycoem/status/689571413867524096", "689571413867524096")</f>
        <v>0</v>
      </c>
      <c r="B1120" s="2">
        <v>42388.9260532407</v>
      </c>
      <c r="C1120">
        <v>1</v>
      </c>
      <c r="D1120">
        <v>0</v>
      </c>
      <c r="E1120" t="s">
        <v>1112</v>
      </c>
    </row>
    <row r="1121" spans="1:5">
      <c r="A1121">
        <f>HYPERLINK("http://www.twitter.com/nycoem/status/689549252624826369", "689549252624826369")</f>
        <v>0</v>
      </c>
      <c r="B1121" s="2">
        <v>42388.8648958333</v>
      </c>
      <c r="C1121">
        <v>1</v>
      </c>
      <c r="D1121">
        <v>2</v>
      </c>
      <c r="E1121" t="s">
        <v>1113</v>
      </c>
    </row>
    <row r="1122" spans="1:5">
      <c r="A1122">
        <f>HYPERLINK("http://www.twitter.com/nycoem/status/689520612893679616", "689520612893679616")</f>
        <v>0</v>
      </c>
      <c r="B1122" s="2">
        <v>42388.7858680556</v>
      </c>
      <c r="C1122">
        <v>1</v>
      </c>
      <c r="D1122">
        <v>6</v>
      </c>
      <c r="E1122" t="s">
        <v>1114</v>
      </c>
    </row>
    <row r="1123" spans="1:5">
      <c r="A1123">
        <f>HYPERLINK("http://www.twitter.com/nycoem/status/689496429694332928", "689496429694332928")</f>
        <v>0</v>
      </c>
      <c r="B1123" s="2">
        <v>42388.7191319444</v>
      </c>
      <c r="C1123">
        <v>24</v>
      </c>
      <c r="D1123">
        <v>26</v>
      </c>
      <c r="E1123" t="s">
        <v>1115</v>
      </c>
    </row>
    <row r="1124" spans="1:5">
      <c r="A1124">
        <f>HYPERLINK("http://www.twitter.com/nycoem/status/689456046218182656", "689456046218182656")</f>
        <v>0</v>
      </c>
      <c r="B1124" s="2">
        <v>42388.6076967593</v>
      </c>
      <c r="C1124">
        <v>0</v>
      </c>
      <c r="D1124">
        <v>37</v>
      </c>
      <c r="E1124" t="s">
        <v>1116</v>
      </c>
    </row>
    <row r="1125" spans="1:5">
      <c r="A1125">
        <f>HYPERLINK("http://www.twitter.com/nycoem/status/689095074819502080", "689095074819502080")</f>
        <v>0</v>
      </c>
      <c r="B1125" s="2">
        <v>42387.6116087963</v>
      </c>
      <c r="C1125">
        <v>8</v>
      </c>
      <c r="D1125">
        <v>4</v>
      </c>
      <c r="E1125" t="s">
        <v>1117</v>
      </c>
    </row>
    <row r="1126" spans="1:5">
      <c r="A1126">
        <f>HYPERLINK("http://www.twitter.com/nycoem/status/688738557868019712", "688738557868019712")</f>
        <v>0</v>
      </c>
      <c r="B1126" s="2">
        <v>42386.6278009259</v>
      </c>
      <c r="C1126">
        <v>0</v>
      </c>
      <c r="D1126">
        <v>8</v>
      </c>
      <c r="E1126" t="s">
        <v>1118</v>
      </c>
    </row>
    <row r="1127" spans="1:5">
      <c r="A1127">
        <f>HYPERLINK("http://www.twitter.com/nycoem/status/688738262400258048", "688738262400258048")</f>
        <v>0</v>
      </c>
      <c r="B1127" s="2">
        <v>42386.6269907407</v>
      </c>
      <c r="C1127">
        <v>0</v>
      </c>
      <c r="D1127">
        <v>28</v>
      </c>
      <c r="E1127" t="s">
        <v>1119</v>
      </c>
    </row>
    <row r="1128" spans="1:5">
      <c r="A1128">
        <f>HYPERLINK("http://www.twitter.com/nycoem/status/688092315903209472", "688092315903209472")</f>
        <v>0</v>
      </c>
      <c r="B1128" s="2">
        <v>42384.8445138889</v>
      </c>
      <c r="C1128">
        <v>16</v>
      </c>
      <c r="D1128">
        <v>7</v>
      </c>
      <c r="E1128" t="s">
        <v>1120</v>
      </c>
    </row>
    <row r="1129" spans="1:5">
      <c r="A1129">
        <f>HYPERLINK("http://www.twitter.com/nycoem/status/688058256292462592", "688058256292462592")</f>
        <v>0</v>
      </c>
      <c r="B1129" s="2">
        <v>42384.7505324074</v>
      </c>
      <c r="C1129">
        <v>0</v>
      </c>
      <c r="D1129">
        <v>0</v>
      </c>
      <c r="E1129" t="s">
        <v>1121</v>
      </c>
    </row>
    <row r="1130" spans="1:5">
      <c r="A1130">
        <f>HYPERLINK("http://www.twitter.com/nycoem/status/688037969500975104", "688037969500975104")</f>
        <v>0</v>
      </c>
      <c r="B1130" s="2">
        <v>42384.6945486111</v>
      </c>
      <c r="C1130">
        <v>7</v>
      </c>
      <c r="D1130">
        <v>18</v>
      </c>
      <c r="E1130" t="s">
        <v>1122</v>
      </c>
    </row>
    <row r="1131" spans="1:5">
      <c r="A1131">
        <f>HYPERLINK("http://www.twitter.com/nycoem/status/687730689299603456", "687730689299603456")</f>
        <v>0</v>
      </c>
      <c r="B1131" s="2">
        <v>42383.8466203704</v>
      </c>
      <c r="C1131">
        <v>0</v>
      </c>
      <c r="D1131">
        <v>2</v>
      </c>
      <c r="E1131" t="s">
        <v>1123</v>
      </c>
    </row>
    <row r="1132" spans="1:5">
      <c r="A1132">
        <f>HYPERLINK("http://www.twitter.com/nycoem/status/687661228311875584", "687661228311875584")</f>
        <v>0</v>
      </c>
      <c r="B1132" s="2">
        <v>42383.6549421296</v>
      </c>
      <c r="C1132">
        <v>0</v>
      </c>
      <c r="D1132">
        <v>899</v>
      </c>
      <c r="E1132" t="s">
        <v>1124</v>
      </c>
    </row>
    <row r="1133" spans="1:5">
      <c r="A1133">
        <f>HYPERLINK("http://www.twitter.com/nycoem/status/687649826935287808", "687649826935287808")</f>
        <v>0</v>
      </c>
      <c r="B1133" s="2">
        <v>42383.6234837963</v>
      </c>
      <c r="C1133">
        <v>10</v>
      </c>
      <c r="D1133">
        <v>3</v>
      </c>
      <c r="E1133" t="s">
        <v>1125</v>
      </c>
    </row>
    <row r="1134" spans="1:5">
      <c r="A1134">
        <f>HYPERLINK("http://www.twitter.com/nycoem/status/687642816038735873", "687642816038735873")</f>
        <v>0</v>
      </c>
      <c r="B1134" s="2">
        <v>42383.6041319444</v>
      </c>
      <c r="C1134">
        <v>0</v>
      </c>
      <c r="D1134">
        <v>3</v>
      </c>
      <c r="E1134" t="s">
        <v>1126</v>
      </c>
    </row>
    <row r="1135" spans="1:5">
      <c r="A1135">
        <f>HYPERLINK("http://www.twitter.com/nycoem/status/687615420275253248", "687615420275253248")</f>
        <v>0</v>
      </c>
      <c r="B1135" s="2">
        <v>42383.5285416667</v>
      </c>
      <c r="C1135">
        <v>0</v>
      </c>
      <c r="D1135">
        <v>15</v>
      </c>
      <c r="E1135" t="s">
        <v>1127</v>
      </c>
    </row>
    <row r="1136" spans="1:5">
      <c r="A1136">
        <f>HYPERLINK("http://www.twitter.com/nycoem/status/687318366307094529", "687318366307094529")</f>
        <v>0</v>
      </c>
      <c r="B1136" s="2">
        <v>42382.7088194444</v>
      </c>
      <c r="C1136">
        <v>0</v>
      </c>
      <c r="D1136">
        <v>62</v>
      </c>
      <c r="E1136" t="s">
        <v>1128</v>
      </c>
    </row>
    <row r="1137" spans="1:5">
      <c r="A1137">
        <f>HYPERLINK("http://www.twitter.com/nycoem/status/687301057303719936", "687301057303719936")</f>
        <v>0</v>
      </c>
      <c r="B1137" s="2">
        <v>42382.6610648148</v>
      </c>
      <c r="C1137">
        <v>0</v>
      </c>
      <c r="D1137">
        <v>36</v>
      </c>
      <c r="E1137" t="s">
        <v>1129</v>
      </c>
    </row>
    <row r="1138" spans="1:5">
      <c r="A1138">
        <f>HYPERLINK("http://www.twitter.com/nycoem/status/687291988085989377", "687291988085989377")</f>
        <v>0</v>
      </c>
      <c r="B1138" s="2">
        <v>42382.6360300926</v>
      </c>
      <c r="C1138">
        <v>10</v>
      </c>
      <c r="D1138">
        <v>6</v>
      </c>
      <c r="E1138" t="s">
        <v>1130</v>
      </c>
    </row>
    <row r="1139" spans="1:5">
      <c r="A1139">
        <f>HYPERLINK("http://www.twitter.com/nycoem/status/687287693626208256", "687287693626208256")</f>
        <v>0</v>
      </c>
      <c r="B1139" s="2">
        <v>42382.6241898148</v>
      </c>
      <c r="C1139">
        <v>0</v>
      </c>
      <c r="D1139">
        <v>7</v>
      </c>
      <c r="E1139" t="s">
        <v>1131</v>
      </c>
    </row>
    <row r="1140" spans="1:5">
      <c r="A1140">
        <f>HYPERLINK("http://www.twitter.com/nycoem/status/687042660427788288", "687042660427788288")</f>
        <v>0</v>
      </c>
      <c r="B1140" s="2">
        <v>42381.9480208333</v>
      </c>
      <c r="C1140">
        <v>0</v>
      </c>
      <c r="D1140">
        <v>17</v>
      </c>
      <c r="E1140" t="s">
        <v>1132</v>
      </c>
    </row>
    <row r="1141" spans="1:5">
      <c r="A1141">
        <f>HYPERLINK("http://www.twitter.com/nycoem/status/686998684106620928", "686998684106620928")</f>
        <v>0</v>
      </c>
      <c r="B1141" s="2">
        <v>42381.8266666667</v>
      </c>
      <c r="C1141">
        <v>5</v>
      </c>
      <c r="D1141">
        <v>14</v>
      </c>
      <c r="E1141" t="s">
        <v>1133</v>
      </c>
    </row>
    <row r="1142" spans="1:5">
      <c r="A1142">
        <f>HYPERLINK("http://www.twitter.com/nycoem/status/686968552453226496", "686968552453226496")</f>
        <v>0</v>
      </c>
      <c r="B1142" s="2">
        <v>42381.7435185185</v>
      </c>
      <c r="C1142">
        <v>0</v>
      </c>
      <c r="D1142">
        <v>17</v>
      </c>
      <c r="E1142" t="s">
        <v>1134</v>
      </c>
    </row>
    <row r="1143" spans="1:5">
      <c r="A1143">
        <f>HYPERLINK("http://www.twitter.com/nycoem/status/686944945266159616", "686944945266159616")</f>
        <v>0</v>
      </c>
      <c r="B1143" s="2">
        <v>42381.6783796296</v>
      </c>
      <c r="C1143">
        <v>0</v>
      </c>
      <c r="D1143">
        <v>38</v>
      </c>
      <c r="E1143" t="s">
        <v>1135</v>
      </c>
    </row>
    <row r="1144" spans="1:5">
      <c r="A1144">
        <f>HYPERLINK("http://www.twitter.com/nycoem/status/686940874165583872", "686940874165583872")</f>
        <v>0</v>
      </c>
      <c r="B1144" s="2">
        <v>42381.6671412037</v>
      </c>
      <c r="C1144">
        <v>3</v>
      </c>
      <c r="D1144">
        <v>4</v>
      </c>
      <c r="E1144" t="s">
        <v>1136</v>
      </c>
    </row>
    <row r="1145" spans="1:5">
      <c r="A1145">
        <f>HYPERLINK("http://www.twitter.com/nycoem/status/686644843808960513", "686644843808960513")</f>
        <v>0</v>
      </c>
      <c r="B1145" s="2">
        <v>42380.8502546296</v>
      </c>
      <c r="C1145">
        <v>0</v>
      </c>
      <c r="D1145">
        <v>16</v>
      </c>
      <c r="E1145" t="s">
        <v>1137</v>
      </c>
    </row>
    <row r="1146" spans="1:5">
      <c r="A1146">
        <f>HYPERLINK("http://www.twitter.com/nycoem/status/686643902787530753", "686643902787530753")</f>
        <v>0</v>
      </c>
      <c r="B1146" s="2">
        <v>42380.847662037</v>
      </c>
      <c r="C1146">
        <v>0</v>
      </c>
      <c r="D1146">
        <v>37</v>
      </c>
      <c r="E1146" t="s">
        <v>1138</v>
      </c>
    </row>
    <row r="1147" spans="1:5">
      <c r="A1147">
        <f>HYPERLINK("http://www.twitter.com/nycoem/status/686590981790167042", "686590981790167042")</f>
        <v>0</v>
      </c>
      <c r="B1147" s="2">
        <v>42380.7016203704</v>
      </c>
      <c r="C1147">
        <v>0</v>
      </c>
      <c r="D1147">
        <v>3</v>
      </c>
      <c r="E1147" t="s">
        <v>1139</v>
      </c>
    </row>
    <row r="1148" spans="1:5">
      <c r="A1148">
        <f>HYPERLINK("http://www.twitter.com/nycoem/status/686575836602994688", "686575836602994688")</f>
        <v>0</v>
      </c>
      <c r="B1148" s="2">
        <v>42380.659837963</v>
      </c>
      <c r="C1148">
        <v>3</v>
      </c>
      <c r="D1148">
        <v>3</v>
      </c>
      <c r="E1148" t="s">
        <v>1140</v>
      </c>
    </row>
    <row r="1149" spans="1:5">
      <c r="A1149">
        <f>HYPERLINK("http://www.twitter.com/nycoem/status/685552904212721664", "685552904212721664")</f>
        <v>0</v>
      </c>
      <c r="B1149" s="2">
        <v>42377.8370717593</v>
      </c>
      <c r="C1149">
        <v>2</v>
      </c>
      <c r="D1149">
        <v>10</v>
      </c>
      <c r="E1149" t="s">
        <v>1141</v>
      </c>
    </row>
    <row r="1150" spans="1:5">
      <c r="A1150">
        <f>HYPERLINK("http://www.twitter.com/nycoem/status/685508875328602112", "685508875328602112")</f>
        <v>0</v>
      </c>
      <c r="B1150" s="2">
        <v>42377.7155787037</v>
      </c>
      <c r="C1150">
        <v>0</v>
      </c>
      <c r="D1150">
        <v>1</v>
      </c>
      <c r="E1150" t="s">
        <v>1142</v>
      </c>
    </row>
    <row r="1151" spans="1:5">
      <c r="A1151">
        <f>HYPERLINK("http://www.twitter.com/nycoem/status/685448324351016960", "685448324351016960")</f>
        <v>0</v>
      </c>
      <c r="B1151" s="2">
        <v>42377.5484953704</v>
      </c>
      <c r="C1151">
        <v>0</v>
      </c>
      <c r="D1151">
        <v>6</v>
      </c>
      <c r="E1151" t="s">
        <v>1143</v>
      </c>
    </row>
    <row r="1152" spans="1:5">
      <c r="A1152">
        <f>HYPERLINK("http://www.twitter.com/nycoem/status/685147057934458881", "685147057934458881")</f>
        <v>0</v>
      </c>
      <c r="B1152" s="2">
        <v>42376.7171527778</v>
      </c>
      <c r="C1152">
        <v>2</v>
      </c>
      <c r="D1152">
        <v>4</v>
      </c>
      <c r="E1152" t="s">
        <v>1144</v>
      </c>
    </row>
    <row r="1153" spans="1:5">
      <c r="A1153">
        <f>HYPERLINK("http://www.twitter.com/nycoem/status/685146497093124096", "685146497093124096")</f>
        <v>0</v>
      </c>
      <c r="B1153" s="2">
        <v>42376.7156018519</v>
      </c>
      <c r="C1153">
        <v>1</v>
      </c>
      <c r="D1153">
        <v>3</v>
      </c>
      <c r="E1153" t="s">
        <v>1145</v>
      </c>
    </row>
    <row r="1154" spans="1:5">
      <c r="A1154">
        <f>HYPERLINK("http://www.twitter.com/nycoem/status/685099854490656768", "685099854490656768")</f>
        <v>0</v>
      </c>
      <c r="B1154" s="2">
        <v>42376.5868981481</v>
      </c>
      <c r="C1154">
        <v>0</v>
      </c>
      <c r="D1154">
        <v>0</v>
      </c>
      <c r="E1154" t="s">
        <v>1146</v>
      </c>
    </row>
    <row r="1155" spans="1:5">
      <c r="A1155">
        <f>HYPERLINK("http://www.twitter.com/nycoem/status/684832857592823809", "684832857592823809")</f>
        <v>0</v>
      </c>
      <c r="B1155" s="2">
        <v>42375.8501273148</v>
      </c>
      <c r="C1155">
        <v>0</v>
      </c>
      <c r="D1155">
        <v>10</v>
      </c>
      <c r="E1155" t="s">
        <v>1147</v>
      </c>
    </row>
    <row r="1156" spans="1:5">
      <c r="A1156">
        <f>HYPERLINK("http://www.twitter.com/nycoem/status/684817013047472128", "684817013047472128")</f>
        <v>0</v>
      </c>
      <c r="B1156" s="2">
        <v>42375.806400463</v>
      </c>
      <c r="C1156">
        <v>0</v>
      </c>
      <c r="D1156">
        <v>10</v>
      </c>
      <c r="E1156" t="s">
        <v>1148</v>
      </c>
    </row>
    <row r="1157" spans="1:5">
      <c r="A1157">
        <f>HYPERLINK("http://www.twitter.com/nycoem/status/684780307699134464", "684780307699134464")</f>
        <v>0</v>
      </c>
      <c r="B1157" s="2">
        <v>42375.7051157407</v>
      </c>
      <c r="C1157">
        <v>4</v>
      </c>
      <c r="D1157">
        <v>9</v>
      </c>
      <c r="E1157" t="s">
        <v>1149</v>
      </c>
    </row>
    <row r="1158" spans="1:5">
      <c r="A1158">
        <f>HYPERLINK("http://www.twitter.com/nycoem/status/684780191189712896", "684780191189712896")</f>
        <v>0</v>
      </c>
      <c r="B1158" s="2">
        <v>42375.7047916667</v>
      </c>
      <c r="C1158">
        <v>0</v>
      </c>
      <c r="D1158">
        <v>47</v>
      </c>
      <c r="E1158" t="s">
        <v>1150</v>
      </c>
    </row>
    <row r="1159" spans="1:5">
      <c r="A1159">
        <f>HYPERLINK("http://www.twitter.com/nycoem/status/684754025456230401", "684754025456230401")</f>
        <v>0</v>
      </c>
      <c r="B1159" s="2">
        <v>42375.6325925926</v>
      </c>
      <c r="C1159">
        <v>1</v>
      </c>
      <c r="D1159">
        <v>6</v>
      </c>
      <c r="E1159" t="s">
        <v>1151</v>
      </c>
    </row>
    <row r="1160" spans="1:5">
      <c r="A1160">
        <f>HYPERLINK("http://www.twitter.com/nycoem/status/684482079858520064", "684482079858520064")</f>
        <v>0</v>
      </c>
      <c r="B1160" s="2">
        <v>42374.8821643519</v>
      </c>
      <c r="C1160">
        <v>0</v>
      </c>
      <c r="D1160">
        <v>14</v>
      </c>
      <c r="E1160" t="s">
        <v>1152</v>
      </c>
    </row>
    <row r="1161" spans="1:5">
      <c r="A1161">
        <f>HYPERLINK("http://www.twitter.com/nycoem/status/684475707389513728", "684475707389513728")</f>
        <v>0</v>
      </c>
      <c r="B1161" s="2">
        <v>42374.8645833333</v>
      </c>
      <c r="C1161">
        <v>0</v>
      </c>
      <c r="D1161">
        <v>8</v>
      </c>
      <c r="E1161" t="s">
        <v>1153</v>
      </c>
    </row>
    <row r="1162" spans="1:5">
      <c r="A1162">
        <f>HYPERLINK("http://www.twitter.com/nycoem/status/684460722307379201", "684460722307379201")</f>
        <v>0</v>
      </c>
      <c r="B1162" s="2">
        <v>42374.8232291667</v>
      </c>
      <c r="C1162">
        <v>0</v>
      </c>
      <c r="D1162">
        <v>0</v>
      </c>
      <c r="E1162" t="s">
        <v>1154</v>
      </c>
    </row>
    <row r="1163" spans="1:5">
      <c r="A1163">
        <f>HYPERLINK("http://www.twitter.com/nycoem/status/684415416765157376", "684415416765157376")</f>
        <v>0</v>
      </c>
      <c r="B1163" s="2">
        <v>42374.6982060185</v>
      </c>
      <c r="C1163">
        <v>4</v>
      </c>
      <c r="D1163">
        <v>6</v>
      </c>
      <c r="E1163" t="s">
        <v>1155</v>
      </c>
    </row>
    <row r="1164" spans="1:5">
      <c r="A1164">
        <f>HYPERLINK("http://www.twitter.com/nycoem/status/684397741733208064", "684397741733208064")</f>
        <v>0</v>
      </c>
      <c r="B1164" s="2">
        <v>42374.6494328704</v>
      </c>
      <c r="C1164">
        <v>2</v>
      </c>
      <c r="D1164">
        <v>10</v>
      </c>
      <c r="E1164" t="s">
        <v>1156</v>
      </c>
    </row>
    <row r="1165" spans="1:5">
      <c r="A1165">
        <f>HYPERLINK("http://www.twitter.com/nycoem/status/684391482502057985", "684391482502057985")</f>
        <v>0</v>
      </c>
      <c r="B1165" s="2">
        <v>42374.6321643519</v>
      </c>
      <c r="C1165">
        <v>2</v>
      </c>
      <c r="D1165">
        <v>3</v>
      </c>
      <c r="E1165" t="s">
        <v>1157</v>
      </c>
    </row>
    <row r="1166" spans="1:5">
      <c r="A1166">
        <f>HYPERLINK("http://www.twitter.com/nycoem/status/684385145210695680", "684385145210695680")</f>
        <v>0</v>
      </c>
      <c r="B1166" s="2">
        <v>42374.6146759259</v>
      </c>
      <c r="C1166">
        <v>1</v>
      </c>
      <c r="D1166">
        <v>5</v>
      </c>
      <c r="E1166" t="s">
        <v>1158</v>
      </c>
    </row>
    <row r="1167" spans="1:5">
      <c r="A1167">
        <f>HYPERLINK("http://www.twitter.com/nycoem/status/684373905293885440", "684373905293885440")</f>
        <v>0</v>
      </c>
      <c r="B1167" s="2">
        <v>42374.5836574074</v>
      </c>
      <c r="C1167">
        <v>4</v>
      </c>
      <c r="D1167">
        <v>9</v>
      </c>
      <c r="E1167" t="s">
        <v>1159</v>
      </c>
    </row>
    <row r="1168" spans="1:5">
      <c r="A1168">
        <f>HYPERLINK("http://www.twitter.com/nycoem/status/684352564842868736", "684352564842868736")</f>
        <v>0</v>
      </c>
      <c r="B1168" s="2">
        <v>42374.5247685185</v>
      </c>
      <c r="C1168">
        <v>0</v>
      </c>
      <c r="D1168">
        <v>12</v>
      </c>
      <c r="E1168" t="s">
        <v>1160</v>
      </c>
    </row>
    <row r="1169" spans="1:5">
      <c r="A1169">
        <f>HYPERLINK("http://www.twitter.com/nycoem/status/684105108519534592", "684105108519534592")</f>
        <v>0</v>
      </c>
      <c r="B1169" s="2">
        <v>42373.8419212963</v>
      </c>
      <c r="C1169">
        <v>0</v>
      </c>
      <c r="D1169">
        <v>9</v>
      </c>
      <c r="E1169" t="s">
        <v>1161</v>
      </c>
    </row>
    <row r="1170" spans="1:5">
      <c r="A1170">
        <f>HYPERLINK("http://www.twitter.com/nycoem/status/684056817689845760", "684056817689845760")</f>
        <v>0</v>
      </c>
      <c r="B1170" s="2">
        <v>42373.7086689815</v>
      </c>
      <c r="C1170">
        <v>0</v>
      </c>
      <c r="D1170">
        <v>58</v>
      </c>
      <c r="E1170" t="s">
        <v>1162</v>
      </c>
    </row>
    <row r="1171" spans="1:5">
      <c r="A1171">
        <f>HYPERLINK("http://www.twitter.com/nycoem/status/684053030334021632", "684053030334021632")</f>
        <v>0</v>
      </c>
      <c r="B1171" s="2">
        <v>42373.6982175926</v>
      </c>
      <c r="C1171">
        <v>4</v>
      </c>
      <c r="D1171">
        <v>7</v>
      </c>
      <c r="E1171" t="s">
        <v>1163</v>
      </c>
    </row>
    <row r="1172" spans="1:5">
      <c r="A1172">
        <f>HYPERLINK("http://www.twitter.com/nycoem/status/684019165007593472", "684019165007593472")</f>
        <v>0</v>
      </c>
      <c r="B1172" s="2">
        <v>42373.6047685185</v>
      </c>
      <c r="C1172">
        <v>9</v>
      </c>
      <c r="D1172">
        <v>4</v>
      </c>
      <c r="E1172" t="s">
        <v>1164</v>
      </c>
    </row>
    <row r="1173" spans="1:5">
      <c r="A1173">
        <f>HYPERLINK("http://www.twitter.com/nycoem/status/683990652997255168", "683990652997255168")</f>
        <v>0</v>
      </c>
      <c r="B1173" s="2">
        <v>42373.526087963</v>
      </c>
      <c r="C1173">
        <v>0</v>
      </c>
      <c r="D1173">
        <v>6</v>
      </c>
      <c r="E1173" t="s">
        <v>1165</v>
      </c>
    </row>
    <row r="1174" spans="1:5">
      <c r="A1174">
        <f>HYPERLINK("http://www.twitter.com/nycoem/status/682993507720630274", "682993507720630274")</f>
        <v>0</v>
      </c>
      <c r="B1174" s="2">
        <v>42370.7744907407</v>
      </c>
      <c r="C1174">
        <v>3</v>
      </c>
      <c r="D1174">
        <v>5</v>
      </c>
      <c r="E1174" t="s">
        <v>1166</v>
      </c>
    </row>
    <row r="1175" spans="1:5">
      <c r="A1175">
        <f>HYPERLINK("http://www.twitter.com/nycoem/status/682788464924979200", "682788464924979200")</f>
        <v>0</v>
      </c>
      <c r="B1175" s="2">
        <v>42370.2086805556</v>
      </c>
      <c r="C1175">
        <v>10</v>
      </c>
      <c r="D1175">
        <v>9</v>
      </c>
      <c r="E1175" t="s">
        <v>1167</v>
      </c>
    </row>
    <row r="1176" spans="1:5">
      <c r="A1176">
        <f>HYPERLINK("http://www.twitter.com/nycoem/status/682659917266812928", "682659917266812928")</f>
        <v>0</v>
      </c>
      <c r="B1176" s="2">
        <v>42369.8539583333</v>
      </c>
      <c r="C1176">
        <v>0</v>
      </c>
      <c r="D1176">
        <v>9</v>
      </c>
      <c r="E1176" t="s">
        <v>1168</v>
      </c>
    </row>
    <row r="1177" spans="1:5">
      <c r="A1177">
        <f>HYPERLINK("http://www.twitter.com/nycoem/status/682635297130196996", "682635297130196996")</f>
        <v>0</v>
      </c>
      <c r="B1177" s="2">
        <v>42369.7860185185</v>
      </c>
      <c r="C1177">
        <v>0</v>
      </c>
      <c r="D1177">
        <v>37</v>
      </c>
      <c r="E1177" t="s">
        <v>1169</v>
      </c>
    </row>
    <row r="1178" spans="1:5">
      <c r="A1178">
        <f>HYPERLINK("http://www.twitter.com/nycoem/status/682369667021799425", "682369667021799425")</f>
        <v>0</v>
      </c>
      <c r="B1178" s="2">
        <v>42369.0530208333</v>
      </c>
      <c r="C1178">
        <v>0</v>
      </c>
      <c r="D1178">
        <v>29</v>
      </c>
      <c r="E1178" t="s">
        <v>1170</v>
      </c>
    </row>
    <row r="1179" spans="1:5">
      <c r="A1179">
        <f>HYPERLINK("http://www.twitter.com/nycoem/status/682369651637129217", "682369651637129217")</f>
        <v>0</v>
      </c>
      <c r="B1179" s="2">
        <v>42369.052974537</v>
      </c>
      <c r="C1179">
        <v>0</v>
      </c>
      <c r="D1179">
        <v>25</v>
      </c>
      <c r="E1179" t="s">
        <v>1171</v>
      </c>
    </row>
    <row r="1180" spans="1:5">
      <c r="A1180">
        <f>HYPERLINK("http://www.twitter.com/nycoem/status/682369643223334914", "682369643223334914")</f>
        <v>0</v>
      </c>
      <c r="B1180" s="2">
        <v>42369.0529513889</v>
      </c>
      <c r="C1180">
        <v>0</v>
      </c>
      <c r="D1180">
        <v>36</v>
      </c>
      <c r="E1180" t="s">
        <v>1172</v>
      </c>
    </row>
    <row r="1181" spans="1:5">
      <c r="A1181">
        <f>HYPERLINK("http://www.twitter.com/nycoem/status/682242314119569409", "682242314119569409")</f>
        <v>0</v>
      </c>
      <c r="B1181" s="2">
        <v>42368.7015856481</v>
      </c>
      <c r="C1181">
        <v>2</v>
      </c>
      <c r="D1181">
        <v>8</v>
      </c>
      <c r="E1181" t="s">
        <v>1173</v>
      </c>
    </row>
    <row r="1182" spans="1:5">
      <c r="A1182">
        <f>HYPERLINK("http://www.twitter.com/nycoem/status/681971764327481348", "681971764327481348")</f>
        <v>0</v>
      </c>
      <c r="B1182" s="2">
        <v>42367.9550115741</v>
      </c>
      <c r="C1182">
        <v>1</v>
      </c>
      <c r="D1182">
        <v>0</v>
      </c>
      <c r="E1182" t="s">
        <v>1174</v>
      </c>
    </row>
    <row r="1183" spans="1:5">
      <c r="A1183">
        <f>HYPERLINK("http://www.twitter.com/nycoem/status/681926513311281153", "681926513311281153")</f>
        <v>0</v>
      </c>
      <c r="B1183" s="2">
        <v>42367.830150463</v>
      </c>
      <c r="C1183">
        <v>1</v>
      </c>
      <c r="D1183">
        <v>6</v>
      </c>
      <c r="E1183" t="s">
        <v>1175</v>
      </c>
    </row>
    <row r="1184" spans="1:5">
      <c r="A1184">
        <f>HYPERLINK("http://www.twitter.com/nycoem/status/681880038506127360", "681880038506127360")</f>
        <v>0</v>
      </c>
      <c r="B1184" s="2">
        <v>42367.7018981481</v>
      </c>
      <c r="C1184">
        <v>0</v>
      </c>
      <c r="D1184">
        <v>4</v>
      </c>
      <c r="E1184" t="s">
        <v>1176</v>
      </c>
    </row>
    <row r="1185" spans="1:5">
      <c r="A1185">
        <f>HYPERLINK("http://www.twitter.com/nycoem/status/681835846912315393", "681835846912315393")</f>
        <v>0</v>
      </c>
      <c r="B1185" s="2">
        <v>42367.5799537037</v>
      </c>
      <c r="C1185">
        <v>3</v>
      </c>
      <c r="D1185">
        <v>8</v>
      </c>
      <c r="E1185" t="s">
        <v>1177</v>
      </c>
    </row>
    <row r="1186" spans="1:5">
      <c r="A1186">
        <f>HYPERLINK("http://www.twitter.com/nycoem/status/681613152887377920", "681613152887377920")</f>
        <v>0</v>
      </c>
      <c r="B1186" s="2">
        <v>42366.9654398148</v>
      </c>
      <c r="C1186">
        <v>3</v>
      </c>
      <c r="D1186">
        <v>2</v>
      </c>
      <c r="E1186" t="s">
        <v>1178</v>
      </c>
    </row>
    <row r="1187" spans="1:5">
      <c r="A1187">
        <f>HYPERLINK("http://www.twitter.com/nycoem/status/681517549364850689", "681517549364850689")</f>
        <v>0</v>
      </c>
      <c r="B1187" s="2">
        <v>42366.7016203704</v>
      </c>
      <c r="C1187">
        <v>1</v>
      </c>
      <c r="D1187">
        <v>8</v>
      </c>
      <c r="E1187" t="s">
        <v>1179</v>
      </c>
    </row>
    <row r="1188" spans="1:5">
      <c r="A1188">
        <f>HYPERLINK("http://www.twitter.com/nycoem/status/681514104985665536", "681514104985665536")</f>
        <v>0</v>
      </c>
      <c r="B1188" s="2">
        <v>42366.6921180556</v>
      </c>
      <c r="C1188">
        <v>0</v>
      </c>
      <c r="D1188">
        <v>49</v>
      </c>
      <c r="E1188" t="s">
        <v>1180</v>
      </c>
    </row>
    <row r="1189" spans="1:5">
      <c r="A1189">
        <f>HYPERLINK("http://www.twitter.com/nycoem/status/681502418920669184", "681502418920669184")</f>
        <v>0</v>
      </c>
      <c r="B1189" s="2">
        <v>42366.6598726852</v>
      </c>
      <c r="C1189">
        <v>12</v>
      </c>
      <c r="D1189">
        <v>7</v>
      </c>
      <c r="E1189" t="s">
        <v>1181</v>
      </c>
    </row>
    <row r="1190" spans="1:5">
      <c r="A1190">
        <f>HYPERLINK("http://www.twitter.com/nycoem/status/681200460468994048", "681200460468994048")</f>
        <v>0</v>
      </c>
      <c r="B1190" s="2">
        <v>42365.8266203704</v>
      </c>
      <c r="C1190">
        <v>0</v>
      </c>
      <c r="D1190">
        <v>26</v>
      </c>
      <c r="E1190" t="s">
        <v>1182</v>
      </c>
    </row>
    <row r="1191" spans="1:5">
      <c r="A1191">
        <f>HYPERLINK("http://www.twitter.com/nycoem/status/680804191707774976", "680804191707774976")</f>
        <v>0</v>
      </c>
      <c r="B1191" s="2">
        <v>42364.733125</v>
      </c>
      <c r="C1191">
        <v>0</v>
      </c>
      <c r="D1191">
        <v>4</v>
      </c>
      <c r="E1191" t="s">
        <v>1183</v>
      </c>
    </row>
    <row r="1192" spans="1:5">
      <c r="A1192">
        <f>HYPERLINK("http://www.twitter.com/nycoem/status/680388860531097600", "680388860531097600")</f>
        <v>0</v>
      </c>
      <c r="B1192" s="2">
        <v>42363.587037037</v>
      </c>
      <c r="C1192">
        <v>16</v>
      </c>
      <c r="D1192">
        <v>10</v>
      </c>
      <c r="E1192" t="s">
        <v>1184</v>
      </c>
    </row>
    <row r="1193" spans="1:5">
      <c r="A1193">
        <f>HYPERLINK("http://www.twitter.com/nycoem/status/680074270236618752", "680074270236618752")</f>
        <v>0</v>
      </c>
      <c r="B1193" s="2">
        <v>42362.7189236111</v>
      </c>
      <c r="C1193">
        <v>0</v>
      </c>
      <c r="D1193">
        <v>3</v>
      </c>
      <c r="E1193" t="s">
        <v>1185</v>
      </c>
    </row>
    <row r="1194" spans="1:5">
      <c r="A1194">
        <f>HYPERLINK("http://www.twitter.com/nycoem/status/680065716641464320", "680065716641464320")</f>
        <v>0</v>
      </c>
      <c r="B1194" s="2">
        <v>42362.6953240741</v>
      </c>
      <c r="C1194">
        <v>0</v>
      </c>
      <c r="D1194">
        <v>5</v>
      </c>
      <c r="E1194" t="s">
        <v>1186</v>
      </c>
    </row>
    <row r="1195" spans="1:5">
      <c r="A1195">
        <f>HYPERLINK("http://www.twitter.com/nycoem/status/680058196447391744", "680058196447391744")</f>
        <v>0</v>
      </c>
      <c r="B1195" s="2">
        <v>42362.6745717593</v>
      </c>
      <c r="C1195">
        <v>0</v>
      </c>
      <c r="D1195">
        <v>12</v>
      </c>
      <c r="E1195" t="s">
        <v>1187</v>
      </c>
    </row>
    <row r="1196" spans="1:5">
      <c r="A1196">
        <f>HYPERLINK("http://www.twitter.com/nycoem/status/680040137837940736", "680040137837940736")</f>
        <v>0</v>
      </c>
      <c r="B1196" s="2">
        <v>42362.6247453704</v>
      </c>
      <c r="C1196">
        <v>0</v>
      </c>
      <c r="D1196">
        <v>33</v>
      </c>
      <c r="E1196" t="s">
        <v>1188</v>
      </c>
    </row>
    <row r="1197" spans="1:5">
      <c r="A1197">
        <f>HYPERLINK("http://www.twitter.com/nycoem/status/679794944337383426", "679794944337383426")</f>
        <v>0</v>
      </c>
      <c r="B1197" s="2">
        <v>42361.9481365741</v>
      </c>
      <c r="C1197">
        <v>1</v>
      </c>
      <c r="D1197">
        <v>2</v>
      </c>
      <c r="E1197" t="s">
        <v>1189</v>
      </c>
    </row>
    <row r="1198" spans="1:5">
      <c r="A1198">
        <f>HYPERLINK("http://www.twitter.com/nycoem/status/679749631790714880", "679749631790714880")</f>
        <v>0</v>
      </c>
      <c r="B1198" s="2">
        <v>42361.8231018518</v>
      </c>
      <c r="C1198">
        <v>2</v>
      </c>
      <c r="D1198">
        <v>6</v>
      </c>
      <c r="E1198" t="s">
        <v>1190</v>
      </c>
    </row>
    <row r="1199" spans="1:5">
      <c r="A1199">
        <f>HYPERLINK("http://www.twitter.com/nycoem/status/679694692104192001", "679694692104192001")</f>
        <v>0</v>
      </c>
      <c r="B1199" s="2">
        <v>42361.6714930556</v>
      </c>
      <c r="C1199">
        <v>0</v>
      </c>
      <c r="D1199">
        <v>30</v>
      </c>
      <c r="E1199" t="s">
        <v>1191</v>
      </c>
    </row>
    <row r="1200" spans="1:5">
      <c r="A1200">
        <f>HYPERLINK("http://www.twitter.com/nycoem/status/679674008934154242", "679674008934154242")</f>
        <v>0</v>
      </c>
      <c r="B1200" s="2">
        <v>42361.6144212963</v>
      </c>
      <c r="C1200">
        <v>0</v>
      </c>
      <c r="D1200">
        <v>14</v>
      </c>
      <c r="E1200" t="s">
        <v>1192</v>
      </c>
    </row>
    <row r="1201" spans="1:5">
      <c r="A1201">
        <f>HYPERLINK("http://www.twitter.com/nycoem/status/679447621111517184", "679447621111517184")</f>
        <v>0</v>
      </c>
      <c r="B1201" s="2">
        <v>42360.9897106482</v>
      </c>
      <c r="C1201">
        <v>1</v>
      </c>
      <c r="D1201">
        <v>2</v>
      </c>
      <c r="E1201" t="s">
        <v>1193</v>
      </c>
    </row>
    <row r="1202" spans="1:5">
      <c r="A1202">
        <f>HYPERLINK("http://www.twitter.com/nycoem/status/679432548280324096", "679432548280324096")</f>
        <v>0</v>
      </c>
      <c r="B1202" s="2">
        <v>42360.9481134259</v>
      </c>
      <c r="C1202">
        <v>1</v>
      </c>
      <c r="D1202">
        <v>3</v>
      </c>
      <c r="E1202" t="s">
        <v>1194</v>
      </c>
    </row>
    <row r="1203" spans="1:5">
      <c r="A1203">
        <f>HYPERLINK("http://www.twitter.com/nycoem/status/679417478867525632", "679417478867525632")</f>
        <v>0</v>
      </c>
      <c r="B1203" s="2">
        <v>42360.9065277778</v>
      </c>
      <c r="C1203">
        <v>3</v>
      </c>
      <c r="D1203">
        <v>0</v>
      </c>
      <c r="E1203" t="s">
        <v>1195</v>
      </c>
    </row>
    <row r="1204" spans="1:5">
      <c r="A1204">
        <f>HYPERLINK("http://www.twitter.com/nycoem/status/679387286920962049", "679387286920962049")</f>
        <v>0</v>
      </c>
      <c r="B1204" s="2">
        <v>42360.8232175926</v>
      </c>
      <c r="C1204">
        <v>40</v>
      </c>
      <c r="D1204">
        <v>57</v>
      </c>
      <c r="E1204" t="s">
        <v>1196</v>
      </c>
    </row>
    <row r="1205" spans="1:5">
      <c r="A1205">
        <f>HYPERLINK("http://www.twitter.com/nycoem/status/679348267927359488", "679348267927359488")</f>
        <v>0</v>
      </c>
      <c r="B1205" s="2">
        <v>42360.7155439815</v>
      </c>
      <c r="C1205">
        <v>0</v>
      </c>
      <c r="D1205">
        <v>0</v>
      </c>
      <c r="E1205" t="s">
        <v>1197</v>
      </c>
    </row>
    <row r="1206" spans="1:5">
      <c r="A1206">
        <f>HYPERLINK("http://www.twitter.com/nycoem/status/679074204994662401", "679074204994662401")</f>
        <v>0</v>
      </c>
      <c r="B1206" s="2">
        <v>42359.9592708333</v>
      </c>
      <c r="C1206">
        <v>2</v>
      </c>
      <c r="D1206">
        <v>0</v>
      </c>
      <c r="E1206" t="s">
        <v>1198</v>
      </c>
    </row>
    <row r="1207" spans="1:5">
      <c r="A1207">
        <f>HYPERLINK("http://www.twitter.com/nycoem/status/679031664077574144", "679031664077574144")</f>
        <v>0</v>
      </c>
      <c r="B1207" s="2">
        <v>42359.8418865741</v>
      </c>
      <c r="C1207">
        <v>0</v>
      </c>
      <c r="D1207">
        <v>8</v>
      </c>
      <c r="E1207" t="s">
        <v>1199</v>
      </c>
    </row>
    <row r="1208" spans="1:5">
      <c r="A1208">
        <f>HYPERLINK("http://www.twitter.com/nycoem/status/679027391109419008", "679027391109419008")</f>
        <v>0</v>
      </c>
      <c r="B1208" s="2">
        <v>42359.8300925926</v>
      </c>
      <c r="C1208">
        <v>1</v>
      </c>
      <c r="D1208">
        <v>1</v>
      </c>
      <c r="E1208" t="s">
        <v>1200</v>
      </c>
    </row>
    <row r="1209" spans="1:5">
      <c r="A1209">
        <f>HYPERLINK("http://www.twitter.com/nycoem/status/679020772879388672", "679020772879388672")</f>
        <v>0</v>
      </c>
      <c r="B1209" s="2">
        <v>42359.8118287037</v>
      </c>
      <c r="C1209">
        <v>0</v>
      </c>
      <c r="D1209">
        <v>32</v>
      </c>
      <c r="E1209" t="s">
        <v>1201</v>
      </c>
    </row>
    <row r="1210" spans="1:5">
      <c r="A1210">
        <f>HYPERLINK("http://www.twitter.com/nycoem/status/678984650149220352", "678984650149220352")</f>
        <v>0</v>
      </c>
      <c r="B1210" s="2">
        <v>42359.7121527778</v>
      </c>
      <c r="C1210">
        <v>6</v>
      </c>
      <c r="D1210">
        <v>11</v>
      </c>
      <c r="E1210" t="s">
        <v>1202</v>
      </c>
    </row>
    <row r="1211" spans="1:5">
      <c r="A1211">
        <f>HYPERLINK("http://www.twitter.com/nycoem/status/678964041218465792", "678964041218465792")</f>
        <v>0</v>
      </c>
      <c r="B1211" s="2">
        <v>42359.6552777778</v>
      </c>
      <c r="C1211">
        <v>0</v>
      </c>
      <c r="D1211">
        <v>24</v>
      </c>
      <c r="E1211" t="s">
        <v>1203</v>
      </c>
    </row>
    <row r="1212" spans="1:5">
      <c r="A1212">
        <f>HYPERLINK("http://www.twitter.com/nycoem/status/678311561119834112", "678311561119834112")</f>
        <v>0</v>
      </c>
      <c r="B1212" s="2">
        <v>42357.8547800926</v>
      </c>
      <c r="C1212">
        <v>1</v>
      </c>
      <c r="D1212">
        <v>2</v>
      </c>
      <c r="E1212" t="s">
        <v>1204</v>
      </c>
    </row>
    <row r="1213" spans="1:5">
      <c r="A1213">
        <f>HYPERLINK("http://www.twitter.com/nycoem/status/677944027082305536", "677944027082305536")</f>
        <v>0</v>
      </c>
      <c r="B1213" s="2">
        <v>42356.8405787037</v>
      </c>
      <c r="C1213">
        <v>2</v>
      </c>
      <c r="D1213">
        <v>4</v>
      </c>
      <c r="E1213" t="s">
        <v>1205</v>
      </c>
    </row>
    <row r="1214" spans="1:5">
      <c r="A1214">
        <f>HYPERLINK("http://www.twitter.com/nycoem/status/677894927116836864", "677894927116836864")</f>
        <v>0</v>
      </c>
      <c r="B1214" s="2">
        <v>42356.7050810185</v>
      </c>
      <c r="C1214">
        <v>3</v>
      </c>
      <c r="D1214">
        <v>7</v>
      </c>
      <c r="E1214" t="s">
        <v>1206</v>
      </c>
    </row>
    <row r="1215" spans="1:5">
      <c r="A1215">
        <f>HYPERLINK("http://www.twitter.com/nycoem/status/677669436418039808", "677669436418039808")</f>
        <v>0</v>
      </c>
      <c r="B1215" s="2">
        <v>42356.0828472222</v>
      </c>
      <c r="C1215">
        <v>0</v>
      </c>
      <c r="D1215">
        <v>12</v>
      </c>
      <c r="E1215" t="s">
        <v>1207</v>
      </c>
    </row>
    <row r="1216" spans="1:5">
      <c r="A1216">
        <f>HYPERLINK("http://www.twitter.com/nycoem/status/677553100853506048", "677553100853506048")</f>
        <v>0</v>
      </c>
      <c r="B1216" s="2">
        <v>42355.7618287037</v>
      </c>
      <c r="C1216">
        <v>0</v>
      </c>
      <c r="D1216">
        <v>5</v>
      </c>
      <c r="E1216" t="s">
        <v>1208</v>
      </c>
    </row>
    <row r="1217" spans="1:5">
      <c r="A1217">
        <f>HYPERLINK("http://www.twitter.com/nycoem/status/677542211614023681", "677542211614023681")</f>
        <v>0</v>
      </c>
      <c r="B1217" s="2">
        <v>42355.7317824074</v>
      </c>
      <c r="C1217">
        <v>0</v>
      </c>
      <c r="D1217">
        <v>4</v>
      </c>
      <c r="E1217" t="s">
        <v>1209</v>
      </c>
    </row>
    <row r="1218" spans="1:5">
      <c r="A1218">
        <f>HYPERLINK("http://www.twitter.com/nycoem/status/677308890657267715", "677308890657267715")</f>
        <v>0</v>
      </c>
      <c r="B1218" s="2">
        <v>42355.0879282407</v>
      </c>
      <c r="C1218">
        <v>8</v>
      </c>
      <c r="D1218">
        <v>3</v>
      </c>
      <c r="E1218" t="s">
        <v>1210</v>
      </c>
    </row>
    <row r="1219" spans="1:5">
      <c r="A1219">
        <f>HYPERLINK("http://www.twitter.com/nycoem/status/677217953398566912", "677217953398566912")</f>
        <v>0</v>
      </c>
      <c r="B1219" s="2">
        <v>42354.8369907407</v>
      </c>
      <c r="C1219">
        <v>5</v>
      </c>
      <c r="D1219">
        <v>8</v>
      </c>
      <c r="E1219" t="s">
        <v>1211</v>
      </c>
    </row>
    <row r="1220" spans="1:5">
      <c r="A1220">
        <f>HYPERLINK("http://www.twitter.com/nycoem/status/677175164350676992", "677175164350676992")</f>
        <v>0</v>
      </c>
      <c r="B1220" s="2">
        <v>42354.7189236111</v>
      </c>
      <c r="C1220">
        <v>4</v>
      </c>
      <c r="D1220">
        <v>5</v>
      </c>
      <c r="E1220" t="s">
        <v>1212</v>
      </c>
    </row>
    <row r="1221" spans="1:5">
      <c r="A1221">
        <f>HYPERLINK("http://www.twitter.com/nycoem/status/676861027749896193", "676861027749896193")</f>
        <v>0</v>
      </c>
      <c r="B1221" s="2">
        <v>42353.8520717593</v>
      </c>
      <c r="C1221">
        <v>0</v>
      </c>
      <c r="D1221">
        <v>9</v>
      </c>
      <c r="E1221" t="s">
        <v>1213</v>
      </c>
    </row>
    <row r="1222" spans="1:5">
      <c r="A1222">
        <f>HYPERLINK("http://www.twitter.com/nycoem/status/676817642473304064", "676817642473304064")</f>
        <v>0</v>
      </c>
      <c r="B1222" s="2">
        <v>42353.732349537</v>
      </c>
      <c r="C1222">
        <v>1</v>
      </c>
      <c r="D1222">
        <v>1</v>
      </c>
      <c r="E1222" t="s">
        <v>1214</v>
      </c>
    </row>
    <row r="1223" spans="1:5">
      <c r="A1223">
        <f>HYPERLINK("http://www.twitter.com/nycoem/status/676805299819425792", "676805299819425792")</f>
        <v>0</v>
      </c>
      <c r="B1223" s="2">
        <v>42353.698287037</v>
      </c>
      <c r="C1223">
        <v>5</v>
      </c>
      <c r="D1223">
        <v>4</v>
      </c>
      <c r="E1223" t="s">
        <v>1215</v>
      </c>
    </row>
    <row r="1224" spans="1:5">
      <c r="A1224">
        <f>HYPERLINK("http://www.twitter.com/nycoem/status/676776467569762304", "676776467569762304")</f>
        <v>0</v>
      </c>
      <c r="B1224" s="2">
        <v>42353.6187268519</v>
      </c>
      <c r="C1224">
        <v>1</v>
      </c>
      <c r="D1224">
        <v>1</v>
      </c>
      <c r="E1224" t="s">
        <v>1216</v>
      </c>
    </row>
    <row r="1225" spans="1:5">
      <c r="A1225">
        <f>HYPERLINK("http://www.twitter.com/nycoem/status/676766528054951937", "676766528054951937")</f>
        <v>0</v>
      </c>
      <c r="B1225" s="2">
        <v>42353.5912962963</v>
      </c>
      <c r="C1225">
        <v>2</v>
      </c>
      <c r="D1225">
        <v>1</v>
      </c>
      <c r="E1225" t="s">
        <v>1217</v>
      </c>
    </row>
    <row r="1226" spans="1:5">
      <c r="A1226">
        <f>HYPERLINK("http://www.twitter.com/nycoem/status/676766518806491137", "676766518806491137")</f>
        <v>0</v>
      </c>
      <c r="B1226" s="2">
        <v>42353.5912731482</v>
      </c>
      <c r="C1226">
        <v>1</v>
      </c>
      <c r="D1226">
        <v>0</v>
      </c>
      <c r="E1226" t="s">
        <v>1218</v>
      </c>
    </row>
    <row r="1227" spans="1:5">
      <c r="A1227">
        <f>HYPERLINK("http://www.twitter.com/nycoem/status/676558950754557952", "676558950754557952")</f>
        <v>0</v>
      </c>
      <c r="B1227" s="2">
        <v>42353.0184953704</v>
      </c>
      <c r="C1227">
        <v>0</v>
      </c>
      <c r="D1227">
        <v>14</v>
      </c>
      <c r="E1227" t="s">
        <v>1219</v>
      </c>
    </row>
    <row r="1228" spans="1:5">
      <c r="A1228">
        <f>HYPERLINK("http://www.twitter.com/nycoem/status/676493242494513152", "676493242494513152")</f>
        <v>0</v>
      </c>
      <c r="B1228" s="2">
        <v>42352.8371759259</v>
      </c>
      <c r="C1228">
        <v>1</v>
      </c>
      <c r="D1228">
        <v>1</v>
      </c>
      <c r="E1228" t="s">
        <v>1220</v>
      </c>
    </row>
    <row r="1229" spans="1:5">
      <c r="A1229">
        <f>HYPERLINK("http://www.twitter.com/nycoem/status/676478273661071360", "676478273661071360")</f>
        <v>0</v>
      </c>
      <c r="B1229" s="2">
        <v>42352.7958680556</v>
      </c>
      <c r="C1229">
        <v>0</v>
      </c>
      <c r="D1229">
        <v>29</v>
      </c>
      <c r="E1229" t="s">
        <v>1221</v>
      </c>
    </row>
    <row r="1230" spans="1:5">
      <c r="A1230">
        <f>HYPERLINK("http://www.twitter.com/nycoem/status/676447903943139332", "676447903943139332")</f>
        <v>0</v>
      </c>
      <c r="B1230" s="2">
        <v>42352.7120601852</v>
      </c>
      <c r="C1230">
        <v>2</v>
      </c>
      <c r="D1230">
        <v>13</v>
      </c>
      <c r="E1230" t="s">
        <v>1222</v>
      </c>
    </row>
    <row r="1231" spans="1:5">
      <c r="A1231">
        <f>HYPERLINK("http://www.twitter.com/nycoem/status/676435290563694592", "676435290563694592")</f>
        <v>0</v>
      </c>
      <c r="B1231" s="2">
        <v>42352.6772569444</v>
      </c>
      <c r="C1231">
        <v>3</v>
      </c>
      <c r="D1231">
        <v>4</v>
      </c>
      <c r="E1231" t="s">
        <v>1223</v>
      </c>
    </row>
    <row r="1232" spans="1:5">
      <c r="A1232">
        <f>HYPERLINK("http://www.twitter.com/nycoem/status/676402937816612865", "676402937816612865")</f>
        <v>0</v>
      </c>
      <c r="B1232" s="2">
        <v>42352.587974537</v>
      </c>
      <c r="C1232">
        <v>2</v>
      </c>
      <c r="D1232">
        <v>1</v>
      </c>
      <c r="E1232" t="s">
        <v>1224</v>
      </c>
    </row>
    <row r="1233" spans="1:5">
      <c r="A1233">
        <f>HYPERLINK("http://www.twitter.com/nycoem/status/676382350780051456", "676382350780051456")</f>
        <v>0</v>
      </c>
      <c r="B1233" s="2">
        <v>42352.5311689815</v>
      </c>
      <c r="C1233">
        <v>0</v>
      </c>
      <c r="D1233">
        <v>8</v>
      </c>
      <c r="E1233" t="s">
        <v>1225</v>
      </c>
    </row>
    <row r="1234" spans="1:5">
      <c r="A1234">
        <f>HYPERLINK("http://www.twitter.com/nycoem/status/675436070796959744", "675436070796959744")</f>
        <v>0</v>
      </c>
      <c r="B1234" s="2">
        <v>42349.9199305556</v>
      </c>
      <c r="C1234">
        <v>2</v>
      </c>
      <c r="D1234">
        <v>0</v>
      </c>
      <c r="E1234" t="s">
        <v>1226</v>
      </c>
    </row>
    <row r="1235" spans="1:5">
      <c r="A1235">
        <f>HYPERLINK("http://www.twitter.com/nycoem/status/675406080109846528", "675406080109846528")</f>
        <v>0</v>
      </c>
      <c r="B1235" s="2">
        <v>42349.8371759259</v>
      </c>
      <c r="C1235">
        <v>1</v>
      </c>
      <c r="D1235">
        <v>3</v>
      </c>
      <c r="E1235" t="s">
        <v>1227</v>
      </c>
    </row>
    <row r="1236" spans="1:5">
      <c r="A1236">
        <f>HYPERLINK("http://www.twitter.com/nycoem/status/675356962767417344", "675356962767417344")</f>
        <v>0</v>
      </c>
      <c r="B1236" s="2">
        <v>42349.7016435185</v>
      </c>
      <c r="C1236">
        <v>10</v>
      </c>
      <c r="D1236">
        <v>13</v>
      </c>
      <c r="E1236" t="s">
        <v>1228</v>
      </c>
    </row>
    <row r="1237" spans="1:5">
      <c r="A1237">
        <f>HYPERLINK("http://www.twitter.com/nycoem/status/675342705078181888", "675342705078181888")</f>
        <v>0</v>
      </c>
      <c r="B1237" s="2">
        <v>42349.6622916667</v>
      </c>
      <c r="C1237">
        <v>0</v>
      </c>
      <c r="D1237">
        <v>7</v>
      </c>
      <c r="E1237" t="s">
        <v>1229</v>
      </c>
    </row>
    <row r="1238" spans="1:5">
      <c r="A1238">
        <f>HYPERLINK("http://www.twitter.com/nycoem/status/675059101697712128", "675059101697712128")</f>
        <v>0</v>
      </c>
      <c r="B1238" s="2">
        <v>42348.8796990741</v>
      </c>
      <c r="C1238">
        <v>0</v>
      </c>
      <c r="D1238">
        <v>37</v>
      </c>
      <c r="E1238" t="s">
        <v>1230</v>
      </c>
    </row>
    <row r="1239" spans="1:5">
      <c r="A1239">
        <f>HYPERLINK("http://www.twitter.com/nycoem/status/675044953060474881", "675044953060474881")</f>
        <v>0</v>
      </c>
      <c r="B1239" s="2">
        <v>42348.8406597222</v>
      </c>
      <c r="C1239">
        <v>1</v>
      </c>
      <c r="D1239">
        <v>0</v>
      </c>
      <c r="E1239" t="s">
        <v>1231</v>
      </c>
    </row>
    <row r="1240" spans="1:5">
      <c r="A1240">
        <f>HYPERLINK("http://www.twitter.com/nycoem/status/674999755806785536", "674999755806785536")</f>
        <v>0</v>
      </c>
      <c r="B1240" s="2">
        <v>42348.7159375</v>
      </c>
      <c r="C1240">
        <v>4</v>
      </c>
      <c r="D1240">
        <v>7</v>
      </c>
      <c r="E1240" t="s">
        <v>1232</v>
      </c>
    </row>
    <row r="1241" spans="1:5">
      <c r="A1241">
        <f>HYPERLINK("http://www.twitter.com/nycoem/status/674970649887154176", "674970649887154176")</f>
        <v>0</v>
      </c>
      <c r="B1241" s="2">
        <v>42348.6356134259</v>
      </c>
      <c r="C1241">
        <v>1</v>
      </c>
      <c r="D1241">
        <v>1</v>
      </c>
      <c r="E1241" t="s">
        <v>1233</v>
      </c>
    </row>
    <row r="1242" spans="1:5">
      <c r="A1242">
        <f>HYPERLINK("http://www.twitter.com/nycoem/status/674961937269194752", "674961937269194752")</f>
        <v>0</v>
      </c>
      <c r="B1242" s="2">
        <v>42348.6115740741</v>
      </c>
      <c r="C1242">
        <v>2</v>
      </c>
      <c r="D1242">
        <v>4</v>
      </c>
      <c r="E1242" t="s">
        <v>1234</v>
      </c>
    </row>
    <row r="1243" spans="1:5">
      <c r="A1243">
        <f>HYPERLINK("http://www.twitter.com/nycoem/status/674954412368994304", "674954412368994304")</f>
        <v>0</v>
      </c>
      <c r="B1243" s="2">
        <v>42348.5908101852</v>
      </c>
      <c r="C1243">
        <v>6</v>
      </c>
      <c r="D1243">
        <v>4</v>
      </c>
      <c r="E1243" t="s">
        <v>1235</v>
      </c>
    </row>
    <row r="1244" spans="1:5">
      <c r="A1244">
        <f>HYPERLINK("http://www.twitter.com/nycoem/status/674632187300433920", "674632187300433920")</f>
        <v>0</v>
      </c>
      <c r="B1244" s="2">
        <v>42347.7016435185</v>
      </c>
      <c r="C1244">
        <v>3</v>
      </c>
      <c r="D1244">
        <v>8</v>
      </c>
      <c r="E1244" t="s">
        <v>1236</v>
      </c>
    </row>
    <row r="1245" spans="1:5">
      <c r="A1245">
        <f>HYPERLINK("http://www.twitter.com/nycoem/status/674606997526945793", "674606997526945793")</f>
        <v>0</v>
      </c>
      <c r="B1245" s="2">
        <v>42347.6321296296</v>
      </c>
      <c r="C1245">
        <v>0</v>
      </c>
      <c r="D1245">
        <v>4</v>
      </c>
      <c r="E1245" t="s">
        <v>1237</v>
      </c>
    </row>
    <row r="1246" spans="1:5">
      <c r="A1246">
        <f>HYPERLINK("http://www.twitter.com/nycoem/status/674598860724019201", "674598860724019201")</f>
        <v>0</v>
      </c>
      <c r="B1246" s="2">
        <v>42347.6096759259</v>
      </c>
      <c r="C1246">
        <v>0</v>
      </c>
      <c r="D1246">
        <v>14</v>
      </c>
      <c r="E1246" t="s">
        <v>1238</v>
      </c>
    </row>
    <row r="1247" spans="1:5">
      <c r="A1247">
        <f>HYPERLINK("http://www.twitter.com/nycoem/status/674318544767737856", "674318544767737856")</f>
        <v>0</v>
      </c>
      <c r="B1247" s="2">
        <v>42346.8361458333</v>
      </c>
      <c r="C1247">
        <v>0</v>
      </c>
      <c r="D1247">
        <v>11</v>
      </c>
      <c r="E1247" t="s">
        <v>1239</v>
      </c>
    </row>
    <row r="1248" spans="1:5">
      <c r="A1248">
        <f>HYPERLINK("http://www.twitter.com/nycoem/status/674269796381368320", "674269796381368320")</f>
        <v>0</v>
      </c>
      <c r="B1248" s="2">
        <v>42346.7016319444</v>
      </c>
      <c r="C1248">
        <v>7</v>
      </c>
      <c r="D1248">
        <v>0</v>
      </c>
      <c r="E1248" t="s">
        <v>1240</v>
      </c>
    </row>
    <row r="1249" spans="1:5">
      <c r="A1249">
        <f>HYPERLINK("http://www.twitter.com/nycoem/status/674004306148917252", "674004306148917252")</f>
        <v>0</v>
      </c>
      <c r="B1249" s="2">
        <v>42345.9690162037</v>
      </c>
      <c r="C1249">
        <v>2</v>
      </c>
      <c r="D1249">
        <v>3</v>
      </c>
      <c r="E1249" t="s">
        <v>1241</v>
      </c>
    </row>
    <row r="1250" spans="1:5">
      <c r="A1250">
        <f>HYPERLINK("http://www.twitter.com/nycoem/status/673996736977903616", "673996736977903616")</f>
        <v>0</v>
      </c>
      <c r="B1250" s="2">
        <v>42345.9481365741</v>
      </c>
      <c r="C1250">
        <v>0</v>
      </c>
      <c r="D1250">
        <v>4</v>
      </c>
      <c r="E1250" t="s">
        <v>1242</v>
      </c>
    </row>
    <row r="1251" spans="1:5">
      <c r="A1251">
        <f>HYPERLINK("http://www.twitter.com/nycoem/status/673955494734729216", "673955494734729216")</f>
        <v>0</v>
      </c>
      <c r="B1251" s="2">
        <v>42345.8343287037</v>
      </c>
      <c r="C1251">
        <v>9</v>
      </c>
      <c r="D1251">
        <v>9</v>
      </c>
      <c r="E1251" t="s">
        <v>1243</v>
      </c>
    </row>
    <row r="1252" spans="1:5">
      <c r="A1252">
        <f>HYPERLINK("http://www.twitter.com/nycoem/status/673911168176693248", "673911168176693248")</f>
        <v>0</v>
      </c>
      <c r="B1252" s="2">
        <v>42345.7120023148</v>
      </c>
      <c r="C1252">
        <v>6</v>
      </c>
      <c r="D1252">
        <v>14</v>
      </c>
      <c r="E1252" t="s">
        <v>1244</v>
      </c>
    </row>
    <row r="1253" spans="1:5">
      <c r="A1253">
        <f>HYPERLINK("http://www.twitter.com/nycoem/status/673617886108323840", "673617886108323840")</f>
        <v>0</v>
      </c>
      <c r="B1253" s="2">
        <v>42344.9026967593</v>
      </c>
      <c r="C1253">
        <v>12</v>
      </c>
      <c r="D1253">
        <v>4</v>
      </c>
      <c r="E1253" t="s">
        <v>1245</v>
      </c>
    </row>
    <row r="1254" spans="1:5">
      <c r="A1254">
        <f>HYPERLINK("http://www.twitter.com/nycoem/status/672830658935435266", "672830658935435266")</f>
        <v>0</v>
      </c>
      <c r="B1254" s="2">
        <v>42342.7303703704</v>
      </c>
      <c r="C1254">
        <v>4</v>
      </c>
      <c r="D1254">
        <v>6</v>
      </c>
      <c r="E1254" t="s">
        <v>1246</v>
      </c>
    </row>
    <row r="1255" spans="1:5">
      <c r="A1255">
        <f>HYPERLINK("http://www.twitter.com/nycoem/status/672795164797194243", "672795164797194243")</f>
        <v>0</v>
      </c>
      <c r="B1255" s="2">
        <v>42342.6324189815</v>
      </c>
      <c r="C1255">
        <v>2</v>
      </c>
      <c r="D1255">
        <v>5</v>
      </c>
      <c r="E1255" t="s">
        <v>1247</v>
      </c>
    </row>
    <row r="1256" spans="1:5">
      <c r="A1256">
        <f>HYPERLINK("http://www.twitter.com/nycoem/status/672504105609334784", "672504105609334784")</f>
        <v>0</v>
      </c>
      <c r="B1256" s="2">
        <v>42341.8292476852</v>
      </c>
      <c r="C1256">
        <v>4</v>
      </c>
      <c r="D1256">
        <v>1</v>
      </c>
      <c r="E1256" t="s">
        <v>1248</v>
      </c>
    </row>
    <row r="1257" spans="1:5">
      <c r="A1257">
        <f>HYPERLINK("http://www.twitter.com/nycoem/status/672480097912414209", "672480097912414209")</f>
        <v>0</v>
      </c>
      <c r="B1257" s="2">
        <v>42341.7630092593</v>
      </c>
      <c r="C1257">
        <v>2</v>
      </c>
      <c r="D1257">
        <v>0</v>
      </c>
      <c r="E1257" t="s">
        <v>1249</v>
      </c>
    </row>
    <row r="1258" spans="1:5">
      <c r="A1258">
        <f>HYPERLINK("http://www.twitter.com/nycoem/status/672453320766791681", "672453320766791681")</f>
        <v>0</v>
      </c>
      <c r="B1258" s="2">
        <v>42341.6891087963</v>
      </c>
      <c r="C1258">
        <v>3</v>
      </c>
      <c r="D1258">
        <v>3</v>
      </c>
      <c r="E1258" t="s">
        <v>1250</v>
      </c>
    </row>
    <row r="1259" spans="1:5">
      <c r="A1259">
        <f>HYPERLINK("http://www.twitter.com/nycoem/status/672447407607709696", "672447407607709696")</f>
        <v>0</v>
      </c>
      <c r="B1259" s="2">
        <v>42341.6728009259</v>
      </c>
      <c r="C1259">
        <v>2</v>
      </c>
      <c r="D1259">
        <v>2</v>
      </c>
      <c r="E1259" t="s">
        <v>1251</v>
      </c>
    </row>
    <row r="1260" spans="1:5">
      <c r="A1260">
        <f>HYPERLINK("http://www.twitter.com/nycoem/status/672444186818387968", "672444186818387968")</f>
        <v>0</v>
      </c>
      <c r="B1260" s="2">
        <v>42341.663912037</v>
      </c>
      <c r="C1260">
        <v>2</v>
      </c>
      <c r="D1260">
        <v>2</v>
      </c>
      <c r="E1260" t="s">
        <v>1252</v>
      </c>
    </row>
    <row r="1261" spans="1:5">
      <c r="A1261">
        <f>HYPERLINK("http://www.twitter.com/nycoem/status/672437744120000512", "672437744120000512")</f>
        <v>0</v>
      </c>
      <c r="B1261" s="2">
        <v>42341.6461342593</v>
      </c>
      <c r="C1261">
        <v>2</v>
      </c>
      <c r="D1261">
        <v>0</v>
      </c>
      <c r="E1261" t="s">
        <v>1253</v>
      </c>
    </row>
    <row r="1262" spans="1:5">
      <c r="A1262">
        <f>HYPERLINK("http://www.twitter.com/nycoem/status/672436408141881344", "672436408141881344")</f>
        <v>0</v>
      </c>
      <c r="B1262" s="2">
        <v>42341.6424421296</v>
      </c>
      <c r="C1262">
        <v>3</v>
      </c>
      <c r="D1262">
        <v>2</v>
      </c>
      <c r="E1262" t="s">
        <v>1254</v>
      </c>
    </row>
    <row r="1263" spans="1:5">
      <c r="A1263">
        <f>HYPERLINK("http://www.twitter.com/nycoem/status/672417757489704960", "672417757489704960")</f>
        <v>0</v>
      </c>
      <c r="B1263" s="2">
        <v>42341.5909722222</v>
      </c>
      <c r="C1263">
        <v>10</v>
      </c>
      <c r="D1263">
        <v>6</v>
      </c>
      <c r="E1263" t="s">
        <v>1255</v>
      </c>
    </row>
    <row r="1264" spans="1:5">
      <c r="A1264">
        <f>HYPERLINK("http://www.twitter.com/nycoem/status/672143336472518656", "672143336472518656")</f>
        <v>0</v>
      </c>
      <c r="B1264" s="2">
        <v>42340.8337152778</v>
      </c>
      <c r="C1264">
        <v>2</v>
      </c>
      <c r="D1264">
        <v>4</v>
      </c>
      <c r="E1264" t="s">
        <v>1256</v>
      </c>
    </row>
    <row r="1265" spans="1:5">
      <c r="A1265">
        <f>HYPERLINK("http://www.twitter.com/nycoem/status/672137784484827141", "672137784484827141")</f>
        <v>0</v>
      </c>
      <c r="B1265" s="2">
        <v>42340.8184027778</v>
      </c>
      <c r="C1265">
        <v>7</v>
      </c>
      <c r="D1265">
        <v>3</v>
      </c>
      <c r="E1265" t="s">
        <v>1257</v>
      </c>
    </row>
    <row r="1266" spans="1:5">
      <c r="A1266">
        <f>HYPERLINK("http://www.twitter.com/nycoem/status/672101474965561345", "672101474965561345")</f>
        <v>0</v>
      </c>
      <c r="B1266" s="2">
        <v>42340.7182060185</v>
      </c>
      <c r="C1266">
        <v>1</v>
      </c>
      <c r="D1266">
        <v>2</v>
      </c>
      <c r="E1266" t="s">
        <v>1258</v>
      </c>
    </row>
    <row r="1267" spans="1:5">
      <c r="A1267">
        <f>HYPERLINK("http://www.twitter.com/nycoem/status/672081387470614530", "672081387470614530")</f>
        <v>0</v>
      </c>
      <c r="B1267" s="2">
        <v>42340.6627777778</v>
      </c>
      <c r="C1267">
        <v>0</v>
      </c>
      <c r="D1267">
        <v>21</v>
      </c>
      <c r="E1267" t="s">
        <v>1259</v>
      </c>
    </row>
    <row r="1268" spans="1:5">
      <c r="A1268">
        <f>HYPERLINK("http://www.twitter.com/nycoem/status/671786350971101184", "671786350971101184")</f>
        <v>0</v>
      </c>
      <c r="B1268" s="2">
        <v>42339.8486226852</v>
      </c>
      <c r="C1268">
        <v>0</v>
      </c>
      <c r="D1268">
        <v>6</v>
      </c>
      <c r="E1268" t="s">
        <v>1260</v>
      </c>
    </row>
    <row r="1269" spans="1:5">
      <c r="A1269">
        <f>HYPERLINK("http://www.twitter.com/nycoem/status/671783413138006016", "671783413138006016")</f>
        <v>0</v>
      </c>
      <c r="B1269" s="2">
        <v>42339.8405208333</v>
      </c>
      <c r="C1269">
        <v>5</v>
      </c>
      <c r="D1269">
        <v>16</v>
      </c>
      <c r="E1269" t="s">
        <v>1261</v>
      </c>
    </row>
    <row r="1270" spans="1:5">
      <c r="A1270">
        <f>HYPERLINK("http://www.twitter.com/nycoem/status/671761657077637122", "671761657077637122")</f>
        <v>0</v>
      </c>
      <c r="B1270" s="2">
        <v>42339.7804861111</v>
      </c>
      <c r="C1270">
        <v>0</v>
      </c>
      <c r="D1270">
        <v>3</v>
      </c>
      <c r="E1270" t="s">
        <v>1262</v>
      </c>
    </row>
    <row r="1271" spans="1:5">
      <c r="A1271">
        <f>HYPERLINK("http://www.twitter.com/nycoem/status/671738150453121025", "671738150453121025")</f>
        <v>0</v>
      </c>
      <c r="B1271" s="2">
        <v>42339.715625</v>
      </c>
      <c r="C1271">
        <v>2</v>
      </c>
      <c r="D1271">
        <v>1</v>
      </c>
      <c r="E1271" t="s">
        <v>1263</v>
      </c>
    </row>
    <row r="1272" spans="1:5">
      <c r="A1272">
        <f>HYPERLINK("http://www.twitter.com/nycoem/status/671706617574985729", "671706617574985729")</f>
        <v>0</v>
      </c>
      <c r="B1272" s="2">
        <v>42339.628599537</v>
      </c>
      <c r="C1272">
        <v>1</v>
      </c>
      <c r="D1272">
        <v>3</v>
      </c>
      <c r="E1272" t="s">
        <v>1264</v>
      </c>
    </row>
    <row r="1273" spans="1:5">
      <c r="A1273">
        <f>HYPERLINK("http://www.twitter.com/nycoem/status/671542321771626496", "671542321771626496")</f>
        <v>0</v>
      </c>
      <c r="B1273" s="2">
        <v>42339.1752314815</v>
      </c>
      <c r="C1273">
        <v>0</v>
      </c>
      <c r="D1273">
        <v>7</v>
      </c>
      <c r="E1273" t="s">
        <v>1265</v>
      </c>
    </row>
    <row r="1274" spans="1:5">
      <c r="A1274">
        <f>HYPERLINK("http://www.twitter.com/nycoem/status/671431213341671424", "671431213341671424")</f>
        <v>0</v>
      </c>
      <c r="B1274" s="2">
        <v>42338.8686342593</v>
      </c>
      <c r="C1274">
        <v>0</v>
      </c>
      <c r="D1274">
        <v>8</v>
      </c>
      <c r="E1274" t="s">
        <v>1266</v>
      </c>
    </row>
    <row r="1275" spans="1:5">
      <c r="A1275">
        <f>HYPERLINK("http://www.twitter.com/nycoem/status/671373582749028352", "671373582749028352")</f>
        <v>0</v>
      </c>
      <c r="B1275" s="2">
        <v>42338.7096064815</v>
      </c>
      <c r="C1275">
        <v>1</v>
      </c>
      <c r="D1275">
        <v>9</v>
      </c>
      <c r="E1275" t="s">
        <v>1267</v>
      </c>
    </row>
    <row r="1276" spans="1:5">
      <c r="A1276">
        <f>HYPERLINK("http://www.twitter.com/nycoem/status/671325340602626048", "671325340602626048")</f>
        <v>0</v>
      </c>
      <c r="B1276" s="2">
        <v>42338.5764814815</v>
      </c>
      <c r="C1276">
        <v>1</v>
      </c>
      <c r="D1276">
        <v>7</v>
      </c>
      <c r="E1276" t="s">
        <v>1268</v>
      </c>
    </row>
    <row r="1277" spans="1:5">
      <c r="A1277">
        <f>HYPERLINK("http://www.twitter.com/nycoem/status/671309966494576640", "671309966494576640")</f>
        <v>0</v>
      </c>
      <c r="B1277" s="2">
        <v>42338.5340625</v>
      </c>
      <c r="C1277">
        <v>0</v>
      </c>
      <c r="D1277">
        <v>9</v>
      </c>
      <c r="E1277" t="s">
        <v>1269</v>
      </c>
    </row>
    <row r="1278" spans="1:5">
      <c r="A1278">
        <f>HYPERLINK("http://www.twitter.com/nycoem/status/670356511948935169", "670356511948935169")</f>
        <v>0</v>
      </c>
      <c r="B1278" s="2">
        <v>42335.9030208333</v>
      </c>
      <c r="C1278">
        <v>0</v>
      </c>
      <c r="D1278">
        <v>22</v>
      </c>
      <c r="E1278" t="s">
        <v>1270</v>
      </c>
    </row>
    <row r="1279" spans="1:5">
      <c r="A1279">
        <f>HYPERLINK("http://www.twitter.com/nycoem/status/670332602025435138", "670332602025435138")</f>
        <v>0</v>
      </c>
      <c r="B1279" s="2">
        <v>42335.8370486111</v>
      </c>
      <c r="C1279">
        <v>4</v>
      </c>
      <c r="D1279">
        <v>3</v>
      </c>
      <c r="E1279" t="s">
        <v>1271</v>
      </c>
    </row>
    <row r="1280" spans="1:5">
      <c r="A1280">
        <f>HYPERLINK("http://www.twitter.com/nycoem/status/670283534926544896", "670283534926544896")</f>
        <v>0</v>
      </c>
      <c r="B1280" s="2">
        <v>42335.7016435185</v>
      </c>
      <c r="C1280">
        <v>3</v>
      </c>
      <c r="D1280">
        <v>4</v>
      </c>
      <c r="E1280" t="s">
        <v>1272</v>
      </c>
    </row>
    <row r="1281" spans="1:5">
      <c r="A1281">
        <f>HYPERLINK("http://www.twitter.com/nycoem/status/670255925517811712", "670255925517811712")</f>
        <v>0</v>
      </c>
      <c r="B1281" s="2">
        <v>42335.625462963</v>
      </c>
      <c r="C1281">
        <v>0</v>
      </c>
      <c r="D1281">
        <v>3</v>
      </c>
      <c r="E1281" t="s">
        <v>1273</v>
      </c>
    </row>
    <row r="1282" spans="1:5">
      <c r="A1282">
        <f>HYPERLINK("http://www.twitter.com/nycoem/status/669898745698480129", "669898745698480129")</f>
        <v>0</v>
      </c>
      <c r="B1282" s="2">
        <v>42334.6398263889</v>
      </c>
      <c r="C1282">
        <v>5</v>
      </c>
      <c r="D1282">
        <v>3</v>
      </c>
      <c r="E1282" t="s">
        <v>1274</v>
      </c>
    </row>
    <row r="1283" spans="1:5">
      <c r="A1283">
        <f>HYPERLINK("http://www.twitter.com/nycoem/status/669873738012368896", "669873738012368896")</f>
        <v>0</v>
      </c>
      <c r="B1283" s="2">
        <v>42334.5708217593</v>
      </c>
      <c r="C1283">
        <v>14</v>
      </c>
      <c r="D1283">
        <v>9</v>
      </c>
      <c r="E1283" t="s">
        <v>1275</v>
      </c>
    </row>
    <row r="1284" spans="1:5">
      <c r="A1284">
        <f>HYPERLINK("http://www.twitter.com/nycoem/status/669609155200708608", "669609155200708608")</f>
        <v>0</v>
      </c>
      <c r="B1284" s="2">
        <v>42333.8407060185</v>
      </c>
      <c r="C1284">
        <v>1</v>
      </c>
      <c r="D1284">
        <v>4</v>
      </c>
      <c r="E1284" t="s">
        <v>1276</v>
      </c>
    </row>
    <row r="1285" spans="1:5">
      <c r="A1285">
        <f>HYPERLINK("http://www.twitter.com/nycoem/status/669563834915561472", "669563834915561472")</f>
        <v>0</v>
      </c>
      <c r="B1285" s="2">
        <v>42333.7156481482</v>
      </c>
      <c r="C1285">
        <v>0</v>
      </c>
      <c r="D1285">
        <v>6</v>
      </c>
      <c r="E1285" t="s">
        <v>1277</v>
      </c>
    </row>
    <row r="1286" spans="1:5">
      <c r="A1286">
        <f>HYPERLINK("http://www.twitter.com/nycoem/status/669549753789755392", "669549753789755392")</f>
        <v>0</v>
      </c>
      <c r="B1286" s="2">
        <v>42333.6767939815</v>
      </c>
      <c r="C1286">
        <v>0</v>
      </c>
      <c r="D1286">
        <v>12</v>
      </c>
      <c r="E1286" t="s">
        <v>1278</v>
      </c>
    </row>
    <row r="1287" spans="1:5">
      <c r="A1287">
        <f>HYPERLINK("http://www.twitter.com/nycoem/status/669515503505940480", "669515503505940480")</f>
        <v>0</v>
      </c>
      <c r="B1287" s="2">
        <v>42333.5822800926</v>
      </c>
      <c r="C1287">
        <v>0</v>
      </c>
      <c r="D1287">
        <v>21</v>
      </c>
      <c r="E1287" t="s">
        <v>1279</v>
      </c>
    </row>
    <row r="1288" spans="1:5">
      <c r="A1288">
        <f>HYPERLINK("http://www.twitter.com/nycoem/status/669238043954540544", "669238043954540544")</f>
        <v>0</v>
      </c>
      <c r="B1288" s="2">
        <v>42332.8166435185</v>
      </c>
      <c r="C1288">
        <v>6</v>
      </c>
      <c r="D1288">
        <v>4</v>
      </c>
      <c r="E1288" t="s">
        <v>1280</v>
      </c>
    </row>
    <row r="1289" spans="1:5">
      <c r="A1289">
        <f>HYPERLINK("http://www.twitter.com/nycoem/status/669202712492417024", "669202712492417024")</f>
        <v>0</v>
      </c>
      <c r="B1289" s="2">
        <v>42332.7191435185</v>
      </c>
      <c r="C1289">
        <v>0</v>
      </c>
      <c r="D1289">
        <v>1</v>
      </c>
      <c r="E1289" t="s">
        <v>1281</v>
      </c>
    </row>
    <row r="1290" spans="1:5">
      <c r="A1290">
        <f>HYPERLINK("http://www.twitter.com/nycoem/status/669168143743496192", "669168143743496192")</f>
        <v>0</v>
      </c>
      <c r="B1290" s="2">
        <v>42332.62375</v>
      </c>
      <c r="C1290">
        <v>0</v>
      </c>
      <c r="D1290">
        <v>6</v>
      </c>
      <c r="E1290" t="s">
        <v>1282</v>
      </c>
    </row>
    <row r="1291" spans="1:5">
      <c r="A1291">
        <f>HYPERLINK("http://www.twitter.com/nycoem/status/669156270100897792", "669156270100897792")</f>
        <v>0</v>
      </c>
      <c r="B1291" s="2">
        <v>42332.5909837963</v>
      </c>
      <c r="C1291">
        <v>7</v>
      </c>
      <c r="D1291">
        <v>12</v>
      </c>
      <c r="E1291" t="s">
        <v>1283</v>
      </c>
    </row>
    <row r="1292" spans="1:5">
      <c r="A1292">
        <f>HYPERLINK("http://www.twitter.com/nycoem/status/669156169643106304", "669156169643106304")</f>
        <v>0</v>
      </c>
      <c r="B1292" s="2">
        <v>42332.5907060185</v>
      </c>
      <c r="C1292">
        <v>0</v>
      </c>
      <c r="D1292">
        <v>86</v>
      </c>
      <c r="E1292" t="s">
        <v>1284</v>
      </c>
    </row>
    <row r="1293" spans="1:5">
      <c r="A1293">
        <f>HYPERLINK("http://www.twitter.com/nycoem/status/669149555791892480", "669149555791892480")</f>
        <v>0</v>
      </c>
      <c r="B1293" s="2">
        <v>42332.5724537037</v>
      </c>
      <c r="C1293">
        <v>0</v>
      </c>
      <c r="D1293">
        <v>55</v>
      </c>
      <c r="E1293" t="s">
        <v>1285</v>
      </c>
    </row>
    <row r="1294" spans="1:5">
      <c r="A1294">
        <f>HYPERLINK("http://www.twitter.com/nycoem/status/668925814755500032", "668925814755500032")</f>
        <v>0</v>
      </c>
      <c r="B1294" s="2">
        <v>42331.9550462963</v>
      </c>
      <c r="C1294">
        <v>4</v>
      </c>
      <c r="D1294">
        <v>3</v>
      </c>
      <c r="E1294" t="s">
        <v>1286</v>
      </c>
    </row>
    <row r="1295" spans="1:5">
      <c r="A1295">
        <f>HYPERLINK("http://www.twitter.com/nycoem/status/668884390202707972", "668884390202707972")</f>
        <v>0</v>
      </c>
      <c r="B1295" s="2">
        <v>42331.8407407407</v>
      </c>
      <c r="C1295">
        <v>4</v>
      </c>
      <c r="D1295">
        <v>4</v>
      </c>
      <c r="E1295" t="s">
        <v>1287</v>
      </c>
    </row>
    <row r="1296" spans="1:5">
      <c r="A1296">
        <f>HYPERLINK("http://www.twitter.com/nycoem/status/668839237542916096", "668839237542916096")</f>
        <v>0</v>
      </c>
      <c r="B1296" s="2">
        <v>42331.7161458333</v>
      </c>
      <c r="C1296">
        <v>1</v>
      </c>
      <c r="D1296">
        <v>2</v>
      </c>
      <c r="E1296" t="s">
        <v>1288</v>
      </c>
    </row>
    <row r="1297" spans="1:5">
      <c r="A1297">
        <f>HYPERLINK("http://www.twitter.com/nycoem/status/668812986061086720", "668812986061086720")</f>
        <v>0</v>
      </c>
      <c r="B1297" s="2">
        <v>42331.6437037037</v>
      </c>
      <c r="C1297">
        <v>0</v>
      </c>
      <c r="D1297">
        <v>16</v>
      </c>
      <c r="E1297" t="s">
        <v>1289</v>
      </c>
    </row>
    <row r="1298" spans="1:5">
      <c r="A1298">
        <f>HYPERLINK("http://www.twitter.com/nycoem/status/668811488631660545", "668811488631660545")</f>
        <v>0</v>
      </c>
      <c r="B1298" s="2">
        <v>42331.6395717593</v>
      </c>
      <c r="C1298">
        <v>0</v>
      </c>
      <c r="D1298">
        <v>12</v>
      </c>
      <c r="E1298" t="s">
        <v>1290</v>
      </c>
    </row>
    <row r="1299" spans="1:5">
      <c r="A1299">
        <f>HYPERLINK("http://www.twitter.com/nycoem/status/668431861153181700", "668431861153181700")</f>
        <v>0</v>
      </c>
      <c r="B1299" s="2">
        <v>42330.5920023148</v>
      </c>
      <c r="C1299">
        <v>0</v>
      </c>
      <c r="D1299">
        <v>6</v>
      </c>
      <c r="E1299" t="s">
        <v>1291</v>
      </c>
    </row>
    <row r="1300" spans="1:5">
      <c r="A1300">
        <f>HYPERLINK("http://www.twitter.com/nycoem/status/668086613566750726", "668086613566750726")</f>
        <v>0</v>
      </c>
      <c r="B1300" s="2">
        <v>42329.6392939815</v>
      </c>
      <c r="C1300">
        <v>3</v>
      </c>
      <c r="D1300">
        <v>0</v>
      </c>
      <c r="E1300" t="s">
        <v>1292</v>
      </c>
    </row>
    <row r="1301" spans="1:5">
      <c r="A1301">
        <f>HYPERLINK("http://www.twitter.com/nycoem/status/667833734738001920", "667833734738001920")</f>
        <v>0</v>
      </c>
      <c r="B1301" s="2">
        <v>42328.9414814815</v>
      </c>
      <c r="C1301">
        <v>2</v>
      </c>
      <c r="D1301">
        <v>8</v>
      </c>
      <c r="E1301" t="s">
        <v>1293</v>
      </c>
    </row>
    <row r="1302" spans="1:5">
      <c r="A1302">
        <f>HYPERLINK("http://www.twitter.com/nycoem/status/667833340465049600", "667833340465049600")</f>
        <v>0</v>
      </c>
      <c r="B1302" s="2">
        <v>42328.9403935185</v>
      </c>
      <c r="C1302">
        <v>2</v>
      </c>
      <c r="D1302">
        <v>2</v>
      </c>
      <c r="E1302" t="s">
        <v>1294</v>
      </c>
    </row>
    <row r="1303" spans="1:5">
      <c r="A1303">
        <f>HYPERLINK("http://www.twitter.com/nycoem/status/667795960941162496", "667795960941162496")</f>
        <v>0</v>
      </c>
      <c r="B1303" s="2">
        <v>42328.8372453704</v>
      </c>
      <c r="C1303">
        <v>3</v>
      </c>
      <c r="D1303">
        <v>3</v>
      </c>
      <c r="E1303" t="s">
        <v>1295</v>
      </c>
    </row>
    <row r="1304" spans="1:5">
      <c r="A1304">
        <f>HYPERLINK("http://www.twitter.com/nycoem/status/667753165098455040", "667753165098455040")</f>
        <v>0</v>
      </c>
      <c r="B1304" s="2">
        <v>42328.7191550926</v>
      </c>
      <c r="C1304">
        <v>1</v>
      </c>
      <c r="D1304">
        <v>0</v>
      </c>
      <c r="E1304" t="s">
        <v>1296</v>
      </c>
    </row>
    <row r="1305" spans="1:5">
      <c r="A1305">
        <f>HYPERLINK("http://www.twitter.com/nycoem/status/667715326860201985", "667715326860201985")</f>
        <v>0</v>
      </c>
      <c r="B1305" s="2">
        <v>42328.6147453704</v>
      </c>
      <c r="C1305">
        <v>5</v>
      </c>
      <c r="D1305">
        <v>7</v>
      </c>
      <c r="E1305" t="s">
        <v>1297</v>
      </c>
    </row>
    <row r="1306" spans="1:5">
      <c r="A1306">
        <f>HYPERLINK("http://www.twitter.com/nycoem/status/667525939933368320", "667525939933368320")</f>
        <v>0</v>
      </c>
      <c r="B1306" s="2">
        <v>42328.0921296296</v>
      </c>
      <c r="C1306">
        <v>0</v>
      </c>
      <c r="D1306">
        <v>4</v>
      </c>
      <c r="E1306" t="s">
        <v>1298</v>
      </c>
    </row>
    <row r="1307" spans="1:5">
      <c r="A1307">
        <f>HYPERLINK("http://www.twitter.com/nycoem/status/667477715126247424", "667477715126247424")</f>
        <v>0</v>
      </c>
      <c r="B1307" s="2">
        <v>42327.9590625</v>
      </c>
      <c r="C1307">
        <v>0</v>
      </c>
      <c r="D1307">
        <v>0</v>
      </c>
      <c r="E1307" t="s">
        <v>1299</v>
      </c>
    </row>
    <row r="1308" spans="1:5">
      <c r="A1308">
        <f>HYPERLINK("http://www.twitter.com/nycoem/status/667432339014868993", "667432339014868993")</f>
        <v>0</v>
      </c>
      <c r="B1308" s="2">
        <v>42327.8338425926</v>
      </c>
      <c r="C1308">
        <v>2</v>
      </c>
      <c r="D1308">
        <v>3</v>
      </c>
      <c r="E1308" t="s">
        <v>1300</v>
      </c>
    </row>
    <row r="1309" spans="1:5">
      <c r="A1309">
        <f>HYPERLINK("http://www.twitter.com/nycoem/status/667328675457720320", "667328675457720320")</f>
        <v>0</v>
      </c>
      <c r="B1309" s="2">
        <v>42327.5477893519</v>
      </c>
      <c r="C1309">
        <v>0</v>
      </c>
      <c r="D1309">
        <v>7</v>
      </c>
      <c r="E1309" t="s">
        <v>1301</v>
      </c>
    </row>
    <row r="1310" spans="1:5">
      <c r="A1310">
        <f>HYPERLINK("http://www.twitter.com/nycoem/status/667112628284727296", "667112628284727296")</f>
        <v>0</v>
      </c>
      <c r="B1310" s="2">
        <v>42326.9516087963</v>
      </c>
      <c r="C1310">
        <v>1</v>
      </c>
      <c r="D1310">
        <v>4</v>
      </c>
      <c r="E1310" t="s">
        <v>1302</v>
      </c>
    </row>
    <row r="1311" spans="1:5">
      <c r="A1311">
        <f>HYPERLINK("http://www.twitter.com/nycoem/status/667077645264375808", "667077645264375808")</f>
        <v>0</v>
      </c>
      <c r="B1311" s="2">
        <v>42326.8550694444</v>
      </c>
      <c r="C1311">
        <v>0</v>
      </c>
      <c r="D1311">
        <v>9</v>
      </c>
      <c r="E1311" t="s">
        <v>1303</v>
      </c>
    </row>
    <row r="1312" spans="1:5">
      <c r="A1312">
        <f>HYPERLINK("http://www.twitter.com/nycoem/status/667071096127115265", "667071096127115265")</f>
        <v>0</v>
      </c>
      <c r="B1312" s="2">
        <v>42326.8370023148</v>
      </c>
      <c r="C1312">
        <v>1</v>
      </c>
      <c r="D1312">
        <v>2</v>
      </c>
      <c r="E1312" t="s">
        <v>1304</v>
      </c>
    </row>
    <row r="1313" spans="1:5">
      <c r="A1313">
        <f>HYPERLINK("http://www.twitter.com/nycoem/status/667017393072414720", "667017393072414720")</f>
        <v>0</v>
      </c>
      <c r="B1313" s="2">
        <v>42326.6888078704</v>
      </c>
      <c r="C1313">
        <v>0</v>
      </c>
      <c r="D1313">
        <v>1</v>
      </c>
      <c r="E1313" t="s">
        <v>1305</v>
      </c>
    </row>
    <row r="1314" spans="1:5">
      <c r="A1314">
        <f>HYPERLINK("http://www.twitter.com/nycoem/status/667001933677338624", "667001933677338624")</f>
        <v>0</v>
      </c>
      <c r="B1314" s="2">
        <v>42326.6461458333</v>
      </c>
      <c r="C1314">
        <v>7</v>
      </c>
      <c r="D1314">
        <v>4</v>
      </c>
      <c r="E1314" t="s">
        <v>1306</v>
      </c>
    </row>
    <row r="1315" spans="1:5">
      <c r="A1315">
        <f>HYPERLINK("http://www.twitter.com/nycoem/status/666991732706406400", "666991732706406400")</f>
        <v>0</v>
      </c>
      <c r="B1315" s="2">
        <v>42326.6179976852</v>
      </c>
      <c r="C1315">
        <v>1</v>
      </c>
      <c r="D1315">
        <v>1</v>
      </c>
      <c r="E1315" t="s">
        <v>1307</v>
      </c>
    </row>
    <row r="1316" spans="1:5">
      <c r="A1316">
        <f>HYPERLINK("http://www.twitter.com/nycoem/status/666722108869881856", "666722108869881856")</f>
        <v>0</v>
      </c>
      <c r="B1316" s="2">
        <v>42325.8739814815</v>
      </c>
      <c r="C1316">
        <v>1</v>
      </c>
      <c r="D1316">
        <v>1</v>
      </c>
      <c r="E1316" t="s">
        <v>1308</v>
      </c>
    </row>
    <row r="1317" spans="1:5">
      <c r="A1317">
        <f>HYPERLINK("http://www.twitter.com/nycoem/status/666691074329587712", "666691074329587712")</f>
        <v>0</v>
      </c>
      <c r="B1317" s="2">
        <v>42325.7883449074</v>
      </c>
      <c r="C1317">
        <v>0</v>
      </c>
      <c r="D1317">
        <v>2</v>
      </c>
      <c r="E1317" t="s">
        <v>1309</v>
      </c>
    </row>
    <row r="1318" spans="1:5">
      <c r="A1318">
        <f>HYPERLINK("http://www.twitter.com/nycoem/status/666659667964248064", "666659667964248064")</f>
        <v>0</v>
      </c>
      <c r="B1318" s="2">
        <v>42325.7016782407</v>
      </c>
      <c r="C1318">
        <v>2</v>
      </c>
      <c r="D1318">
        <v>2</v>
      </c>
      <c r="E1318" t="s">
        <v>1310</v>
      </c>
    </row>
    <row r="1319" spans="1:5">
      <c r="A1319">
        <f>HYPERLINK("http://www.twitter.com/nycoem/status/666653316785553408", "666653316785553408")</f>
        <v>0</v>
      </c>
      <c r="B1319" s="2">
        <v>42325.6841550926</v>
      </c>
      <c r="C1319">
        <v>0</v>
      </c>
      <c r="D1319">
        <v>2</v>
      </c>
      <c r="E1319" t="s">
        <v>1311</v>
      </c>
    </row>
    <row r="1320" spans="1:5">
      <c r="A1320">
        <f>HYPERLINK("http://www.twitter.com/nycoem/status/666619529477402625", "666619529477402625")</f>
        <v>0</v>
      </c>
      <c r="B1320" s="2">
        <v>42325.5909143519</v>
      </c>
      <c r="C1320">
        <v>4</v>
      </c>
      <c r="D1320">
        <v>12</v>
      </c>
      <c r="E1320" t="s">
        <v>1312</v>
      </c>
    </row>
    <row r="1321" spans="1:5">
      <c r="A1321">
        <f>HYPERLINK("http://www.twitter.com/nycoem/status/666356844810641408", "666356844810641408")</f>
        <v>0</v>
      </c>
      <c r="B1321" s="2">
        <v>42324.8660416667</v>
      </c>
      <c r="C1321">
        <v>1</v>
      </c>
      <c r="D1321">
        <v>2</v>
      </c>
      <c r="E1321" t="s">
        <v>1313</v>
      </c>
    </row>
    <row r="1322" spans="1:5">
      <c r="A1322">
        <f>HYPERLINK("http://www.twitter.com/nycoem/status/666319946113265664", "666319946113265664")</f>
        <v>0</v>
      </c>
      <c r="B1322" s="2">
        <v>42324.764224537</v>
      </c>
      <c r="C1322">
        <v>0</v>
      </c>
      <c r="D1322">
        <v>15</v>
      </c>
      <c r="E1322" t="s">
        <v>1314</v>
      </c>
    </row>
    <row r="1323" spans="1:5">
      <c r="A1323">
        <f>HYPERLINK("http://www.twitter.com/nycoem/status/666300076709560321", "666300076709560321")</f>
        <v>0</v>
      </c>
      <c r="B1323" s="2">
        <v>42324.7093981481</v>
      </c>
      <c r="C1323">
        <v>3</v>
      </c>
      <c r="D1323">
        <v>4</v>
      </c>
      <c r="E1323" t="s">
        <v>1315</v>
      </c>
    </row>
    <row r="1324" spans="1:5">
      <c r="A1324">
        <f>HYPERLINK("http://www.twitter.com/nycoem/status/666282141442002944", "666282141442002944")</f>
        <v>0</v>
      </c>
      <c r="B1324" s="2">
        <v>42324.6599074074</v>
      </c>
      <c r="C1324">
        <v>4</v>
      </c>
      <c r="D1324">
        <v>9</v>
      </c>
      <c r="E1324" t="s">
        <v>1316</v>
      </c>
    </row>
    <row r="1325" spans="1:5">
      <c r="A1325">
        <f>HYPERLINK("http://www.twitter.com/nycoem/status/665625299044933632", "665625299044933632")</f>
        <v>0</v>
      </c>
      <c r="B1325" s="2">
        <v>42322.8473611111</v>
      </c>
      <c r="C1325">
        <v>0</v>
      </c>
      <c r="D1325">
        <v>83</v>
      </c>
      <c r="E1325" t="s">
        <v>1317</v>
      </c>
    </row>
    <row r="1326" spans="1:5">
      <c r="A1326">
        <f>HYPERLINK("http://www.twitter.com/nycoem/status/665543391384596484", "665543391384596484")</f>
        <v>0</v>
      </c>
      <c r="B1326" s="2">
        <v>42322.6213425926</v>
      </c>
      <c r="C1326">
        <v>0</v>
      </c>
      <c r="D1326">
        <v>454</v>
      </c>
      <c r="E1326" t="s">
        <v>1318</v>
      </c>
    </row>
    <row r="1327" spans="1:5">
      <c r="A1327">
        <f>HYPERLINK("http://www.twitter.com/nycoem/status/665255441740529667", "665255441740529667")</f>
        <v>0</v>
      </c>
      <c r="B1327" s="2">
        <v>42321.8267476852</v>
      </c>
      <c r="C1327">
        <v>1</v>
      </c>
      <c r="D1327">
        <v>1</v>
      </c>
      <c r="E1327" t="s">
        <v>1319</v>
      </c>
    </row>
    <row r="1328" spans="1:5">
      <c r="A1328">
        <f>HYPERLINK("http://www.twitter.com/nycoem/status/665213938502643712", "665213938502643712")</f>
        <v>0</v>
      </c>
      <c r="B1328" s="2">
        <v>42321.7122222222</v>
      </c>
      <c r="C1328">
        <v>2</v>
      </c>
      <c r="D1328">
        <v>1</v>
      </c>
      <c r="E1328" t="s">
        <v>1320</v>
      </c>
    </row>
    <row r="1329" spans="1:5">
      <c r="A1329">
        <f>HYPERLINK("http://www.twitter.com/nycoem/status/664896832779231232", "664896832779231232")</f>
        <v>0</v>
      </c>
      <c r="B1329" s="2">
        <v>42320.8371759259</v>
      </c>
      <c r="C1329">
        <v>1</v>
      </c>
      <c r="D1329">
        <v>4</v>
      </c>
      <c r="E1329" t="s">
        <v>1321</v>
      </c>
    </row>
    <row r="1330" spans="1:5">
      <c r="A1330">
        <f>HYPERLINK("http://www.twitter.com/nycoem/status/664850367990091776", "664850367990091776")</f>
        <v>0</v>
      </c>
      <c r="B1330" s="2">
        <v>42320.7089583333</v>
      </c>
      <c r="C1330">
        <v>4</v>
      </c>
      <c r="D1330">
        <v>5</v>
      </c>
      <c r="E1330" t="s">
        <v>1322</v>
      </c>
    </row>
    <row r="1331" spans="1:5">
      <c r="A1331">
        <f>HYPERLINK("http://www.twitter.com/nycoem/status/664791339054325760", "664791339054325760")</f>
        <v>0</v>
      </c>
      <c r="B1331" s="2">
        <v>42320.5460763889</v>
      </c>
      <c r="C1331">
        <v>0</v>
      </c>
      <c r="D1331">
        <v>5</v>
      </c>
      <c r="E1331" t="s">
        <v>1323</v>
      </c>
    </row>
    <row r="1332" spans="1:5">
      <c r="A1332">
        <f>HYPERLINK("http://www.twitter.com/nycoem/status/664771380739743744", "664771380739743744")</f>
        <v>0</v>
      </c>
      <c r="B1332" s="2">
        <v>42320.4909953704</v>
      </c>
      <c r="C1332">
        <v>0</v>
      </c>
      <c r="D1332">
        <v>14</v>
      </c>
      <c r="E1332" t="s">
        <v>1324</v>
      </c>
    </row>
    <row r="1333" spans="1:5">
      <c r="A1333">
        <f>HYPERLINK("http://www.twitter.com/nycoem/status/664461602985517057", "664461602985517057")</f>
        <v>0</v>
      </c>
      <c r="B1333" s="2">
        <v>42319.6361689815</v>
      </c>
      <c r="C1333">
        <v>7</v>
      </c>
      <c r="D1333">
        <v>6</v>
      </c>
      <c r="E1333" t="s">
        <v>1325</v>
      </c>
    </row>
    <row r="1334" spans="1:5">
      <c r="A1334">
        <f>HYPERLINK("http://www.twitter.com/nycoem/status/664443001943498753", "664443001943498753")</f>
        <v>0</v>
      </c>
      <c r="B1334" s="2">
        <v>42319.584849537</v>
      </c>
      <c r="C1334">
        <v>0</v>
      </c>
      <c r="D1334">
        <v>2</v>
      </c>
      <c r="E1334" t="s">
        <v>1326</v>
      </c>
    </row>
    <row r="1335" spans="1:5">
      <c r="A1335">
        <f>HYPERLINK("http://www.twitter.com/nycoem/status/664126791553064960", "664126791553064960")</f>
        <v>0</v>
      </c>
      <c r="B1335" s="2">
        <v>42318.7122685185</v>
      </c>
      <c r="C1335">
        <v>7</v>
      </c>
      <c r="D1335">
        <v>5</v>
      </c>
      <c r="E1335" t="s">
        <v>1327</v>
      </c>
    </row>
    <row r="1336" spans="1:5">
      <c r="A1336">
        <f>HYPERLINK("http://www.twitter.com/nycoem/status/664081939478003714", "664081939478003714")</f>
        <v>0</v>
      </c>
      <c r="B1336" s="2">
        <v>42318.5885069444</v>
      </c>
      <c r="C1336">
        <v>6</v>
      </c>
      <c r="D1336">
        <v>8</v>
      </c>
      <c r="E1336" t="s">
        <v>1328</v>
      </c>
    </row>
    <row r="1337" spans="1:5">
      <c r="A1337">
        <f>HYPERLINK("http://www.twitter.com/nycoem/status/662766797112926208", "662766797112926208")</f>
        <v>0</v>
      </c>
      <c r="B1337" s="2">
        <v>42314.9593981481</v>
      </c>
      <c r="C1337">
        <v>1</v>
      </c>
      <c r="D1337">
        <v>3</v>
      </c>
      <c r="E1337" t="s">
        <v>1329</v>
      </c>
    </row>
    <row r="1338" spans="1:5">
      <c r="A1338">
        <f>HYPERLINK("http://www.twitter.com/nycoem/status/662719951602475008", "662719951602475008")</f>
        <v>0</v>
      </c>
      <c r="B1338" s="2">
        <v>42314.8301273148</v>
      </c>
      <c r="C1338">
        <v>2</v>
      </c>
      <c r="D1338">
        <v>5</v>
      </c>
      <c r="E1338" t="s">
        <v>1330</v>
      </c>
    </row>
    <row r="1339" spans="1:5">
      <c r="A1339">
        <f>HYPERLINK("http://www.twitter.com/nycoem/status/662676188872228865", "662676188872228865")</f>
        <v>0</v>
      </c>
      <c r="B1339" s="2">
        <v>42314.709375</v>
      </c>
      <c r="C1339">
        <v>0</v>
      </c>
      <c r="D1339">
        <v>0</v>
      </c>
      <c r="E1339" t="s">
        <v>1331</v>
      </c>
    </row>
    <row r="1340" spans="1:5">
      <c r="A1340">
        <f>HYPERLINK("http://www.twitter.com/nycoem/status/662663301705433088", "662663301705433088")</f>
        <v>0</v>
      </c>
      <c r="B1340" s="2">
        <v>42314.6738078704</v>
      </c>
      <c r="C1340">
        <v>0</v>
      </c>
      <c r="D1340">
        <v>3</v>
      </c>
      <c r="E1340" t="s">
        <v>1332</v>
      </c>
    </row>
    <row r="1341" spans="1:5">
      <c r="A1341">
        <f>HYPERLINK("http://www.twitter.com/nycoem/status/662635871032770560", "662635871032770560")</f>
        <v>0</v>
      </c>
      <c r="B1341" s="2">
        <v>42314.5981134259</v>
      </c>
      <c r="C1341">
        <v>0</v>
      </c>
      <c r="D1341">
        <v>8</v>
      </c>
      <c r="E1341" t="s">
        <v>1333</v>
      </c>
    </row>
    <row r="1342" spans="1:5">
      <c r="A1342">
        <f>HYPERLINK("http://www.twitter.com/nycoem/status/662337950324256768", "662337950324256768")</f>
        <v>0</v>
      </c>
      <c r="B1342" s="2">
        <v>42313.7760069444</v>
      </c>
      <c r="C1342">
        <v>0</v>
      </c>
      <c r="D1342">
        <v>6</v>
      </c>
      <c r="E1342" t="s">
        <v>1334</v>
      </c>
    </row>
    <row r="1343" spans="1:5">
      <c r="A1343">
        <f>HYPERLINK("http://www.twitter.com/nycoem/status/662312236845801473", "662312236845801473")</f>
        <v>0</v>
      </c>
      <c r="B1343" s="2">
        <v>42313.7050578704</v>
      </c>
      <c r="C1343">
        <v>2</v>
      </c>
      <c r="D1343">
        <v>7</v>
      </c>
      <c r="E1343" t="s">
        <v>1335</v>
      </c>
    </row>
    <row r="1344" spans="1:5">
      <c r="A1344">
        <f>HYPERLINK("http://www.twitter.com/nycoem/status/662270711608844288", "662270711608844288")</f>
        <v>0</v>
      </c>
      <c r="B1344" s="2">
        <v>42313.590462963</v>
      </c>
      <c r="C1344">
        <v>2</v>
      </c>
      <c r="D1344">
        <v>4</v>
      </c>
      <c r="E1344" t="s">
        <v>1336</v>
      </c>
    </row>
    <row r="1345" spans="1:5">
      <c r="A1345">
        <f>HYPERLINK("http://www.twitter.com/nycoem/status/662260739848163328", "662260739848163328")</f>
        <v>0</v>
      </c>
      <c r="B1345" s="2">
        <v>42313.5629513889</v>
      </c>
      <c r="C1345">
        <v>0</v>
      </c>
      <c r="D1345">
        <v>4</v>
      </c>
      <c r="E1345" t="s">
        <v>1337</v>
      </c>
    </row>
    <row r="1346" spans="1:5">
      <c r="A1346">
        <f>HYPERLINK("http://www.twitter.com/nycoem/status/662041986178924544", "662041986178924544")</f>
        <v>0</v>
      </c>
      <c r="B1346" s="2">
        <v>42312.9593055556</v>
      </c>
      <c r="C1346">
        <v>3</v>
      </c>
      <c r="D1346">
        <v>1</v>
      </c>
      <c r="E1346" t="s">
        <v>1338</v>
      </c>
    </row>
    <row r="1347" spans="1:5">
      <c r="A1347">
        <f>HYPERLINK("http://www.twitter.com/nycoem/status/661993975792992260", "661993975792992260")</f>
        <v>0</v>
      </c>
      <c r="B1347" s="2">
        <v>42312.8268171296</v>
      </c>
      <c r="C1347">
        <v>2</v>
      </c>
      <c r="D1347">
        <v>3</v>
      </c>
      <c r="E1347" t="s">
        <v>1339</v>
      </c>
    </row>
    <row r="1348" spans="1:5">
      <c r="A1348">
        <f>HYPERLINK("http://www.twitter.com/nycoem/status/661951456052977664", "661951456052977664")</f>
        <v>0</v>
      </c>
      <c r="B1348" s="2">
        <v>42312.7094907407</v>
      </c>
      <c r="C1348">
        <v>0</v>
      </c>
      <c r="D1348">
        <v>2</v>
      </c>
      <c r="E1348" t="s">
        <v>1340</v>
      </c>
    </row>
    <row r="1349" spans="1:5">
      <c r="A1349">
        <f>HYPERLINK("http://www.twitter.com/nycoem/status/661947397136850949", "661947397136850949")</f>
        <v>0</v>
      </c>
      <c r="B1349" s="2">
        <v>42312.698287037</v>
      </c>
      <c r="C1349">
        <v>1</v>
      </c>
      <c r="D1349">
        <v>1</v>
      </c>
      <c r="E1349" t="s">
        <v>1341</v>
      </c>
    </row>
    <row r="1350" spans="1:5">
      <c r="A1350">
        <f>HYPERLINK("http://www.twitter.com/nycoem/status/661905902539300864", "661905902539300864")</f>
        <v>0</v>
      </c>
      <c r="B1350" s="2">
        <v>42312.5837847222</v>
      </c>
      <c r="C1350">
        <v>0</v>
      </c>
      <c r="D1350">
        <v>2</v>
      </c>
      <c r="E1350" t="s">
        <v>1342</v>
      </c>
    </row>
    <row r="1351" spans="1:5">
      <c r="A1351">
        <f>HYPERLINK("http://www.twitter.com/nycoem/status/661897490862620672", "661897490862620672")</f>
        <v>0</v>
      </c>
      <c r="B1351" s="2">
        <v>42312.5605671296</v>
      </c>
      <c r="C1351">
        <v>0</v>
      </c>
      <c r="D1351">
        <v>0</v>
      </c>
      <c r="E1351" t="s">
        <v>1343</v>
      </c>
    </row>
    <row r="1352" spans="1:5">
      <c r="A1352">
        <f>HYPERLINK("http://www.twitter.com/nycoem/status/661578338646016001", "661578338646016001")</f>
        <v>0</v>
      </c>
      <c r="B1352" s="2">
        <v>42311.6798842593</v>
      </c>
      <c r="C1352">
        <v>0</v>
      </c>
      <c r="D1352">
        <v>17</v>
      </c>
      <c r="E1352" t="s">
        <v>1344</v>
      </c>
    </row>
    <row r="1353" spans="1:5">
      <c r="A1353">
        <f>HYPERLINK("http://www.twitter.com/nycoem/status/661561175965089793", "661561175965089793")</f>
        <v>0</v>
      </c>
      <c r="B1353" s="2">
        <v>42311.6325231481</v>
      </c>
      <c r="C1353">
        <v>2</v>
      </c>
      <c r="D1353">
        <v>5</v>
      </c>
      <c r="E1353" t="s">
        <v>1345</v>
      </c>
    </row>
    <row r="1354" spans="1:5">
      <c r="A1354">
        <f>HYPERLINK("http://www.twitter.com/nycoem/status/661541269924151296", "661541269924151296")</f>
        <v>0</v>
      </c>
      <c r="B1354" s="2">
        <v>42311.5775925926</v>
      </c>
      <c r="C1354">
        <v>0</v>
      </c>
      <c r="D1354">
        <v>25</v>
      </c>
      <c r="E1354" t="s">
        <v>1346</v>
      </c>
    </row>
    <row r="1355" spans="1:5">
      <c r="A1355">
        <f>HYPERLINK("http://www.twitter.com/nycoem/status/661274159780077568", "661274159780077568")</f>
        <v>0</v>
      </c>
      <c r="B1355" s="2">
        <v>42310.8405092593</v>
      </c>
      <c r="C1355">
        <v>1</v>
      </c>
      <c r="D1355">
        <v>3</v>
      </c>
      <c r="E1355" t="s">
        <v>1347</v>
      </c>
    </row>
    <row r="1356" spans="1:5">
      <c r="A1356">
        <f>HYPERLINK("http://www.twitter.com/nycoem/status/661225097622134785", "661225097622134785")</f>
        <v>0</v>
      </c>
      <c r="B1356" s="2">
        <v>42310.7051157407</v>
      </c>
      <c r="C1356">
        <v>1</v>
      </c>
      <c r="D1356">
        <v>3</v>
      </c>
      <c r="E1356" t="s">
        <v>1348</v>
      </c>
    </row>
    <row r="1357" spans="1:5">
      <c r="A1357">
        <f>HYPERLINK("http://www.twitter.com/nycoem/status/661217138707968000", "661217138707968000")</f>
        <v>0</v>
      </c>
      <c r="B1357" s="2">
        <v>42310.6831597222</v>
      </c>
      <c r="C1357">
        <v>0</v>
      </c>
      <c r="D1357">
        <v>24</v>
      </c>
      <c r="E1357" t="s">
        <v>1349</v>
      </c>
    </row>
    <row r="1358" spans="1:5">
      <c r="A1358">
        <f>HYPERLINK("http://www.twitter.com/nycoem/status/661177698216226817", "661177698216226817")</f>
        <v>0</v>
      </c>
      <c r="B1358" s="2">
        <v>42310.5743171296</v>
      </c>
      <c r="C1358">
        <v>0</v>
      </c>
      <c r="D1358">
        <v>17</v>
      </c>
      <c r="E1358" t="s">
        <v>1350</v>
      </c>
    </row>
    <row r="1359" spans="1:5">
      <c r="A1359">
        <f>HYPERLINK("http://www.twitter.com/nycoem/status/660849614686445569", "660849614686445569")</f>
        <v>0</v>
      </c>
      <c r="B1359" s="2">
        <v>42309.6689814815</v>
      </c>
      <c r="C1359">
        <v>0</v>
      </c>
      <c r="D1359">
        <v>8</v>
      </c>
      <c r="E1359" t="s">
        <v>1351</v>
      </c>
    </row>
    <row r="1360" spans="1:5">
      <c r="A1360">
        <f>HYPERLINK("http://www.twitter.com/nycoem/status/660849575473897473", "660849575473897473")</f>
        <v>0</v>
      </c>
      <c r="B1360" s="2">
        <v>42309.6688773148</v>
      </c>
      <c r="C1360">
        <v>0</v>
      </c>
      <c r="D1360">
        <v>10</v>
      </c>
      <c r="E1360" t="s">
        <v>1352</v>
      </c>
    </row>
    <row r="1361" spans="1:5">
      <c r="A1361">
        <f>HYPERLINK("http://www.twitter.com/nycoem/status/660588643556442112", "660588643556442112")</f>
        <v>0</v>
      </c>
      <c r="B1361" s="2">
        <v>42308.9488425926</v>
      </c>
      <c r="C1361">
        <v>1</v>
      </c>
      <c r="D1361">
        <v>6</v>
      </c>
      <c r="E1361" t="s">
        <v>1353</v>
      </c>
    </row>
    <row r="1362" spans="1:5">
      <c r="A1362">
        <f>HYPERLINK("http://www.twitter.com/nycoem/status/660502755430256640", "660502755430256640")</f>
        <v>0</v>
      </c>
      <c r="B1362" s="2">
        <v>42308.7118402778</v>
      </c>
      <c r="C1362">
        <v>0</v>
      </c>
      <c r="D1362">
        <v>14</v>
      </c>
      <c r="E1362" t="s">
        <v>1354</v>
      </c>
    </row>
    <row r="1363" spans="1:5">
      <c r="A1363">
        <f>HYPERLINK("http://www.twitter.com/nycoem/status/660501761057230848", "660501761057230848")</f>
        <v>0</v>
      </c>
      <c r="B1363" s="2">
        <v>42308.7090972222</v>
      </c>
      <c r="C1363">
        <v>3</v>
      </c>
      <c r="D1363">
        <v>4</v>
      </c>
      <c r="E1363" t="s">
        <v>1355</v>
      </c>
    </row>
    <row r="1364" spans="1:5">
      <c r="A1364">
        <f>HYPERLINK("http://www.twitter.com/nycoem/status/660217173760221184", "660217173760221184")</f>
        <v>0</v>
      </c>
      <c r="B1364" s="2">
        <v>42307.9237847222</v>
      </c>
      <c r="C1364">
        <v>0</v>
      </c>
      <c r="D1364">
        <v>3</v>
      </c>
      <c r="E1364" t="s">
        <v>1356</v>
      </c>
    </row>
    <row r="1365" spans="1:5">
      <c r="A1365">
        <f>HYPERLINK("http://www.twitter.com/nycoem/status/660170604675510273", "660170604675510273")</f>
        <v>0</v>
      </c>
      <c r="B1365" s="2">
        <v>42307.7952777778</v>
      </c>
      <c r="C1365">
        <v>0</v>
      </c>
      <c r="D1365">
        <v>21</v>
      </c>
      <c r="E1365" t="s">
        <v>1357</v>
      </c>
    </row>
    <row r="1366" spans="1:5">
      <c r="A1366">
        <f>HYPERLINK("http://www.twitter.com/nycoem/status/660166904372469760", "660166904372469760")</f>
        <v>0</v>
      </c>
      <c r="B1366" s="2">
        <v>42307.7850578704</v>
      </c>
      <c r="C1366">
        <v>0</v>
      </c>
      <c r="D1366">
        <v>3</v>
      </c>
      <c r="E1366" t="s">
        <v>1358</v>
      </c>
    </row>
    <row r="1367" spans="1:5">
      <c r="A1367">
        <f>HYPERLINK("http://www.twitter.com/nycoem/status/660124313325056000", "660124313325056000")</f>
        <v>0</v>
      </c>
      <c r="B1367" s="2">
        <v>42307.6675347222</v>
      </c>
      <c r="C1367">
        <v>0</v>
      </c>
      <c r="D1367">
        <v>2</v>
      </c>
      <c r="E1367" t="s">
        <v>1359</v>
      </c>
    </row>
    <row r="1368" spans="1:5">
      <c r="A1368">
        <f>HYPERLINK("http://www.twitter.com/nycoem/status/660121578030673920", "660121578030673920")</f>
        <v>0</v>
      </c>
      <c r="B1368" s="2">
        <v>42307.6599884259</v>
      </c>
      <c r="C1368">
        <v>0</v>
      </c>
      <c r="D1368">
        <v>4</v>
      </c>
      <c r="E1368" t="s">
        <v>1360</v>
      </c>
    </row>
    <row r="1369" spans="1:5">
      <c r="A1369">
        <f>HYPERLINK("http://www.twitter.com/nycoem/status/659912649598218240", "659912649598218240")</f>
        <v>0</v>
      </c>
      <c r="B1369" s="2">
        <v>42307.0834490741</v>
      </c>
      <c r="C1369">
        <v>0</v>
      </c>
      <c r="D1369">
        <v>27</v>
      </c>
      <c r="E1369" t="s">
        <v>1361</v>
      </c>
    </row>
    <row r="1370" spans="1:5">
      <c r="A1370">
        <f>HYPERLINK("http://www.twitter.com/nycoem/status/659849809461911552", "659849809461911552")</f>
        <v>0</v>
      </c>
      <c r="B1370" s="2">
        <v>42306.9100462963</v>
      </c>
      <c r="C1370">
        <v>6</v>
      </c>
      <c r="D1370">
        <v>8</v>
      </c>
      <c r="E1370" t="s">
        <v>1362</v>
      </c>
    </row>
    <row r="1371" spans="1:5">
      <c r="A1371">
        <f>HYPERLINK("http://www.twitter.com/nycoem/status/659809554138595329", "659809554138595329")</f>
        <v>0</v>
      </c>
      <c r="B1371" s="2">
        <v>42306.7989699074</v>
      </c>
      <c r="C1371">
        <v>5</v>
      </c>
      <c r="D1371">
        <v>7</v>
      </c>
      <c r="E1371" t="s">
        <v>1363</v>
      </c>
    </row>
    <row r="1372" spans="1:5">
      <c r="A1372">
        <f>HYPERLINK("http://www.twitter.com/nycoem/status/659806617014243328", "659806617014243328")</f>
        <v>0</v>
      </c>
      <c r="B1372" s="2">
        <v>42306.7908564815</v>
      </c>
      <c r="C1372">
        <v>1</v>
      </c>
      <c r="D1372">
        <v>0</v>
      </c>
      <c r="E1372" t="s">
        <v>1364</v>
      </c>
    </row>
    <row r="1373" spans="1:5">
      <c r="A1373">
        <f>HYPERLINK("http://www.twitter.com/nycoem/status/659777309868732417", "659777309868732417")</f>
        <v>0</v>
      </c>
      <c r="B1373" s="2">
        <v>42306.7099884259</v>
      </c>
      <c r="C1373">
        <v>0</v>
      </c>
      <c r="D1373">
        <v>20</v>
      </c>
      <c r="E1373" t="s">
        <v>1365</v>
      </c>
    </row>
    <row r="1374" spans="1:5">
      <c r="A1374">
        <f>HYPERLINK("http://www.twitter.com/nycoem/status/659765454962073600", "659765454962073600")</f>
        <v>0</v>
      </c>
      <c r="B1374" s="2">
        <v>42306.6772685185</v>
      </c>
      <c r="C1374">
        <v>1</v>
      </c>
      <c r="D1374">
        <v>3</v>
      </c>
      <c r="E1374" t="s">
        <v>1366</v>
      </c>
    </row>
    <row r="1375" spans="1:5">
      <c r="A1375">
        <f>HYPERLINK("http://www.twitter.com/nycoem/status/659761277728878592", "659761277728878592")</f>
        <v>0</v>
      </c>
      <c r="B1375" s="2">
        <v>42306.6657523148</v>
      </c>
      <c r="C1375">
        <v>10</v>
      </c>
      <c r="D1375">
        <v>15</v>
      </c>
      <c r="E1375" t="s">
        <v>1367</v>
      </c>
    </row>
    <row r="1376" spans="1:5">
      <c r="A1376">
        <f>HYPERLINK("http://www.twitter.com/nycoem/status/659447341007675393", "659447341007675393")</f>
        <v>0</v>
      </c>
      <c r="B1376" s="2">
        <v>42305.7994444444</v>
      </c>
      <c r="C1376">
        <v>1</v>
      </c>
      <c r="D1376">
        <v>1</v>
      </c>
      <c r="E1376" t="s">
        <v>1368</v>
      </c>
    </row>
    <row r="1377" spans="1:5">
      <c r="A1377">
        <f>HYPERLINK("http://www.twitter.com/nycoem/status/659399384799559680", "659399384799559680")</f>
        <v>0</v>
      </c>
      <c r="B1377" s="2">
        <v>42305.6671180556</v>
      </c>
      <c r="C1377">
        <v>2</v>
      </c>
      <c r="D1377">
        <v>0</v>
      </c>
      <c r="E1377" t="s">
        <v>1369</v>
      </c>
    </row>
    <row r="1378" spans="1:5">
      <c r="A1378">
        <f>HYPERLINK("http://www.twitter.com/nycoem/status/659389871790936064", "659389871790936064")</f>
        <v>0</v>
      </c>
      <c r="B1378" s="2">
        <v>42305.6408564815</v>
      </c>
      <c r="C1378">
        <v>3</v>
      </c>
      <c r="D1378">
        <v>6</v>
      </c>
      <c r="E1378" t="s">
        <v>1370</v>
      </c>
    </row>
    <row r="1379" spans="1:5">
      <c r="A1379">
        <f>HYPERLINK("http://www.twitter.com/nycoem/status/659111066941726720", "659111066941726720")</f>
        <v>0</v>
      </c>
      <c r="B1379" s="2">
        <v>42304.8715046296</v>
      </c>
      <c r="C1379">
        <v>0</v>
      </c>
      <c r="D1379">
        <v>15</v>
      </c>
      <c r="E1379" t="s">
        <v>1371</v>
      </c>
    </row>
    <row r="1380" spans="1:5">
      <c r="A1380">
        <f>HYPERLINK("http://www.twitter.com/nycoem/status/659083442810933249", "659083442810933249")</f>
        <v>0</v>
      </c>
      <c r="B1380" s="2">
        <v>42304.7952777778</v>
      </c>
      <c r="C1380">
        <v>2</v>
      </c>
      <c r="D1380">
        <v>4</v>
      </c>
      <c r="E1380" t="s">
        <v>1372</v>
      </c>
    </row>
    <row r="1381" spans="1:5">
      <c r="A1381">
        <f>HYPERLINK("http://www.twitter.com/nycoem/status/659067497329594368", "659067497329594368")</f>
        <v>0</v>
      </c>
      <c r="B1381" s="2">
        <v>42304.7512731481</v>
      </c>
      <c r="C1381">
        <v>0</v>
      </c>
      <c r="D1381">
        <v>39</v>
      </c>
      <c r="E1381" t="s">
        <v>1373</v>
      </c>
    </row>
    <row r="1382" spans="1:5">
      <c r="A1382">
        <f>HYPERLINK("http://www.twitter.com/nycoem/status/659043053135646720", "659043053135646720")</f>
        <v>0</v>
      </c>
      <c r="B1382" s="2">
        <v>42304.6838194444</v>
      </c>
      <c r="C1382">
        <v>0</v>
      </c>
      <c r="D1382">
        <v>3</v>
      </c>
      <c r="E1382" t="s">
        <v>1374</v>
      </c>
    </row>
    <row r="1383" spans="1:5">
      <c r="A1383">
        <f>HYPERLINK("http://www.twitter.com/nycoem/status/659035650256187392", "659035650256187392")</f>
        <v>0</v>
      </c>
      <c r="B1383" s="2">
        <v>42304.6633912037</v>
      </c>
      <c r="C1383">
        <v>5</v>
      </c>
      <c r="D1383">
        <v>2</v>
      </c>
      <c r="E1383" t="s">
        <v>1375</v>
      </c>
    </row>
    <row r="1384" spans="1:5">
      <c r="A1384">
        <f>HYPERLINK("http://www.twitter.com/nycoem/status/658753974791774210", "658753974791774210")</f>
        <v>0</v>
      </c>
      <c r="B1384" s="2">
        <v>42303.8861226852</v>
      </c>
      <c r="C1384">
        <v>0</v>
      </c>
      <c r="D1384">
        <v>29</v>
      </c>
      <c r="E1384" t="s">
        <v>1376</v>
      </c>
    </row>
    <row r="1385" spans="1:5">
      <c r="A1385">
        <f>HYPERLINK("http://www.twitter.com/nycoem/status/658723591719120896", "658723591719120896")</f>
        <v>0</v>
      </c>
      <c r="B1385" s="2">
        <v>42303.8022800926</v>
      </c>
      <c r="C1385">
        <v>0</v>
      </c>
      <c r="D1385">
        <v>1</v>
      </c>
      <c r="E1385" t="s">
        <v>1377</v>
      </c>
    </row>
    <row r="1386" spans="1:5">
      <c r="A1386">
        <f>HYPERLINK("http://www.twitter.com/nycoem/status/658675812980387840", "658675812980387840")</f>
        <v>0</v>
      </c>
      <c r="B1386" s="2">
        <v>42303.6704398148</v>
      </c>
      <c r="C1386">
        <v>1</v>
      </c>
      <c r="D1386">
        <v>5</v>
      </c>
      <c r="E1386" t="s">
        <v>1378</v>
      </c>
    </row>
    <row r="1387" spans="1:5">
      <c r="A1387">
        <f>HYPERLINK("http://www.twitter.com/nycoem/status/658666999359381506", "658666999359381506")</f>
        <v>0</v>
      </c>
      <c r="B1387" s="2">
        <v>42303.6461111111</v>
      </c>
      <c r="C1387">
        <v>3</v>
      </c>
      <c r="D1387">
        <v>3</v>
      </c>
      <c r="E1387" t="s">
        <v>1379</v>
      </c>
    </row>
    <row r="1388" spans="1:5">
      <c r="A1388">
        <f>HYPERLINK("http://www.twitter.com/nycoem/status/657918292066213888", "657918292066213888")</f>
        <v>0</v>
      </c>
      <c r="B1388" s="2">
        <v>42301.5800810185</v>
      </c>
      <c r="C1388">
        <v>2</v>
      </c>
      <c r="D1388">
        <v>3</v>
      </c>
      <c r="E1388" t="s">
        <v>1380</v>
      </c>
    </row>
    <row r="1389" spans="1:5">
      <c r="A1389">
        <f>HYPERLINK("http://www.twitter.com/nycoem/status/657587642230546432", "657587642230546432")</f>
        <v>0</v>
      </c>
      <c r="B1389" s="2">
        <v>42300.667650463</v>
      </c>
      <c r="C1389">
        <v>1</v>
      </c>
      <c r="D1389">
        <v>3</v>
      </c>
      <c r="E1389" t="s">
        <v>1381</v>
      </c>
    </row>
    <row r="1390" spans="1:5">
      <c r="A1390">
        <f>HYPERLINK("http://www.twitter.com/nycoem/status/657584850292088832", "657584850292088832")</f>
        <v>0</v>
      </c>
      <c r="B1390" s="2">
        <v>42300.6599537037</v>
      </c>
      <c r="C1390">
        <v>1</v>
      </c>
      <c r="D1390">
        <v>4</v>
      </c>
      <c r="E1390" t="s">
        <v>1382</v>
      </c>
    </row>
    <row r="1391" spans="1:5">
      <c r="A1391">
        <f>HYPERLINK("http://www.twitter.com/nycoem/status/657545841641660416", "657545841641660416")</f>
        <v>0</v>
      </c>
      <c r="B1391" s="2">
        <v>42300.5523032407</v>
      </c>
      <c r="C1391">
        <v>0</v>
      </c>
      <c r="D1391">
        <v>52</v>
      </c>
      <c r="E1391" t="s">
        <v>1383</v>
      </c>
    </row>
    <row r="1392" spans="1:5">
      <c r="A1392">
        <f>HYPERLINK("http://www.twitter.com/nycoem/status/657330591793336321", "657330591793336321")</f>
        <v>0</v>
      </c>
      <c r="B1392" s="2">
        <v>42299.9583333333</v>
      </c>
      <c r="C1392">
        <v>5</v>
      </c>
      <c r="D1392">
        <v>7</v>
      </c>
      <c r="E1392" t="s">
        <v>1384</v>
      </c>
    </row>
    <row r="1393" spans="1:5">
      <c r="A1393">
        <f>HYPERLINK("http://www.twitter.com/nycoem/status/657264243595722752", "657264243595722752")</f>
        <v>0</v>
      </c>
      <c r="B1393" s="2">
        <v>42299.7752430556</v>
      </c>
      <c r="C1393">
        <v>0</v>
      </c>
      <c r="D1393">
        <v>37</v>
      </c>
      <c r="E1393" t="s">
        <v>1385</v>
      </c>
    </row>
    <row r="1394" spans="1:5">
      <c r="A1394">
        <f>HYPERLINK("http://www.twitter.com/nycoem/status/657259093191733248", "657259093191733248")</f>
        <v>0</v>
      </c>
      <c r="B1394" s="2">
        <v>42299.7610300926</v>
      </c>
      <c r="C1394">
        <v>1</v>
      </c>
      <c r="D1394">
        <v>2</v>
      </c>
      <c r="E1394" t="s">
        <v>1386</v>
      </c>
    </row>
    <row r="1395" spans="1:5">
      <c r="A1395">
        <f>HYPERLINK("http://www.twitter.com/nycoem/status/657199445243768832", "657199445243768832")</f>
        <v>0</v>
      </c>
      <c r="B1395" s="2">
        <v>42299.5964351852</v>
      </c>
      <c r="C1395">
        <v>17</v>
      </c>
      <c r="D1395">
        <v>12</v>
      </c>
      <c r="E1395" t="s">
        <v>1387</v>
      </c>
    </row>
    <row r="1396" spans="1:5">
      <c r="A1396">
        <f>HYPERLINK("http://www.twitter.com/nycoem/status/656888651171930112", "656888651171930112")</f>
        <v>0</v>
      </c>
      <c r="B1396" s="2">
        <v>42298.7388078704</v>
      </c>
      <c r="C1396">
        <v>0</v>
      </c>
      <c r="D1396">
        <v>13</v>
      </c>
      <c r="E1396" t="s">
        <v>1388</v>
      </c>
    </row>
    <row r="1397" spans="1:5">
      <c r="A1397">
        <f>HYPERLINK("http://www.twitter.com/nycoem/status/656887701858295808", "656887701858295808")</f>
        <v>0</v>
      </c>
      <c r="B1397" s="2">
        <v>42298.7361921296</v>
      </c>
      <c r="C1397">
        <v>0</v>
      </c>
      <c r="D1397">
        <v>59</v>
      </c>
      <c r="E1397" t="s">
        <v>1389</v>
      </c>
    </row>
    <row r="1398" spans="1:5">
      <c r="A1398">
        <f>HYPERLINK("http://www.twitter.com/nycoem/status/656862826003329024", "656862826003329024")</f>
        <v>0</v>
      </c>
      <c r="B1398" s="2">
        <v>42298.6675462963</v>
      </c>
      <c r="C1398">
        <v>0</v>
      </c>
      <c r="D1398">
        <v>28</v>
      </c>
      <c r="E1398" t="s">
        <v>1390</v>
      </c>
    </row>
    <row r="1399" spans="1:5">
      <c r="A1399">
        <f>HYPERLINK("http://www.twitter.com/nycoem/status/656824747100086273", "656824747100086273")</f>
        <v>0</v>
      </c>
      <c r="B1399" s="2">
        <v>42298.5624652778</v>
      </c>
      <c r="C1399">
        <v>0</v>
      </c>
      <c r="D1399">
        <v>96</v>
      </c>
      <c r="E1399" t="s">
        <v>1391</v>
      </c>
    </row>
    <row r="1400" spans="1:5">
      <c r="A1400">
        <f>HYPERLINK("http://www.twitter.com/nycoem/status/656498950631985152", "656498950631985152")</f>
        <v>0</v>
      </c>
      <c r="B1400" s="2">
        <v>42297.6634375</v>
      </c>
      <c r="C1400">
        <v>3</v>
      </c>
      <c r="D1400">
        <v>10</v>
      </c>
      <c r="E1400" t="s">
        <v>1392</v>
      </c>
    </row>
    <row r="1401" spans="1:5">
      <c r="A1401">
        <f>HYPERLINK("http://www.twitter.com/nycoem/status/656470292886376448", "656470292886376448")</f>
        <v>0</v>
      </c>
      <c r="B1401" s="2">
        <v>42297.5843634259</v>
      </c>
      <c r="C1401">
        <v>0</v>
      </c>
      <c r="D1401">
        <v>5</v>
      </c>
      <c r="E1401" t="s">
        <v>1393</v>
      </c>
    </row>
    <row r="1402" spans="1:5">
      <c r="A1402">
        <f>HYPERLINK("http://www.twitter.com/nycoem/status/656456240902578176", "656456240902578176")</f>
        <v>0</v>
      </c>
      <c r="B1402" s="2">
        <v>42297.5455787037</v>
      </c>
      <c r="C1402">
        <v>2</v>
      </c>
      <c r="D1402">
        <v>0</v>
      </c>
      <c r="E1402" t="s">
        <v>1394</v>
      </c>
    </row>
    <row r="1403" spans="1:5">
      <c r="A1403">
        <f>HYPERLINK("http://www.twitter.com/nycoem/status/656134096222048256", "656134096222048256")</f>
        <v>0</v>
      </c>
      <c r="B1403" s="2">
        <v>42296.6566319444</v>
      </c>
      <c r="C1403">
        <v>4</v>
      </c>
      <c r="D1403">
        <v>6</v>
      </c>
      <c r="E1403" t="s">
        <v>1395</v>
      </c>
    </row>
    <row r="1404" spans="1:5">
      <c r="A1404">
        <f>HYPERLINK("http://www.twitter.com/nycoem/status/656122853331476480", "656122853331476480")</f>
        <v>0</v>
      </c>
      <c r="B1404" s="2">
        <v>42296.6256134259</v>
      </c>
      <c r="C1404">
        <v>2</v>
      </c>
      <c r="D1404">
        <v>3</v>
      </c>
      <c r="E1404" t="s">
        <v>1396</v>
      </c>
    </row>
    <row r="1405" spans="1:5">
      <c r="A1405">
        <f>HYPERLINK("http://www.twitter.com/nycoem/status/656118937013395457", "656118937013395457")</f>
        <v>0</v>
      </c>
      <c r="B1405" s="2">
        <v>42296.6148032407</v>
      </c>
      <c r="C1405">
        <v>0</v>
      </c>
      <c r="D1405">
        <v>8</v>
      </c>
      <c r="E1405" t="s">
        <v>1397</v>
      </c>
    </row>
    <row r="1406" spans="1:5">
      <c r="A1406">
        <f>HYPERLINK("http://www.twitter.com/nycoem/status/655389145817329664", "655389145817329664")</f>
        <v>0</v>
      </c>
      <c r="B1406" s="2">
        <v>42294.6009606481</v>
      </c>
      <c r="C1406">
        <v>3</v>
      </c>
      <c r="D1406">
        <v>4</v>
      </c>
      <c r="E1406" t="s">
        <v>1398</v>
      </c>
    </row>
    <row r="1407" spans="1:5">
      <c r="A1407">
        <f>HYPERLINK("http://www.twitter.com/nycoem/status/655031763757088768", "655031763757088768")</f>
        <v>0</v>
      </c>
      <c r="B1407" s="2">
        <v>42293.6147800926</v>
      </c>
      <c r="C1407">
        <v>0</v>
      </c>
      <c r="D1407">
        <v>0</v>
      </c>
      <c r="E1407" t="s">
        <v>1399</v>
      </c>
    </row>
    <row r="1408" spans="1:5">
      <c r="A1408">
        <f>HYPERLINK("http://www.twitter.com/nycoem/status/655023789781176320", "655023789781176320")</f>
        <v>0</v>
      </c>
      <c r="B1408" s="2">
        <v>42293.5927662037</v>
      </c>
      <c r="C1408">
        <v>0</v>
      </c>
      <c r="D1408">
        <v>17</v>
      </c>
      <c r="E1408" t="s">
        <v>1400</v>
      </c>
    </row>
    <row r="1409" spans="1:5">
      <c r="A1409">
        <f>HYPERLINK("http://www.twitter.com/nycoem/status/655023657681580032", "655023657681580032")</f>
        <v>0</v>
      </c>
      <c r="B1409" s="2">
        <v>42293.5924074074</v>
      </c>
      <c r="C1409">
        <v>1</v>
      </c>
      <c r="D1409">
        <v>4</v>
      </c>
      <c r="E1409" t="s">
        <v>1401</v>
      </c>
    </row>
    <row r="1410" spans="1:5">
      <c r="A1410">
        <f>HYPERLINK("http://www.twitter.com/nycoem/status/655010321107714048", "655010321107714048")</f>
        <v>0</v>
      </c>
      <c r="B1410" s="2">
        <v>42293.5556018519</v>
      </c>
      <c r="C1410">
        <v>0</v>
      </c>
      <c r="D1410">
        <v>8</v>
      </c>
      <c r="E1410" t="s">
        <v>1402</v>
      </c>
    </row>
    <row r="1411" spans="1:5">
      <c r="A1411">
        <f>HYPERLINK("http://www.twitter.com/nycoem/status/654720499906273280", "654720499906273280")</f>
        <v>0</v>
      </c>
      <c r="B1411" s="2">
        <v>42292.7558449074</v>
      </c>
      <c r="C1411">
        <v>1</v>
      </c>
      <c r="D1411">
        <v>0</v>
      </c>
      <c r="E1411" t="s">
        <v>1403</v>
      </c>
    </row>
    <row r="1412" spans="1:5">
      <c r="A1412">
        <f>HYPERLINK("http://www.twitter.com/nycoem/status/654714635833118720", "654714635833118720")</f>
        <v>0</v>
      </c>
      <c r="B1412" s="2">
        <v>42292.7396643519</v>
      </c>
      <c r="C1412">
        <v>0</v>
      </c>
      <c r="D1412">
        <v>2</v>
      </c>
      <c r="E1412" t="s">
        <v>1404</v>
      </c>
    </row>
    <row r="1413" spans="1:5">
      <c r="A1413">
        <f>HYPERLINK("http://www.twitter.com/nycoem/status/654664298355003392", "654664298355003392")</f>
        <v>0</v>
      </c>
      <c r="B1413" s="2">
        <v>42292.6007638889</v>
      </c>
      <c r="C1413">
        <v>2</v>
      </c>
      <c r="D1413">
        <v>2</v>
      </c>
      <c r="E1413" t="s">
        <v>1405</v>
      </c>
    </row>
    <row r="1414" spans="1:5">
      <c r="A1414">
        <f>HYPERLINK("http://www.twitter.com/nycoem/status/654367791236186112", "654367791236186112")</f>
        <v>0</v>
      </c>
      <c r="B1414" s="2">
        <v>42291.7825578704</v>
      </c>
      <c r="C1414">
        <v>0</v>
      </c>
      <c r="D1414">
        <v>12</v>
      </c>
      <c r="E1414" t="s">
        <v>1406</v>
      </c>
    </row>
    <row r="1415" spans="1:5">
      <c r="A1415">
        <f>HYPERLINK("http://www.twitter.com/nycoem/status/654305172856942592", "654305172856942592")</f>
        <v>0</v>
      </c>
      <c r="B1415" s="2">
        <v>42291.6097685185</v>
      </c>
      <c r="C1415">
        <v>0</v>
      </c>
      <c r="D1415">
        <v>39</v>
      </c>
      <c r="E1415" t="s">
        <v>1407</v>
      </c>
    </row>
    <row r="1416" spans="1:5">
      <c r="A1416">
        <f>HYPERLINK("http://www.twitter.com/nycoem/status/654303532917596160", "654303532917596160")</f>
        <v>0</v>
      </c>
      <c r="B1416" s="2">
        <v>42291.6052430556</v>
      </c>
      <c r="C1416">
        <v>2</v>
      </c>
      <c r="D1416">
        <v>0</v>
      </c>
      <c r="E1416" t="s">
        <v>1408</v>
      </c>
    </row>
    <row r="1417" spans="1:5">
      <c r="A1417">
        <f>HYPERLINK("http://www.twitter.com/nycoem/status/654283247208263681", "654283247208263681")</f>
        <v>0</v>
      </c>
      <c r="B1417" s="2">
        <v>42291.5492592593</v>
      </c>
      <c r="C1417">
        <v>2</v>
      </c>
      <c r="D1417">
        <v>6</v>
      </c>
      <c r="E1417" t="s">
        <v>1409</v>
      </c>
    </row>
    <row r="1418" spans="1:5">
      <c r="A1418">
        <f>HYPERLINK("http://www.twitter.com/nycoem/status/654281234424680448", "654281234424680448")</f>
        <v>0</v>
      </c>
      <c r="B1418" s="2">
        <v>42291.5437037037</v>
      </c>
      <c r="C1418">
        <v>1</v>
      </c>
      <c r="D1418">
        <v>6</v>
      </c>
      <c r="E1418" t="s">
        <v>1410</v>
      </c>
    </row>
    <row r="1419" spans="1:5">
      <c r="A1419">
        <f>HYPERLINK("http://www.twitter.com/nycoem/status/654052351934865408", "654052351934865408")</f>
        <v>0</v>
      </c>
      <c r="B1419" s="2">
        <v>42290.9121180556</v>
      </c>
      <c r="C1419">
        <v>0</v>
      </c>
      <c r="D1419">
        <v>12</v>
      </c>
      <c r="E1419" t="s">
        <v>1411</v>
      </c>
    </row>
    <row r="1420" spans="1:5">
      <c r="A1420">
        <f>HYPERLINK("http://www.twitter.com/nycoem/status/653967272822878208", "653967272822878208")</f>
        <v>0</v>
      </c>
      <c r="B1420" s="2">
        <v>42290.677337963</v>
      </c>
      <c r="C1420">
        <v>2</v>
      </c>
      <c r="D1420">
        <v>6</v>
      </c>
      <c r="E1420" t="s">
        <v>1412</v>
      </c>
    </row>
    <row r="1421" spans="1:5">
      <c r="A1421">
        <f>HYPERLINK("http://www.twitter.com/nycoem/status/653923689763876864", "653923689763876864")</f>
        <v>0</v>
      </c>
      <c r="B1421" s="2">
        <v>42290.5570717593</v>
      </c>
      <c r="C1421">
        <v>3</v>
      </c>
      <c r="D1421">
        <v>3</v>
      </c>
      <c r="E1421" t="s">
        <v>1413</v>
      </c>
    </row>
    <row r="1422" spans="1:5">
      <c r="A1422">
        <f>HYPERLINK("http://www.twitter.com/nycoem/status/652575032581955584", "652575032581955584")</f>
        <v>0</v>
      </c>
      <c r="B1422" s="2">
        <v>42286.8354861111</v>
      </c>
      <c r="C1422">
        <v>0</v>
      </c>
      <c r="D1422">
        <v>31</v>
      </c>
      <c r="E1422" t="s">
        <v>1414</v>
      </c>
    </row>
    <row r="1423" spans="1:5">
      <c r="A1423">
        <f>HYPERLINK("http://www.twitter.com/nycoem/status/652557816520155136", "652557816520155136")</f>
        <v>0</v>
      </c>
      <c r="B1423" s="2">
        <v>42286.7879861111</v>
      </c>
      <c r="C1423">
        <v>1</v>
      </c>
      <c r="D1423">
        <v>0</v>
      </c>
      <c r="E1423" t="s">
        <v>1415</v>
      </c>
    </row>
    <row r="1424" spans="1:5">
      <c r="A1424">
        <f>HYPERLINK("http://www.twitter.com/nycoem/status/652526670050672646", "652526670050672646")</f>
        <v>0</v>
      </c>
      <c r="B1424" s="2">
        <v>42286.702037037</v>
      </c>
      <c r="C1424">
        <v>1</v>
      </c>
      <c r="D1424">
        <v>2</v>
      </c>
      <c r="E1424" t="s">
        <v>1416</v>
      </c>
    </row>
    <row r="1425" spans="1:5">
      <c r="A1425">
        <f>HYPERLINK("http://www.twitter.com/nycoem/status/652525789527810048", "652525789527810048")</f>
        <v>0</v>
      </c>
      <c r="B1425" s="2">
        <v>42286.6996064815</v>
      </c>
      <c r="C1425">
        <v>0</v>
      </c>
      <c r="D1425">
        <v>0</v>
      </c>
      <c r="E1425" t="s">
        <v>1417</v>
      </c>
    </row>
    <row r="1426" spans="1:5">
      <c r="A1426">
        <f>HYPERLINK("http://www.twitter.com/nycoem/status/652502829035352064", "652502829035352064")</f>
        <v>0</v>
      </c>
      <c r="B1426" s="2">
        <v>42286.63625</v>
      </c>
      <c r="C1426">
        <v>0</v>
      </c>
      <c r="D1426">
        <v>1</v>
      </c>
      <c r="E1426" t="s">
        <v>1418</v>
      </c>
    </row>
    <row r="1427" spans="1:5">
      <c r="A1427">
        <f>HYPERLINK("http://www.twitter.com/nycoem/status/652488749654392832", "652488749654392832")</f>
        <v>0</v>
      </c>
      <c r="B1427" s="2">
        <v>42286.5973958333</v>
      </c>
      <c r="C1427">
        <v>0</v>
      </c>
      <c r="D1427">
        <v>2</v>
      </c>
      <c r="E1427" t="s">
        <v>1419</v>
      </c>
    </row>
    <row r="1428" spans="1:5">
      <c r="A1428">
        <f>HYPERLINK("http://www.twitter.com/nycoem/status/652476496741822464", "652476496741822464")</f>
        <v>0</v>
      </c>
      <c r="B1428" s="2">
        <v>42286.5635763889</v>
      </c>
      <c r="C1428">
        <v>0</v>
      </c>
      <c r="D1428">
        <v>30</v>
      </c>
      <c r="E1428" t="s">
        <v>1420</v>
      </c>
    </row>
    <row r="1429" spans="1:5">
      <c r="A1429">
        <f>HYPERLINK("http://www.twitter.com/nycoem/status/652162876887597056", "652162876887597056")</f>
        <v>0</v>
      </c>
      <c r="B1429" s="2">
        <v>42285.6981597222</v>
      </c>
      <c r="C1429">
        <v>1</v>
      </c>
      <c r="D1429">
        <v>3</v>
      </c>
      <c r="E1429" t="s">
        <v>1421</v>
      </c>
    </row>
    <row r="1430" spans="1:5">
      <c r="A1430">
        <f>HYPERLINK("http://www.twitter.com/nycoem/status/652146277199667200", "652146277199667200")</f>
        <v>0</v>
      </c>
      <c r="B1430" s="2">
        <v>42285.652349537</v>
      </c>
      <c r="C1430">
        <v>0</v>
      </c>
      <c r="D1430">
        <v>19</v>
      </c>
      <c r="E1430" t="s">
        <v>1422</v>
      </c>
    </row>
    <row r="1431" spans="1:5">
      <c r="A1431">
        <f>HYPERLINK("http://www.twitter.com/nycoem/status/652135263141937153", "652135263141937153")</f>
        <v>0</v>
      </c>
      <c r="B1431" s="2">
        <v>42285.6219560185</v>
      </c>
      <c r="C1431">
        <v>2</v>
      </c>
      <c r="D1431">
        <v>4</v>
      </c>
      <c r="E1431" t="s">
        <v>1423</v>
      </c>
    </row>
    <row r="1432" spans="1:5">
      <c r="A1432">
        <f>HYPERLINK("http://www.twitter.com/nycoem/status/651906318572355584", "651906318572355584")</f>
        <v>0</v>
      </c>
      <c r="B1432" s="2">
        <v>42284.9901851852</v>
      </c>
      <c r="C1432">
        <v>0</v>
      </c>
      <c r="D1432">
        <v>4</v>
      </c>
      <c r="E1432" t="s">
        <v>1424</v>
      </c>
    </row>
    <row r="1433" spans="1:5">
      <c r="A1433">
        <f>HYPERLINK("http://www.twitter.com/nycoem/status/651793183563751424", "651793183563751424")</f>
        <v>0</v>
      </c>
      <c r="B1433" s="2">
        <v>42284.6779976852</v>
      </c>
      <c r="C1433">
        <v>2</v>
      </c>
      <c r="D1433">
        <v>5</v>
      </c>
      <c r="E1433" t="s">
        <v>1425</v>
      </c>
    </row>
    <row r="1434" spans="1:5">
      <c r="A1434">
        <f>HYPERLINK("http://www.twitter.com/nycoem/status/651782053856456705", "651782053856456705")</f>
        <v>0</v>
      </c>
      <c r="B1434" s="2">
        <v>42284.6472800926</v>
      </c>
      <c r="C1434">
        <v>5</v>
      </c>
      <c r="D1434">
        <v>3</v>
      </c>
      <c r="E1434" t="s">
        <v>1426</v>
      </c>
    </row>
    <row r="1435" spans="1:5">
      <c r="A1435">
        <f>HYPERLINK("http://www.twitter.com/nycoem/status/651766400399339520", "651766400399339520")</f>
        <v>0</v>
      </c>
      <c r="B1435" s="2">
        <v>42284.6040856481</v>
      </c>
      <c r="C1435">
        <v>0</v>
      </c>
      <c r="D1435">
        <v>16</v>
      </c>
      <c r="E1435" t="s">
        <v>1427</v>
      </c>
    </row>
    <row r="1436" spans="1:5">
      <c r="A1436">
        <f>HYPERLINK("http://www.twitter.com/nycoem/status/651510421522907136", "651510421522907136")</f>
        <v>0</v>
      </c>
      <c r="B1436" s="2">
        <v>42283.8977199074</v>
      </c>
      <c r="C1436">
        <v>0</v>
      </c>
      <c r="D1436">
        <v>11</v>
      </c>
      <c r="E1436" t="s">
        <v>1428</v>
      </c>
    </row>
    <row r="1437" spans="1:5">
      <c r="A1437">
        <f>HYPERLINK("http://www.twitter.com/nycoem/status/651387778106789888", "651387778106789888")</f>
        <v>0</v>
      </c>
      <c r="B1437" s="2">
        <v>42283.5592939815</v>
      </c>
      <c r="C1437">
        <v>9</v>
      </c>
      <c r="D1437">
        <v>16</v>
      </c>
      <c r="E1437" t="s">
        <v>1429</v>
      </c>
    </row>
    <row r="1438" spans="1:5">
      <c r="A1438">
        <f>HYPERLINK("http://www.twitter.com/nycoem/status/651384101921030144", "651384101921030144")</f>
        <v>0</v>
      </c>
      <c r="B1438" s="2">
        <v>42283.5491435185</v>
      </c>
      <c r="C1438">
        <v>1</v>
      </c>
      <c r="D1438">
        <v>11</v>
      </c>
      <c r="E1438" t="s">
        <v>1430</v>
      </c>
    </row>
    <row r="1439" spans="1:5">
      <c r="A1439">
        <f>HYPERLINK("http://www.twitter.com/nycoem/status/651125268870922240", "651125268870922240")</f>
        <v>0</v>
      </c>
      <c r="B1439" s="2">
        <v>42282.8349074074</v>
      </c>
      <c r="C1439">
        <v>0</v>
      </c>
      <c r="D1439">
        <v>9</v>
      </c>
      <c r="E1439" t="s">
        <v>1431</v>
      </c>
    </row>
    <row r="1440" spans="1:5">
      <c r="A1440">
        <f>HYPERLINK("http://www.twitter.com/nycoem/status/651098178599657476", "651098178599657476")</f>
        <v>0</v>
      </c>
      <c r="B1440" s="2">
        <v>42282.760150463</v>
      </c>
      <c r="C1440">
        <v>0</v>
      </c>
      <c r="D1440">
        <v>37</v>
      </c>
      <c r="E1440" t="s">
        <v>1432</v>
      </c>
    </row>
    <row r="1441" spans="1:5">
      <c r="A1441">
        <f>HYPERLINK("http://www.twitter.com/nycoem/status/651094131138240513", "651094131138240513")</f>
        <v>0</v>
      </c>
      <c r="B1441" s="2">
        <v>42282.7489814815</v>
      </c>
      <c r="C1441">
        <v>1</v>
      </c>
      <c r="D1441">
        <v>0</v>
      </c>
      <c r="E1441" t="s">
        <v>1433</v>
      </c>
    </row>
    <row r="1442" spans="1:5">
      <c r="A1442">
        <f>HYPERLINK("http://www.twitter.com/nycoem/status/651055292151656448", "651055292151656448")</f>
        <v>0</v>
      </c>
      <c r="B1442" s="2">
        <v>42282.6418055556</v>
      </c>
      <c r="C1442">
        <v>6</v>
      </c>
      <c r="D1442">
        <v>3</v>
      </c>
      <c r="E1442" t="s">
        <v>1434</v>
      </c>
    </row>
    <row r="1443" spans="1:5">
      <c r="A1443">
        <f>HYPERLINK("http://www.twitter.com/nycoem/status/651027765727203330", "651027765727203330")</f>
        <v>0</v>
      </c>
      <c r="B1443" s="2">
        <v>42282.5658449074</v>
      </c>
      <c r="C1443">
        <v>1</v>
      </c>
      <c r="D1443">
        <v>1</v>
      </c>
      <c r="E1443" t="s">
        <v>1435</v>
      </c>
    </row>
    <row r="1444" spans="1:5">
      <c r="A1444">
        <f>HYPERLINK("http://www.twitter.com/nycoem/status/650775646977826816", "650775646977826816")</f>
        <v>0</v>
      </c>
      <c r="B1444" s="2">
        <v>42281.8701273148</v>
      </c>
      <c r="C1444">
        <v>0</v>
      </c>
      <c r="D1444">
        <v>7</v>
      </c>
      <c r="E1444" t="s">
        <v>1436</v>
      </c>
    </row>
    <row r="1445" spans="1:5">
      <c r="A1445">
        <f>HYPERLINK("http://www.twitter.com/nycoem/status/650643309740867584", "650643309740867584")</f>
        <v>0</v>
      </c>
      <c r="B1445" s="2">
        <v>42281.5049537037</v>
      </c>
      <c r="C1445">
        <v>0</v>
      </c>
      <c r="D1445">
        <v>23</v>
      </c>
      <c r="E1445" t="s">
        <v>1437</v>
      </c>
    </row>
    <row r="1446" spans="1:5">
      <c r="A1446">
        <f>HYPERLINK("http://www.twitter.com/nycoem/status/650376200137887744", "650376200137887744")</f>
        <v>0</v>
      </c>
      <c r="B1446" s="2">
        <v>42280.7678703704</v>
      </c>
      <c r="C1446">
        <v>0</v>
      </c>
      <c r="D1446">
        <v>27</v>
      </c>
      <c r="E1446" t="s">
        <v>1438</v>
      </c>
    </row>
    <row r="1447" spans="1:5">
      <c r="A1447">
        <f>HYPERLINK("http://www.twitter.com/nycoem/status/650369702947127297", "650369702947127297")</f>
        <v>0</v>
      </c>
      <c r="B1447" s="2">
        <v>42280.7499421296</v>
      </c>
      <c r="C1447">
        <v>0</v>
      </c>
      <c r="D1447">
        <v>11</v>
      </c>
      <c r="E1447" t="s">
        <v>1439</v>
      </c>
    </row>
    <row r="1448" spans="1:5">
      <c r="A1448">
        <f>HYPERLINK("http://www.twitter.com/nycoem/status/650363778702442496", "650363778702442496")</f>
        <v>0</v>
      </c>
      <c r="B1448" s="2">
        <v>42280.733587963</v>
      </c>
      <c r="C1448">
        <v>0</v>
      </c>
      <c r="D1448">
        <v>87</v>
      </c>
      <c r="E1448" t="s">
        <v>1440</v>
      </c>
    </row>
    <row r="1449" spans="1:5">
      <c r="A1449">
        <f>HYPERLINK("http://www.twitter.com/nycoem/status/650007366092652545", "650007366092652545")</f>
        <v>0</v>
      </c>
      <c r="B1449" s="2">
        <v>42279.7500810185</v>
      </c>
      <c r="C1449">
        <v>5</v>
      </c>
      <c r="D1449">
        <v>23</v>
      </c>
      <c r="E1449" t="s">
        <v>1441</v>
      </c>
    </row>
    <row r="1450" spans="1:5">
      <c r="A1450">
        <f>HYPERLINK("http://www.twitter.com/nycoem/status/650007208810409985", "650007208810409985")</f>
        <v>0</v>
      </c>
      <c r="B1450" s="2">
        <v>42279.7496412037</v>
      </c>
      <c r="C1450">
        <v>0</v>
      </c>
      <c r="D1450">
        <v>4</v>
      </c>
      <c r="E1450" t="s">
        <v>1442</v>
      </c>
    </row>
    <row r="1451" spans="1:5">
      <c r="A1451">
        <f>HYPERLINK("http://www.twitter.com/nycoem/status/650006792504803328", "650006792504803328")</f>
        <v>0</v>
      </c>
      <c r="B1451" s="2">
        <v>42279.7484953704</v>
      </c>
      <c r="C1451">
        <v>7</v>
      </c>
      <c r="D1451">
        <v>21</v>
      </c>
      <c r="E1451" t="s">
        <v>1443</v>
      </c>
    </row>
    <row r="1452" spans="1:5">
      <c r="A1452">
        <f>HYPERLINK("http://www.twitter.com/nycoem/status/650006533087039488", "650006533087039488")</f>
        <v>0</v>
      </c>
      <c r="B1452" s="2">
        <v>42279.7477777778</v>
      </c>
      <c r="C1452">
        <v>2</v>
      </c>
      <c r="D1452">
        <v>5</v>
      </c>
      <c r="E1452" t="s">
        <v>1444</v>
      </c>
    </row>
    <row r="1453" spans="1:5">
      <c r="A1453">
        <f>HYPERLINK("http://www.twitter.com/nycoem/status/650003399287640064", "650003399287640064")</f>
        <v>0</v>
      </c>
      <c r="B1453" s="2">
        <v>42279.7391319444</v>
      </c>
      <c r="C1453">
        <v>3</v>
      </c>
      <c r="D1453">
        <v>9</v>
      </c>
      <c r="E1453" t="s">
        <v>1445</v>
      </c>
    </row>
    <row r="1454" spans="1:5">
      <c r="A1454">
        <f>HYPERLINK("http://www.twitter.com/nycoem/status/649994833277358080", "649994833277358080")</f>
        <v>0</v>
      </c>
      <c r="B1454" s="2">
        <v>42279.7154976852</v>
      </c>
      <c r="C1454">
        <v>0</v>
      </c>
      <c r="D1454">
        <v>20</v>
      </c>
      <c r="E1454" t="s">
        <v>1446</v>
      </c>
    </row>
    <row r="1455" spans="1:5">
      <c r="A1455">
        <f>HYPERLINK("http://www.twitter.com/nycoem/status/649980836247412736", "649980836247412736")</f>
        <v>0</v>
      </c>
      <c r="B1455" s="2">
        <v>42279.676875</v>
      </c>
      <c r="C1455">
        <v>0</v>
      </c>
      <c r="D1455">
        <v>49</v>
      </c>
      <c r="E1455" t="s">
        <v>1447</v>
      </c>
    </row>
    <row r="1456" spans="1:5">
      <c r="A1456">
        <f>HYPERLINK("http://www.twitter.com/nycoem/status/649957200627154944", "649957200627154944")</f>
        <v>0</v>
      </c>
      <c r="B1456" s="2">
        <v>42279.6116435185</v>
      </c>
      <c r="C1456">
        <v>15</v>
      </c>
      <c r="D1456">
        <v>27</v>
      </c>
      <c r="E1456" t="s">
        <v>1448</v>
      </c>
    </row>
    <row r="1457" spans="1:5">
      <c r="A1457">
        <f>HYPERLINK("http://www.twitter.com/nycoem/status/649924967476367360", "649924967476367360")</f>
        <v>0</v>
      </c>
      <c r="B1457" s="2">
        <v>42279.5226967593</v>
      </c>
      <c r="C1457">
        <v>5</v>
      </c>
      <c r="D1457">
        <v>12</v>
      </c>
      <c r="E1457" t="s">
        <v>1449</v>
      </c>
    </row>
    <row r="1458" spans="1:5">
      <c r="A1458">
        <f>HYPERLINK("http://www.twitter.com/nycoem/status/649919778631622657", "649919778631622657")</f>
        <v>0</v>
      </c>
      <c r="B1458" s="2">
        <v>42279.5083796296</v>
      </c>
      <c r="C1458">
        <v>0</v>
      </c>
      <c r="D1458">
        <v>0</v>
      </c>
      <c r="E1458" t="s">
        <v>1450</v>
      </c>
    </row>
    <row r="1459" spans="1:5">
      <c r="A1459">
        <f>HYPERLINK("http://www.twitter.com/nycoem/status/649737238973186048", "649737238973186048")</f>
        <v>0</v>
      </c>
      <c r="B1459" s="2">
        <v>42279.0046643519</v>
      </c>
      <c r="C1459">
        <v>0</v>
      </c>
      <c r="D1459">
        <v>5</v>
      </c>
      <c r="E1459" t="s">
        <v>1451</v>
      </c>
    </row>
    <row r="1460" spans="1:5">
      <c r="A1460">
        <f>HYPERLINK("http://www.twitter.com/nycoem/status/649734126468210688", "649734126468210688")</f>
        <v>0</v>
      </c>
      <c r="B1460" s="2">
        <v>42278.9960763889</v>
      </c>
      <c r="C1460">
        <v>0</v>
      </c>
      <c r="D1460">
        <v>73</v>
      </c>
      <c r="E1460" t="s">
        <v>1452</v>
      </c>
    </row>
    <row r="1461" spans="1:5">
      <c r="A1461">
        <f>HYPERLINK("http://www.twitter.com/nycoem/status/649713503704641536", "649713503704641536")</f>
        <v>0</v>
      </c>
      <c r="B1461" s="2">
        <v>42278.9391782407</v>
      </c>
      <c r="C1461">
        <v>4</v>
      </c>
      <c r="D1461">
        <v>2</v>
      </c>
      <c r="E1461" t="s">
        <v>1453</v>
      </c>
    </row>
    <row r="1462" spans="1:5">
      <c r="A1462">
        <f>HYPERLINK("http://www.twitter.com/nycoem/status/649712868737318916", "649712868737318916")</f>
        <v>0</v>
      </c>
      <c r="B1462" s="2">
        <v>42278.9374189815</v>
      </c>
      <c r="C1462">
        <v>3</v>
      </c>
      <c r="D1462">
        <v>5</v>
      </c>
      <c r="E1462" t="s">
        <v>1454</v>
      </c>
    </row>
    <row r="1463" spans="1:5">
      <c r="A1463">
        <f>HYPERLINK("http://www.twitter.com/nycoem/status/649712435071324160", "649712435071324160")</f>
        <v>0</v>
      </c>
      <c r="B1463" s="2">
        <v>42278.9362268519</v>
      </c>
      <c r="C1463">
        <v>2</v>
      </c>
      <c r="D1463">
        <v>6</v>
      </c>
      <c r="E1463" t="s">
        <v>1455</v>
      </c>
    </row>
    <row r="1464" spans="1:5">
      <c r="A1464">
        <f>HYPERLINK("http://www.twitter.com/nycoem/status/649711967209431040", "649711967209431040")</f>
        <v>0</v>
      </c>
      <c r="B1464" s="2">
        <v>42278.9349305556</v>
      </c>
      <c r="C1464">
        <v>1</v>
      </c>
      <c r="D1464">
        <v>1</v>
      </c>
      <c r="E1464" t="s">
        <v>1456</v>
      </c>
    </row>
    <row r="1465" spans="1:5">
      <c r="A1465">
        <f>HYPERLINK("http://www.twitter.com/nycoem/status/649711473783083008", "649711473783083008")</f>
        <v>0</v>
      </c>
      <c r="B1465" s="2">
        <v>42278.9335763889</v>
      </c>
      <c r="C1465">
        <v>2</v>
      </c>
      <c r="D1465">
        <v>4</v>
      </c>
      <c r="E1465" t="s">
        <v>1457</v>
      </c>
    </row>
    <row r="1466" spans="1:5">
      <c r="A1466">
        <f>HYPERLINK("http://www.twitter.com/nycoem/status/649710665314246656", "649710665314246656")</f>
        <v>0</v>
      </c>
      <c r="B1466" s="2">
        <v>42278.9313425926</v>
      </c>
      <c r="C1466">
        <v>2</v>
      </c>
      <c r="D1466">
        <v>6</v>
      </c>
      <c r="E1466" t="s">
        <v>1458</v>
      </c>
    </row>
    <row r="1467" spans="1:5">
      <c r="A1467">
        <f>HYPERLINK("http://www.twitter.com/nycoem/status/649708975664066560", "649708975664066560")</f>
        <v>0</v>
      </c>
      <c r="B1467" s="2">
        <v>42278.9266782407</v>
      </c>
      <c r="C1467">
        <v>4</v>
      </c>
      <c r="D1467">
        <v>14</v>
      </c>
      <c r="E1467" t="s">
        <v>1459</v>
      </c>
    </row>
    <row r="1468" spans="1:5">
      <c r="A1468">
        <f>HYPERLINK("http://www.twitter.com/nycoem/status/649708659514179584", "649708659514179584")</f>
        <v>0</v>
      </c>
      <c r="B1468" s="2">
        <v>42278.9258101852</v>
      </c>
      <c r="C1468">
        <v>5</v>
      </c>
      <c r="D1468">
        <v>17</v>
      </c>
      <c r="E1468" t="s">
        <v>1460</v>
      </c>
    </row>
    <row r="1469" spans="1:5">
      <c r="A1469">
        <f>HYPERLINK("http://www.twitter.com/nycoem/status/649708245662179328", "649708245662179328")</f>
        <v>0</v>
      </c>
      <c r="B1469" s="2">
        <v>42278.9246643518</v>
      </c>
      <c r="C1469">
        <v>2</v>
      </c>
      <c r="D1469">
        <v>4</v>
      </c>
      <c r="E1469" t="s">
        <v>1461</v>
      </c>
    </row>
    <row r="1470" spans="1:5">
      <c r="A1470">
        <f>HYPERLINK("http://www.twitter.com/nycoem/status/649707795881832448", "649707795881832448")</f>
        <v>0</v>
      </c>
      <c r="B1470" s="2">
        <v>42278.9234259259</v>
      </c>
      <c r="C1470">
        <v>2</v>
      </c>
      <c r="D1470">
        <v>11</v>
      </c>
      <c r="E1470" t="s">
        <v>1462</v>
      </c>
    </row>
    <row r="1471" spans="1:5">
      <c r="A1471">
        <f>HYPERLINK("http://www.twitter.com/nycoem/status/649707295916576768", "649707295916576768")</f>
        <v>0</v>
      </c>
      <c r="B1471" s="2">
        <v>42278.922037037</v>
      </c>
      <c r="C1471">
        <v>1</v>
      </c>
      <c r="D1471">
        <v>6</v>
      </c>
      <c r="E1471" t="s">
        <v>1463</v>
      </c>
    </row>
    <row r="1472" spans="1:5">
      <c r="A1472">
        <f>HYPERLINK("http://www.twitter.com/nycoem/status/649706864402395136", "649706864402395136")</f>
        <v>0</v>
      </c>
      <c r="B1472" s="2">
        <v>42278.9208564815</v>
      </c>
      <c r="C1472">
        <v>5</v>
      </c>
      <c r="D1472">
        <v>7</v>
      </c>
      <c r="E1472" t="s">
        <v>1464</v>
      </c>
    </row>
    <row r="1473" spans="1:5">
      <c r="A1473">
        <f>HYPERLINK("http://www.twitter.com/nycoem/status/649693530257014784", "649693530257014784")</f>
        <v>0</v>
      </c>
      <c r="B1473" s="2">
        <v>42278.8840509259</v>
      </c>
      <c r="C1473">
        <v>0</v>
      </c>
      <c r="D1473">
        <v>140</v>
      </c>
      <c r="E1473" t="s">
        <v>1465</v>
      </c>
    </row>
    <row r="1474" spans="1:5">
      <c r="A1474">
        <f>HYPERLINK("http://www.twitter.com/nycoem/status/649682291216773120", "649682291216773120")</f>
        <v>0</v>
      </c>
      <c r="B1474" s="2">
        <v>42278.8530439815</v>
      </c>
      <c r="C1474">
        <v>3</v>
      </c>
      <c r="D1474">
        <v>10</v>
      </c>
      <c r="E1474" t="s">
        <v>1466</v>
      </c>
    </row>
    <row r="1475" spans="1:5">
      <c r="A1475">
        <f>HYPERLINK("http://www.twitter.com/nycoem/status/649653305023557632", "649653305023557632")</f>
        <v>0</v>
      </c>
      <c r="B1475" s="2">
        <v>42278.7730555556</v>
      </c>
      <c r="C1475">
        <v>4</v>
      </c>
      <c r="D1475">
        <v>16</v>
      </c>
      <c r="E1475" t="s">
        <v>1467</v>
      </c>
    </row>
    <row r="1476" spans="1:5">
      <c r="A1476">
        <f>HYPERLINK("http://www.twitter.com/nycoem/status/649626832183164928", "649626832183164928")</f>
        <v>0</v>
      </c>
      <c r="B1476" s="2">
        <v>42278.7</v>
      </c>
      <c r="C1476">
        <v>41</v>
      </c>
      <c r="D1476">
        <v>102</v>
      </c>
      <c r="E1476" t="s">
        <v>1468</v>
      </c>
    </row>
    <row r="1477" spans="1:5">
      <c r="A1477">
        <f>HYPERLINK("http://www.twitter.com/nycoem/status/649610220558249984", "649610220558249984")</f>
        <v>0</v>
      </c>
      <c r="B1477" s="2">
        <v>42278.6541666667</v>
      </c>
      <c r="C1477">
        <v>0</v>
      </c>
      <c r="D1477">
        <v>91</v>
      </c>
      <c r="E1477" t="s">
        <v>1469</v>
      </c>
    </row>
    <row r="1478" spans="1:5">
      <c r="A1478">
        <f>HYPERLINK("http://www.twitter.com/nycoem/status/649560827901644800", "649560827901644800")</f>
        <v>0</v>
      </c>
      <c r="B1478" s="2">
        <v>42278.5178703704</v>
      </c>
      <c r="C1478">
        <v>4</v>
      </c>
      <c r="D1478">
        <v>1</v>
      </c>
      <c r="E1478" t="s">
        <v>1470</v>
      </c>
    </row>
    <row r="1479" spans="1:5">
      <c r="A1479">
        <f>HYPERLINK("http://www.twitter.com/nycoem/status/649374170191671297", "649374170191671297")</f>
        <v>0</v>
      </c>
      <c r="B1479" s="2">
        <v>42278.0027893518</v>
      </c>
      <c r="C1479">
        <v>0</v>
      </c>
      <c r="D1479">
        <v>174</v>
      </c>
      <c r="E1479" t="s">
        <v>1471</v>
      </c>
    </row>
    <row r="1480" spans="1:5">
      <c r="A1480">
        <f>HYPERLINK("http://www.twitter.com/nycoem/status/649328017207132160", "649328017207132160")</f>
        <v>0</v>
      </c>
      <c r="B1480" s="2">
        <v>42277.8754282407</v>
      </c>
      <c r="C1480">
        <v>0</v>
      </c>
      <c r="D1480">
        <v>110</v>
      </c>
      <c r="E1480" t="s">
        <v>1472</v>
      </c>
    </row>
    <row r="1481" spans="1:5">
      <c r="A1481">
        <f>HYPERLINK("http://www.twitter.com/nycoem/status/649297413153423361", "649297413153423361")</f>
        <v>0</v>
      </c>
      <c r="B1481" s="2">
        <v>42277.7909837963</v>
      </c>
      <c r="C1481">
        <v>0</v>
      </c>
      <c r="D1481">
        <v>317</v>
      </c>
      <c r="E1481" t="s">
        <v>1473</v>
      </c>
    </row>
    <row r="1482" spans="1:5">
      <c r="A1482">
        <f>HYPERLINK("http://www.twitter.com/nycoem/status/649285272052568065", "649285272052568065")</f>
        <v>0</v>
      </c>
      <c r="B1482" s="2">
        <v>42277.7574768519</v>
      </c>
      <c r="C1482">
        <v>0</v>
      </c>
      <c r="D1482">
        <v>91</v>
      </c>
      <c r="E1482" t="s">
        <v>1474</v>
      </c>
    </row>
    <row r="1483" spans="1:5">
      <c r="A1483">
        <f>HYPERLINK("http://www.twitter.com/nycoem/status/649253290279088128", "649253290279088128")</f>
        <v>0</v>
      </c>
      <c r="B1483" s="2">
        <v>42277.669224537</v>
      </c>
      <c r="C1483">
        <v>2</v>
      </c>
      <c r="D1483">
        <v>1</v>
      </c>
      <c r="E1483" t="s">
        <v>1475</v>
      </c>
    </row>
    <row r="1484" spans="1:5">
      <c r="A1484">
        <f>HYPERLINK("http://www.twitter.com/nycoem/status/649244297322176512", "649244297322176512")</f>
        <v>0</v>
      </c>
      <c r="B1484" s="2">
        <v>42277.6444097222</v>
      </c>
      <c r="C1484">
        <v>0</v>
      </c>
      <c r="D1484">
        <v>89</v>
      </c>
      <c r="E1484" t="s">
        <v>1476</v>
      </c>
    </row>
    <row r="1485" spans="1:5">
      <c r="A1485">
        <f>HYPERLINK("http://www.twitter.com/nycoem/status/649240155564412928", "649240155564412928")</f>
        <v>0</v>
      </c>
      <c r="B1485" s="2">
        <v>42277.6329861111</v>
      </c>
      <c r="C1485">
        <v>0</v>
      </c>
      <c r="D1485">
        <v>6</v>
      </c>
      <c r="E1485" t="s">
        <v>1477</v>
      </c>
    </row>
    <row r="1486" spans="1:5">
      <c r="A1486">
        <f>HYPERLINK("http://www.twitter.com/nycoem/status/649202446875643905", "649202446875643905")</f>
        <v>0</v>
      </c>
      <c r="B1486" s="2">
        <v>42277.5289236111</v>
      </c>
      <c r="C1486">
        <v>0</v>
      </c>
      <c r="D1486">
        <v>224</v>
      </c>
      <c r="E1486" t="s">
        <v>1478</v>
      </c>
    </row>
    <row r="1487" spans="1:5">
      <c r="A1487">
        <f>HYPERLINK("http://www.twitter.com/nycoem/status/648976200774340608", "648976200774340608")</f>
        <v>0</v>
      </c>
      <c r="B1487" s="2">
        <v>42276.9046064815</v>
      </c>
      <c r="C1487">
        <v>0</v>
      </c>
      <c r="D1487">
        <v>2</v>
      </c>
      <c r="E1487" t="s">
        <v>1479</v>
      </c>
    </row>
    <row r="1488" spans="1:5">
      <c r="A1488">
        <f>HYPERLINK("http://www.twitter.com/nycoem/status/648972124363857920", "648972124363857920")</f>
        <v>0</v>
      </c>
      <c r="B1488" s="2">
        <v>42276.8933564815</v>
      </c>
      <c r="C1488">
        <v>11</v>
      </c>
      <c r="D1488">
        <v>21</v>
      </c>
      <c r="E1488" t="s">
        <v>1480</v>
      </c>
    </row>
    <row r="1489" spans="1:5">
      <c r="A1489">
        <f>HYPERLINK("http://www.twitter.com/nycoem/status/648924977878667265", "648924977878667265")</f>
        <v>0</v>
      </c>
      <c r="B1489" s="2">
        <v>42276.7632523148</v>
      </c>
      <c r="C1489">
        <v>6</v>
      </c>
      <c r="D1489">
        <v>3</v>
      </c>
      <c r="E1489" t="s">
        <v>1481</v>
      </c>
    </row>
    <row r="1490" spans="1:5">
      <c r="A1490">
        <f>HYPERLINK("http://www.twitter.com/nycoem/status/648885136256290820", "648885136256290820")</f>
        <v>0</v>
      </c>
      <c r="B1490" s="2">
        <v>42276.6533101852</v>
      </c>
      <c r="C1490">
        <v>3</v>
      </c>
      <c r="D1490">
        <v>9</v>
      </c>
      <c r="E1490" t="s">
        <v>1482</v>
      </c>
    </row>
    <row r="1491" spans="1:5">
      <c r="A1491">
        <f>HYPERLINK("http://www.twitter.com/nycoem/status/648875277960019968", "648875277960019968")</f>
        <v>0</v>
      </c>
      <c r="B1491" s="2">
        <v>42276.6261111111</v>
      </c>
      <c r="C1491">
        <v>0</v>
      </c>
      <c r="D1491">
        <v>67</v>
      </c>
      <c r="E1491" t="s">
        <v>1483</v>
      </c>
    </row>
    <row r="1492" spans="1:5">
      <c r="A1492">
        <f>HYPERLINK("http://www.twitter.com/nycoem/status/648869622255591424", "648869622255591424")</f>
        <v>0</v>
      </c>
      <c r="B1492" s="2">
        <v>42276.6105092593</v>
      </c>
      <c r="C1492">
        <v>0</v>
      </c>
      <c r="D1492">
        <v>2</v>
      </c>
      <c r="E1492" t="s">
        <v>1484</v>
      </c>
    </row>
    <row r="1493" spans="1:5">
      <c r="A1493">
        <f>HYPERLINK("http://www.twitter.com/nycoem/status/648854895836164096", "648854895836164096")</f>
        <v>0</v>
      </c>
      <c r="B1493" s="2">
        <v>42276.5698611111</v>
      </c>
      <c r="C1493">
        <v>2</v>
      </c>
      <c r="D1493">
        <v>8</v>
      </c>
      <c r="E1493" t="s">
        <v>1485</v>
      </c>
    </row>
    <row r="1494" spans="1:5">
      <c r="A1494">
        <f>HYPERLINK("http://www.twitter.com/nycoem/status/648598018518876160", "648598018518876160")</f>
        <v>0</v>
      </c>
      <c r="B1494" s="2">
        <v>42275.8610185185</v>
      </c>
      <c r="C1494">
        <v>0</v>
      </c>
      <c r="D1494">
        <v>10</v>
      </c>
      <c r="E1494" t="s">
        <v>1486</v>
      </c>
    </row>
    <row r="1495" spans="1:5">
      <c r="A1495">
        <f>HYPERLINK("http://www.twitter.com/nycoem/status/648580579961761792", "648580579961761792")</f>
        <v>0</v>
      </c>
      <c r="B1495" s="2">
        <v>42275.8128935185</v>
      </c>
      <c r="C1495">
        <v>0</v>
      </c>
      <c r="D1495">
        <v>0</v>
      </c>
      <c r="E1495" t="s">
        <v>1487</v>
      </c>
    </row>
    <row r="1496" spans="1:5">
      <c r="A1496">
        <f>HYPERLINK("http://www.twitter.com/nycoem/status/648562959904559104", "648562959904559104")</f>
        <v>0</v>
      </c>
      <c r="B1496" s="2">
        <v>42275.7642824074</v>
      </c>
      <c r="C1496">
        <v>0</v>
      </c>
      <c r="D1496">
        <v>4</v>
      </c>
      <c r="E1496" t="s">
        <v>1488</v>
      </c>
    </row>
    <row r="1497" spans="1:5">
      <c r="A1497">
        <f>HYPERLINK("http://www.twitter.com/nycoem/status/648557982448549888", "648557982448549888")</f>
        <v>0</v>
      </c>
      <c r="B1497" s="2">
        <v>42275.7505439815</v>
      </c>
      <c r="C1497">
        <v>0</v>
      </c>
      <c r="D1497">
        <v>12</v>
      </c>
      <c r="E1497" t="s">
        <v>1489</v>
      </c>
    </row>
    <row r="1498" spans="1:5">
      <c r="A1498">
        <f>HYPERLINK("http://www.twitter.com/nycoem/status/648530215161982976", "648530215161982976")</f>
        <v>0</v>
      </c>
      <c r="B1498" s="2">
        <v>42275.6739236111</v>
      </c>
      <c r="C1498">
        <v>2</v>
      </c>
      <c r="D1498">
        <v>2</v>
      </c>
      <c r="E1498" t="s">
        <v>1490</v>
      </c>
    </row>
    <row r="1499" spans="1:5">
      <c r="A1499">
        <f>HYPERLINK("http://www.twitter.com/nycoem/status/648475026564513792", "648475026564513792")</f>
        <v>0</v>
      </c>
      <c r="B1499" s="2">
        <v>42275.5216319444</v>
      </c>
      <c r="C1499">
        <v>0</v>
      </c>
      <c r="D1499">
        <v>80</v>
      </c>
      <c r="E1499" t="s">
        <v>1491</v>
      </c>
    </row>
    <row r="1500" spans="1:5">
      <c r="A1500">
        <f>HYPERLINK("http://www.twitter.com/nycoem/status/648469073605607424", "648469073605607424")</f>
        <v>0</v>
      </c>
      <c r="B1500" s="2">
        <v>42275.5051967593</v>
      </c>
      <c r="C1500">
        <v>1</v>
      </c>
      <c r="D1500">
        <v>1</v>
      </c>
      <c r="E1500" t="s">
        <v>1492</v>
      </c>
    </row>
    <row r="1501" spans="1:5">
      <c r="A1501">
        <f>HYPERLINK("http://www.twitter.com/nycoem/status/647559276819521537", "647559276819521537")</f>
        <v>0</v>
      </c>
      <c r="B1501" s="2">
        <v>42272.9946412037</v>
      </c>
      <c r="C1501">
        <v>0</v>
      </c>
      <c r="D1501">
        <v>33</v>
      </c>
      <c r="E1501" t="s">
        <v>1493</v>
      </c>
    </row>
    <row r="1502" spans="1:5">
      <c r="A1502">
        <f>HYPERLINK("http://www.twitter.com/nycoem/status/647541761468928000", "647541761468928000")</f>
        <v>0</v>
      </c>
      <c r="B1502" s="2">
        <v>42272.9463078704</v>
      </c>
      <c r="C1502">
        <v>0</v>
      </c>
      <c r="D1502">
        <v>1</v>
      </c>
      <c r="E1502" t="s">
        <v>1494</v>
      </c>
    </row>
    <row r="1503" spans="1:5">
      <c r="A1503">
        <f>HYPERLINK("http://www.twitter.com/nycoem/status/647524646317854720", "647524646317854720")</f>
        <v>0</v>
      </c>
      <c r="B1503" s="2">
        <v>42272.8990740741</v>
      </c>
      <c r="C1503">
        <v>0</v>
      </c>
      <c r="D1503">
        <v>5</v>
      </c>
      <c r="E1503" t="s">
        <v>1495</v>
      </c>
    </row>
    <row r="1504" spans="1:5">
      <c r="A1504">
        <f>HYPERLINK("http://www.twitter.com/nycoem/status/647524635358138368", "647524635358138368")</f>
        <v>0</v>
      </c>
      <c r="B1504" s="2">
        <v>42272.8990509259</v>
      </c>
      <c r="C1504">
        <v>0</v>
      </c>
      <c r="D1504">
        <v>3</v>
      </c>
      <c r="E1504" t="s">
        <v>1496</v>
      </c>
    </row>
    <row r="1505" spans="1:5">
      <c r="A1505">
        <f>HYPERLINK("http://www.twitter.com/nycoem/status/647516534336823296", "647516534336823296")</f>
        <v>0</v>
      </c>
      <c r="B1505" s="2">
        <v>42272.8766898148</v>
      </c>
      <c r="C1505">
        <v>6</v>
      </c>
      <c r="D1505">
        <v>4</v>
      </c>
      <c r="E1505" t="s">
        <v>1497</v>
      </c>
    </row>
    <row r="1506" spans="1:5">
      <c r="A1506">
        <f>HYPERLINK("http://www.twitter.com/nycoem/status/647487015395659776", "647487015395659776")</f>
        <v>0</v>
      </c>
      <c r="B1506" s="2">
        <v>42272.7952314815</v>
      </c>
      <c r="C1506">
        <v>3</v>
      </c>
      <c r="D1506">
        <v>8</v>
      </c>
      <c r="E1506" t="s">
        <v>1498</v>
      </c>
    </row>
    <row r="1507" spans="1:5">
      <c r="A1507">
        <f>HYPERLINK("http://www.twitter.com/nycoem/status/647439243997020160", "647439243997020160")</f>
        <v>0</v>
      </c>
      <c r="B1507" s="2">
        <v>42272.6634143519</v>
      </c>
      <c r="C1507">
        <v>1</v>
      </c>
      <c r="D1507">
        <v>2</v>
      </c>
      <c r="E1507" t="s">
        <v>1499</v>
      </c>
    </row>
    <row r="1508" spans="1:5">
      <c r="A1508">
        <f>HYPERLINK("http://www.twitter.com/nycoem/status/647415202640719873", "647415202640719873")</f>
        <v>0</v>
      </c>
      <c r="B1508" s="2">
        <v>42272.5970717593</v>
      </c>
      <c r="C1508">
        <v>0</v>
      </c>
      <c r="D1508">
        <v>33</v>
      </c>
      <c r="E1508" t="s">
        <v>1500</v>
      </c>
    </row>
    <row r="1509" spans="1:5">
      <c r="A1509">
        <f>HYPERLINK("http://www.twitter.com/nycoem/status/647413168025825281", "647413168025825281")</f>
        <v>0</v>
      </c>
      <c r="B1509" s="2">
        <v>42272.5914583333</v>
      </c>
      <c r="C1509">
        <v>2</v>
      </c>
      <c r="D1509">
        <v>8</v>
      </c>
      <c r="E1509" t="s">
        <v>1501</v>
      </c>
    </row>
    <row r="1510" spans="1:5">
      <c r="A1510">
        <f>HYPERLINK("http://www.twitter.com/nycoem/status/647396699074396160", "647396699074396160")</f>
        <v>0</v>
      </c>
      <c r="B1510" s="2">
        <v>42272.5460069444</v>
      </c>
      <c r="C1510">
        <v>1</v>
      </c>
      <c r="D1510">
        <v>8</v>
      </c>
      <c r="E1510" t="s">
        <v>1502</v>
      </c>
    </row>
    <row r="1511" spans="1:5">
      <c r="A1511">
        <f>HYPERLINK("http://www.twitter.com/nycoem/status/647346311298195456", "647346311298195456")</f>
        <v>0</v>
      </c>
      <c r="B1511" s="2">
        <v>42272.4069675926</v>
      </c>
      <c r="C1511">
        <v>0</v>
      </c>
      <c r="D1511">
        <v>38</v>
      </c>
      <c r="E1511" t="s">
        <v>1503</v>
      </c>
    </row>
    <row r="1512" spans="1:5">
      <c r="A1512">
        <f>HYPERLINK("http://www.twitter.com/nycoem/status/647232044637003776", "647232044637003776")</f>
        <v>0</v>
      </c>
      <c r="B1512" s="2">
        <v>42272.0916550926</v>
      </c>
      <c r="C1512">
        <v>0</v>
      </c>
      <c r="D1512">
        <v>3</v>
      </c>
      <c r="E1512" t="s">
        <v>1504</v>
      </c>
    </row>
    <row r="1513" spans="1:5">
      <c r="A1513">
        <f>HYPERLINK("http://www.twitter.com/nycoem/status/647202556771442688", "647202556771442688")</f>
        <v>0</v>
      </c>
      <c r="B1513" s="2">
        <v>42272.0102777778</v>
      </c>
      <c r="C1513">
        <v>0</v>
      </c>
      <c r="D1513">
        <v>4</v>
      </c>
      <c r="E1513" t="s">
        <v>1505</v>
      </c>
    </row>
    <row r="1514" spans="1:5">
      <c r="A1514">
        <f>HYPERLINK("http://www.twitter.com/nycoem/status/647171595216289793", "647171595216289793")</f>
        <v>0</v>
      </c>
      <c r="B1514" s="2">
        <v>42271.924837963</v>
      </c>
      <c r="C1514">
        <v>0</v>
      </c>
      <c r="D1514">
        <v>3</v>
      </c>
      <c r="E1514" t="s">
        <v>1506</v>
      </c>
    </row>
    <row r="1515" spans="1:5">
      <c r="A1515">
        <f>HYPERLINK("http://www.twitter.com/nycoem/status/647120465757110272", "647120465757110272")</f>
        <v>0</v>
      </c>
      <c r="B1515" s="2">
        <v>42271.78375</v>
      </c>
      <c r="C1515">
        <v>0</v>
      </c>
      <c r="D1515">
        <v>15</v>
      </c>
      <c r="E1515" t="s">
        <v>1507</v>
      </c>
    </row>
    <row r="1516" spans="1:5">
      <c r="A1516">
        <f>HYPERLINK("http://www.twitter.com/nycoem/status/647076844525776896", "647076844525776896")</f>
        <v>0</v>
      </c>
      <c r="B1516" s="2">
        <v>42271.6633796296</v>
      </c>
      <c r="C1516">
        <v>2</v>
      </c>
      <c r="D1516">
        <v>8</v>
      </c>
      <c r="E1516" t="s">
        <v>1508</v>
      </c>
    </row>
    <row r="1517" spans="1:5">
      <c r="A1517">
        <f>HYPERLINK("http://www.twitter.com/nycoem/status/647052031459520512", "647052031459520512")</f>
        <v>0</v>
      </c>
      <c r="B1517" s="2">
        <v>42271.5949074074</v>
      </c>
      <c r="C1517">
        <v>4</v>
      </c>
      <c r="D1517">
        <v>6</v>
      </c>
      <c r="E1517" t="s">
        <v>1509</v>
      </c>
    </row>
    <row r="1518" spans="1:5">
      <c r="A1518">
        <f>HYPERLINK("http://www.twitter.com/nycoem/status/647045542560825344", "647045542560825344")</f>
        <v>0</v>
      </c>
      <c r="B1518" s="2">
        <v>42271.5770023148</v>
      </c>
      <c r="C1518">
        <v>0</v>
      </c>
      <c r="D1518">
        <v>2</v>
      </c>
      <c r="E1518" t="s">
        <v>1510</v>
      </c>
    </row>
    <row r="1519" spans="1:5">
      <c r="A1519">
        <f>HYPERLINK("http://www.twitter.com/nycoem/status/647040066863394816", "647040066863394816")</f>
        <v>0</v>
      </c>
      <c r="B1519" s="2">
        <v>42271.5618981481</v>
      </c>
      <c r="C1519">
        <v>3</v>
      </c>
      <c r="D1519">
        <v>5</v>
      </c>
      <c r="E1519" t="s">
        <v>1511</v>
      </c>
    </row>
    <row r="1520" spans="1:5">
      <c r="A1520">
        <f>HYPERLINK("http://www.twitter.com/nycoem/status/647038066130034688", "647038066130034688")</f>
        <v>0</v>
      </c>
      <c r="B1520" s="2">
        <v>42271.5563773148</v>
      </c>
      <c r="C1520">
        <v>2</v>
      </c>
      <c r="D1520">
        <v>1</v>
      </c>
      <c r="E1520" t="s">
        <v>1512</v>
      </c>
    </row>
    <row r="1521" spans="1:5">
      <c r="A1521">
        <f>HYPERLINK("http://www.twitter.com/nycoem/status/647033388554145792", "647033388554145792")</f>
        <v>0</v>
      </c>
      <c r="B1521" s="2">
        <v>42271.5434606482</v>
      </c>
      <c r="C1521">
        <v>0</v>
      </c>
      <c r="D1521">
        <v>209</v>
      </c>
      <c r="E1521" t="s">
        <v>1513</v>
      </c>
    </row>
    <row r="1522" spans="1:5">
      <c r="A1522">
        <f>HYPERLINK("http://www.twitter.com/nycoem/status/646763600451895296", "646763600451895296")</f>
        <v>0</v>
      </c>
      <c r="B1522" s="2">
        <v>42270.7989930556</v>
      </c>
      <c r="C1522">
        <v>2</v>
      </c>
      <c r="D1522">
        <v>8</v>
      </c>
      <c r="E1522" t="s">
        <v>1514</v>
      </c>
    </row>
    <row r="1523" spans="1:5">
      <c r="A1523">
        <f>HYPERLINK("http://www.twitter.com/nycoem/status/646715926134554625", "646715926134554625")</f>
        <v>0</v>
      </c>
      <c r="B1523" s="2">
        <v>42270.6674305556</v>
      </c>
      <c r="C1523">
        <v>5</v>
      </c>
      <c r="D1523">
        <v>14</v>
      </c>
      <c r="E1523" t="s">
        <v>1515</v>
      </c>
    </row>
    <row r="1524" spans="1:5">
      <c r="A1524">
        <f>HYPERLINK("http://www.twitter.com/nycoem/status/646714477703000065", "646714477703000065")</f>
        <v>0</v>
      </c>
      <c r="B1524" s="2">
        <v>42270.6634375</v>
      </c>
      <c r="C1524">
        <v>0</v>
      </c>
      <c r="D1524">
        <v>2</v>
      </c>
      <c r="E1524" t="s">
        <v>1516</v>
      </c>
    </row>
    <row r="1525" spans="1:5">
      <c r="A1525">
        <f>HYPERLINK("http://www.twitter.com/nycoem/status/646680455069237248", "646680455069237248")</f>
        <v>0</v>
      </c>
      <c r="B1525" s="2">
        <v>42270.5695486111</v>
      </c>
      <c r="C1525">
        <v>0</v>
      </c>
      <c r="D1525">
        <v>1</v>
      </c>
      <c r="E1525" t="s">
        <v>1517</v>
      </c>
    </row>
    <row r="1526" spans="1:5">
      <c r="A1526">
        <f>HYPERLINK("http://www.twitter.com/nycoem/status/646667958689865728", "646667958689865728")</f>
        <v>0</v>
      </c>
      <c r="B1526" s="2">
        <v>42270.5350694444</v>
      </c>
      <c r="C1526">
        <v>2</v>
      </c>
      <c r="D1526">
        <v>2</v>
      </c>
      <c r="E1526" t="s">
        <v>1518</v>
      </c>
    </row>
    <row r="1527" spans="1:5">
      <c r="A1527">
        <f>HYPERLINK("http://www.twitter.com/nycoem/status/646441377941876736", "646441377941876736")</f>
        <v>0</v>
      </c>
      <c r="B1527" s="2">
        <v>42269.9098263889</v>
      </c>
      <c r="C1527">
        <v>7</v>
      </c>
      <c r="D1527">
        <v>3</v>
      </c>
      <c r="E1527" t="s">
        <v>1519</v>
      </c>
    </row>
    <row r="1528" spans="1:5">
      <c r="A1528">
        <f>HYPERLINK("http://www.twitter.com/nycoem/status/646434375610048512", "646434375610048512")</f>
        <v>0</v>
      </c>
      <c r="B1528" s="2">
        <v>42269.8904976852</v>
      </c>
      <c r="C1528">
        <v>0</v>
      </c>
      <c r="D1528">
        <v>17</v>
      </c>
      <c r="E1528" t="s">
        <v>1520</v>
      </c>
    </row>
    <row r="1529" spans="1:5">
      <c r="A1529">
        <f>HYPERLINK("http://www.twitter.com/nycoem/status/646430234049409024", "646430234049409024")</f>
        <v>0</v>
      </c>
      <c r="B1529" s="2">
        <v>42269.8790740741</v>
      </c>
      <c r="C1529">
        <v>12</v>
      </c>
      <c r="D1529">
        <v>15</v>
      </c>
      <c r="E1529" t="s">
        <v>1521</v>
      </c>
    </row>
    <row r="1530" spans="1:5">
      <c r="A1530">
        <f>HYPERLINK("http://www.twitter.com/nycoem/status/646376157424840705", "646376157424840705")</f>
        <v>0</v>
      </c>
      <c r="B1530" s="2">
        <v>42269.729849537</v>
      </c>
      <c r="C1530">
        <v>3</v>
      </c>
      <c r="D1530">
        <v>4</v>
      </c>
      <c r="E1530" t="s">
        <v>1522</v>
      </c>
    </row>
    <row r="1531" spans="1:5">
      <c r="A1531">
        <f>HYPERLINK("http://www.twitter.com/nycoem/status/646316882925080576", "646316882925080576")</f>
        <v>0</v>
      </c>
      <c r="B1531" s="2">
        <v>42269.5662847222</v>
      </c>
      <c r="C1531">
        <v>1</v>
      </c>
      <c r="D1531">
        <v>1</v>
      </c>
      <c r="E1531" t="s">
        <v>1523</v>
      </c>
    </row>
    <row r="1532" spans="1:5">
      <c r="A1532">
        <f>HYPERLINK("http://www.twitter.com/nycoem/status/646044293816303616", "646044293816303616")</f>
        <v>0</v>
      </c>
      <c r="B1532" s="2">
        <v>42268.8140856481</v>
      </c>
      <c r="C1532">
        <v>2</v>
      </c>
      <c r="D1532">
        <v>0</v>
      </c>
      <c r="E1532" t="s">
        <v>1524</v>
      </c>
    </row>
    <row r="1533" spans="1:5">
      <c r="A1533">
        <f>HYPERLINK("http://www.twitter.com/nycoem/status/646035026023448577", "646035026023448577")</f>
        <v>0</v>
      </c>
      <c r="B1533" s="2">
        <v>42268.7885069444</v>
      </c>
      <c r="C1533">
        <v>2</v>
      </c>
      <c r="D1533">
        <v>4</v>
      </c>
      <c r="E1533" t="s">
        <v>1525</v>
      </c>
    </row>
    <row r="1534" spans="1:5">
      <c r="A1534">
        <f>HYPERLINK("http://www.twitter.com/nycoem/status/646019631744950272", "646019631744950272")</f>
        <v>0</v>
      </c>
      <c r="B1534" s="2">
        <v>42268.7460300926</v>
      </c>
      <c r="C1534">
        <v>4</v>
      </c>
      <c r="D1534">
        <v>2</v>
      </c>
      <c r="E1534" t="s">
        <v>1526</v>
      </c>
    </row>
    <row r="1535" spans="1:5">
      <c r="A1535">
        <f>HYPERLINK("http://www.twitter.com/nycoem/status/645993546277851136", "645993546277851136")</f>
        <v>0</v>
      </c>
      <c r="B1535" s="2">
        <v>42268.6740509259</v>
      </c>
      <c r="C1535">
        <v>4</v>
      </c>
      <c r="D1535">
        <v>4</v>
      </c>
      <c r="E1535" t="s">
        <v>1527</v>
      </c>
    </row>
    <row r="1536" spans="1:5">
      <c r="A1536">
        <f>HYPERLINK("http://www.twitter.com/nycoem/status/645980881237188608", "645980881237188608")</f>
        <v>0</v>
      </c>
      <c r="B1536" s="2">
        <v>42268.6390972222</v>
      </c>
      <c r="C1536">
        <v>0</v>
      </c>
      <c r="D1536">
        <v>115</v>
      </c>
      <c r="E1536" t="s">
        <v>1528</v>
      </c>
    </row>
    <row r="1537" spans="1:5">
      <c r="A1537">
        <f>HYPERLINK("http://www.twitter.com/nycoem/status/645974994904838145", "645974994904838145")</f>
        <v>0</v>
      </c>
      <c r="B1537" s="2">
        <v>42268.6228587963</v>
      </c>
      <c r="C1537">
        <v>2</v>
      </c>
      <c r="D1537">
        <v>0</v>
      </c>
      <c r="E1537" t="s">
        <v>1529</v>
      </c>
    </row>
    <row r="1538" spans="1:5">
      <c r="A1538">
        <f>HYPERLINK("http://www.twitter.com/nycoem/status/645946902345854976", "645946902345854976")</f>
        <v>0</v>
      </c>
      <c r="B1538" s="2">
        <v>42268.5453356481</v>
      </c>
      <c r="C1538">
        <v>4</v>
      </c>
      <c r="D1538">
        <v>6</v>
      </c>
      <c r="E1538" t="s">
        <v>1530</v>
      </c>
    </row>
    <row r="1539" spans="1:5">
      <c r="A1539">
        <f>HYPERLINK("http://www.twitter.com/nycoem/status/645626084927635456", "645626084927635456")</f>
        <v>0</v>
      </c>
      <c r="B1539" s="2">
        <v>42267.6600462963</v>
      </c>
      <c r="C1539">
        <v>3</v>
      </c>
      <c r="D1539">
        <v>5</v>
      </c>
      <c r="E1539" t="s">
        <v>1531</v>
      </c>
    </row>
    <row r="1540" spans="1:5">
      <c r="A1540">
        <f>HYPERLINK("http://www.twitter.com/nycoem/status/645595875851530240", "645595875851530240")</f>
        <v>0</v>
      </c>
      <c r="B1540" s="2">
        <v>42267.5766898148</v>
      </c>
      <c r="C1540">
        <v>4</v>
      </c>
      <c r="D1540">
        <v>3</v>
      </c>
      <c r="E1540" t="s">
        <v>1532</v>
      </c>
    </row>
    <row r="1541" spans="1:5">
      <c r="A1541">
        <f>HYPERLINK("http://www.twitter.com/nycoem/status/645239826174877698", "645239826174877698")</f>
        <v>0</v>
      </c>
      <c r="B1541" s="2">
        <v>42266.5941782407</v>
      </c>
      <c r="C1541">
        <v>4</v>
      </c>
      <c r="D1541">
        <v>7</v>
      </c>
      <c r="E1541" t="s">
        <v>1533</v>
      </c>
    </row>
    <row r="1542" spans="1:5">
      <c r="A1542">
        <f>HYPERLINK("http://www.twitter.com/nycoem/status/645233511499177984", "645233511499177984")</f>
        <v>0</v>
      </c>
      <c r="B1542" s="2">
        <v>42266.5767476852</v>
      </c>
      <c r="C1542">
        <v>2</v>
      </c>
      <c r="D1542">
        <v>9</v>
      </c>
      <c r="E1542" t="s">
        <v>1534</v>
      </c>
    </row>
    <row r="1543" spans="1:5">
      <c r="A1543">
        <f>HYPERLINK("http://www.twitter.com/nycoem/status/644906345653776384", "644906345653776384")</f>
        <v>0</v>
      </c>
      <c r="B1543" s="2">
        <v>42265.6739467593</v>
      </c>
      <c r="C1543">
        <v>3</v>
      </c>
      <c r="D1543">
        <v>14</v>
      </c>
      <c r="E1543" t="s">
        <v>1535</v>
      </c>
    </row>
    <row r="1544" spans="1:5">
      <c r="A1544">
        <f>HYPERLINK("http://www.twitter.com/nycoem/status/644875005361319936", "644875005361319936")</f>
        <v>0</v>
      </c>
      <c r="B1544" s="2">
        <v>42265.5874652778</v>
      </c>
      <c r="C1544">
        <v>3</v>
      </c>
      <c r="D1544">
        <v>7</v>
      </c>
      <c r="E1544" t="s">
        <v>1536</v>
      </c>
    </row>
    <row r="1545" spans="1:5">
      <c r="A1545">
        <f>HYPERLINK("http://www.twitter.com/nycoem/status/644867933039128576", "644867933039128576")</f>
        <v>0</v>
      </c>
      <c r="B1545" s="2">
        <v>42265.5679398148</v>
      </c>
      <c r="C1545">
        <v>2</v>
      </c>
      <c r="D1545">
        <v>5</v>
      </c>
      <c r="E1545" t="s">
        <v>1537</v>
      </c>
    </row>
    <row r="1546" spans="1:5">
      <c r="A1546">
        <f>HYPERLINK("http://www.twitter.com/nycoem/status/644586848938012672", "644586848938012672")</f>
        <v>0</v>
      </c>
      <c r="B1546" s="2">
        <v>42264.7923032407</v>
      </c>
      <c r="C1546">
        <v>0</v>
      </c>
      <c r="D1546">
        <v>1</v>
      </c>
      <c r="E1546" t="s">
        <v>1538</v>
      </c>
    </row>
    <row r="1547" spans="1:5">
      <c r="A1547">
        <f>HYPERLINK("http://www.twitter.com/nycoem/status/644585463244812288", "644585463244812288")</f>
        <v>0</v>
      </c>
      <c r="B1547" s="2">
        <v>42264.7884722222</v>
      </c>
      <c r="C1547">
        <v>1</v>
      </c>
      <c r="D1547">
        <v>0</v>
      </c>
      <c r="E1547" t="s">
        <v>1539</v>
      </c>
    </row>
    <row r="1548" spans="1:5">
      <c r="A1548">
        <f>HYPERLINK("http://www.twitter.com/nycoem/status/644541589658935296", "644541589658935296")</f>
        <v>0</v>
      </c>
      <c r="B1548" s="2">
        <v>42264.6674074074</v>
      </c>
      <c r="C1548">
        <v>2</v>
      </c>
      <c r="D1548">
        <v>4</v>
      </c>
      <c r="E1548" t="s">
        <v>1540</v>
      </c>
    </row>
    <row r="1549" spans="1:5">
      <c r="A1549">
        <f>HYPERLINK("http://www.twitter.com/nycoem/status/644538200300630016", "644538200300630016")</f>
        <v>0</v>
      </c>
      <c r="B1549" s="2">
        <v>42264.6580555556</v>
      </c>
      <c r="C1549">
        <v>3</v>
      </c>
      <c r="D1549">
        <v>11</v>
      </c>
      <c r="E1549" t="s">
        <v>1541</v>
      </c>
    </row>
    <row r="1550" spans="1:5">
      <c r="A1550">
        <f>HYPERLINK("http://www.twitter.com/nycoem/status/644503421794525184", "644503421794525184")</f>
        <v>0</v>
      </c>
      <c r="B1550" s="2">
        <v>42264.5620833333</v>
      </c>
      <c r="C1550">
        <v>6</v>
      </c>
      <c r="D1550">
        <v>5</v>
      </c>
      <c r="E1550" t="s">
        <v>1542</v>
      </c>
    </row>
    <row r="1551" spans="1:5">
      <c r="A1551">
        <f>HYPERLINK("http://www.twitter.com/nycoem/status/644276888299372544", "644276888299372544")</f>
        <v>0</v>
      </c>
      <c r="B1551" s="2">
        <v>42263.9369675926</v>
      </c>
      <c r="C1551">
        <v>1</v>
      </c>
      <c r="D1551">
        <v>1</v>
      </c>
      <c r="E1551" t="s">
        <v>1543</v>
      </c>
    </row>
    <row r="1552" spans="1:5">
      <c r="A1552">
        <f>HYPERLINK("http://www.twitter.com/nycoem/status/644268504506605568", "644268504506605568")</f>
        <v>0</v>
      </c>
      <c r="B1552" s="2">
        <v>42263.9138425926</v>
      </c>
      <c r="C1552">
        <v>2</v>
      </c>
      <c r="D1552">
        <v>2</v>
      </c>
      <c r="E1552" t="s">
        <v>1544</v>
      </c>
    </row>
    <row r="1553" spans="1:5">
      <c r="A1553">
        <f>HYPERLINK("http://www.twitter.com/nycoem/status/644179172819116038", "644179172819116038")</f>
        <v>0</v>
      </c>
      <c r="B1553" s="2">
        <v>42263.6673263889</v>
      </c>
      <c r="C1553">
        <v>3</v>
      </c>
      <c r="D1553">
        <v>3</v>
      </c>
      <c r="E1553" t="s">
        <v>1545</v>
      </c>
    </row>
    <row r="1554" spans="1:5">
      <c r="A1554">
        <f>HYPERLINK("http://www.twitter.com/nycoem/status/644155385918660609", "644155385918660609")</f>
        <v>0</v>
      </c>
      <c r="B1554" s="2">
        <v>42263.6016898148</v>
      </c>
      <c r="C1554">
        <v>0</v>
      </c>
      <c r="D1554">
        <v>3</v>
      </c>
      <c r="E1554" t="s">
        <v>1546</v>
      </c>
    </row>
    <row r="1555" spans="1:5">
      <c r="A1555">
        <f>HYPERLINK("http://www.twitter.com/nycoem/status/644145181541933056", "644145181541933056")</f>
        <v>0</v>
      </c>
      <c r="B1555" s="2">
        <v>42263.5735300926</v>
      </c>
      <c r="C1555">
        <v>2</v>
      </c>
      <c r="D1555">
        <v>2</v>
      </c>
      <c r="E1555" t="s">
        <v>1547</v>
      </c>
    </row>
    <row r="1556" spans="1:5">
      <c r="A1556">
        <f>HYPERLINK("http://www.twitter.com/nycoem/status/644141617868374017", "644141617868374017")</f>
        <v>0</v>
      </c>
      <c r="B1556" s="2">
        <v>42263.5636921296</v>
      </c>
      <c r="C1556">
        <v>1</v>
      </c>
      <c r="D1556">
        <v>2</v>
      </c>
      <c r="E1556" t="s">
        <v>1548</v>
      </c>
    </row>
    <row r="1557" spans="1:5">
      <c r="A1557">
        <f>HYPERLINK("http://www.twitter.com/nycoem/status/644137649259835396", "644137649259835396")</f>
        <v>0</v>
      </c>
      <c r="B1557" s="2">
        <v>42263.5527430556</v>
      </c>
      <c r="C1557">
        <v>3</v>
      </c>
      <c r="D1557">
        <v>4</v>
      </c>
      <c r="E1557" t="s">
        <v>1549</v>
      </c>
    </row>
    <row r="1558" spans="1:5">
      <c r="A1558">
        <f>HYPERLINK("http://www.twitter.com/nycoem/status/643860678525231104", "643860678525231104")</f>
        <v>0</v>
      </c>
      <c r="B1558" s="2">
        <v>42262.7884490741</v>
      </c>
      <c r="C1558">
        <v>1</v>
      </c>
      <c r="D1558">
        <v>4</v>
      </c>
      <c r="E1558" t="s">
        <v>1550</v>
      </c>
    </row>
    <row r="1559" spans="1:5">
      <c r="A1559">
        <f>HYPERLINK("http://www.twitter.com/nycoem/status/643820659492130816", "643820659492130816")</f>
        <v>0</v>
      </c>
      <c r="B1559" s="2">
        <v>42262.6780208333</v>
      </c>
      <c r="C1559">
        <v>4</v>
      </c>
      <c r="D1559">
        <v>3</v>
      </c>
      <c r="E1559" t="s">
        <v>1551</v>
      </c>
    </row>
    <row r="1560" spans="1:5">
      <c r="A1560">
        <f>HYPERLINK("http://www.twitter.com/nycoem/status/643815382197891072", "643815382197891072")</f>
        <v>0</v>
      </c>
      <c r="B1560" s="2">
        <v>42262.6634606481</v>
      </c>
      <c r="C1560">
        <v>1</v>
      </c>
      <c r="D1560">
        <v>1</v>
      </c>
      <c r="E1560" t="s">
        <v>1552</v>
      </c>
    </row>
    <row r="1561" spans="1:5">
      <c r="A1561">
        <f>HYPERLINK("http://www.twitter.com/nycoem/status/643794551430365184", "643794551430365184")</f>
        <v>0</v>
      </c>
      <c r="B1561" s="2">
        <v>42262.6059722222</v>
      </c>
      <c r="C1561">
        <v>2</v>
      </c>
      <c r="D1561">
        <v>2</v>
      </c>
      <c r="E1561" t="s">
        <v>1553</v>
      </c>
    </row>
    <row r="1562" spans="1:5">
      <c r="A1562">
        <f>HYPERLINK("http://www.twitter.com/nycoem/status/643781699638325248", "643781699638325248")</f>
        <v>0</v>
      </c>
      <c r="B1562" s="2">
        <v>42262.5705092593</v>
      </c>
      <c r="C1562">
        <v>4</v>
      </c>
      <c r="D1562">
        <v>3</v>
      </c>
      <c r="E1562" t="s">
        <v>1554</v>
      </c>
    </row>
    <row r="1563" spans="1:5">
      <c r="A1563">
        <f>HYPERLINK("http://www.twitter.com/nycoem/status/643772093558079489", "643772093558079489")</f>
        <v>0</v>
      </c>
      <c r="B1563" s="2">
        <v>42262.5440046296</v>
      </c>
      <c r="C1563">
        <v>10</v>
      </c>
      <c r="D1563">
        <v>11</v>
      </c>
      <c r="E1563" t="s">
        <v>1555</v>
      </c>
    </row>
    <row r="1564" spans="1:5">
      <c r="A1564">
        <f>HYPERLINK("http://www.twitter.com/nycoem/status/643543584239697921", "643543584239697921")</f>
        <v>0</v>
      </c>
      <c r="B1564" s="2">
        <v>42261.9134375</v>
      </c>
      <c r="C1564">
        <v>1</v>
      </c>
      <c r="D1564">
        <v>4</v>
      </c>
      <c r="E1564" t="s">
        <v>1556</v>
      </c>
    </row>
    <row r="1565" spans="1:5">
      <c r="A1565">
        <f>HYPERLINK("http://www.twitter.com/nycoem/status/643516849485955072", "643516849485955072")</f>
        <v>0</v>
      </c>
      <c r="B1565" s="2">
        <v>42261.8396643518</v>
      </c>
      <c r="C1565">
        <v>0</v>
      </c>
      <c r="D1565">
        <v>18</v>
      </c>
      <c r="E1565" t="s">
        <v>1557</v>
      </c>
    </row>
    <row r="1566" spans="1:5">
      <c r="A1566">
        <f>HYPERLINK("http://www.twitter.com/nycoem/status/643515175799234560", "643515175799234560")</f>
        <v>0</v>
      </c>
      <c r="B1566" s="2">
        <v>42261.8350462963</v>
      </c>
      <c r="C1566">
        <v>0</v>
      </c>
      <c r="D1566">
        <v>2</v>
      </c>
      <c r="E1566" t="s">
        <v>1558</v>
      </c>
    </row>
    <row r="1567" spans="1:5">
      <c r="A1567">
        <f>HYPERLINK("http://www.twitter.com/nycoem/status/643513855637868544", "643513855637868544")</f>
        <v>0</v>
      </c>
      <c r="B1567" s="2">
        <v>42261.831400463</v>
      </c>
      <c r="C1567">
        <v>0</v>
      </c>
      <c r="D1567">
        <v>0</v>
      </c>
      <c r="E1567" t="s">
        <v>1559</v>
      </c>
    </row>
    <row r="1568" spans="1:5">
      <c r="A1568">
        <f>HYPERLINK("http://www.twitter.com/nycoem/status/643512597296336897", "643512597296336897")</f>
        <v>0</v>
      </c>
      <c r="B1568" s="2">
        <v>42261.8279282407</v>
      </c>
      <c r="C1568">
        <v>0</v>
      </c>
      <c r="D1568">
        <v>0</v>
      </c>
      <c r="E1568" t="s">
        <v>1560</v>
      </c>
    </row>
    <row r="1569" spans="1:5">
      <c r="A1569">
        <f>HYPERLINK("http://www.twitter.com/nycoem/status/643511972294717440", "643511972294717440")</f>
        <v>0</v>
      </c>
      <c r="B1569" s="2">
        <v>42261.8262037037</v>
      </c>
      <c r="C1569">
        <v>0</v>
      </c>
      <c r="D1569">
        <v>2</v>
      </c>
      <c r="E1569" t="s">
        <v>1561</v>
      </c>
    </row>
    <row r="1570" spans="1:5">
      <c r="A1570">
        <f>HYPERLINK("http://www.twitter.com/nycoem/status/643511260047376385", "643511260047376385")</f>
        <v>0</v>
      </c>
      <c r="B1570" s="2">
        <v>42261.8242361111</v>
      </c>
      <c r="C1570">
        <v>2</v>
      </c>
      <c r="D1570">
        <v>1</v>
      </c>
      <c r="E1570" t="s">
        <v>1562</v>
      </c>
    </row>
    <row r="1571" spans="1:5">
      <c r="A1571">
        <f>HYPERLINK("http://www.twitter.com/nycoem/status/643497067638312960", "643497067638312960")</f>
        <v>0</v>
      </c>
      <c r="B1571" s="2">
        <v>42261.7850810185</v>
      </c>
      <c r="C1571">
        <v>0</v>
      </c>
      <c r="D1571">
        <v>2</v>
      </c>
      <c r="E1571" t="s">
        <v>1563</v>
      </c>
    </row>
    <row r="1572" spans="1:5">
      <c r="A1572">
        <f>HYPERLINK("http://www.twitter.com/nycoem/status/643451758921031680", "643451758921031680")</f>
        <v>0</v>
      </c>
      <c r="B1572" s="2">
        <v>42261.6600462963</v>
      </c>
      <c r="C1572">
        <v>5</v>
      </c>
      <c r="D1572">
        <v>11</v>
      </c>
      <c r="E1572" t="s">
        <v>1564</v>
      </c>
    </row>
    <row r="1573" spans="1:5">
      <c r="A1573">
        <f>HYPERLINK("http://www.twitter.com/nycoem/status/643440096709054464", "643440096709054464")</f>
        <v>0</v>
      </c>
      <c r="B1573" s="2">
        <v>42261.6278703704</v>
      </c>
      <c r="C1573">
        <v>2</v>
      </c>
      <c r="D1573">
        <v>5</v>
      </c>
      <c r="E1573" t="s">
        <v>1565</v>
      </c>
    </row>
    <row r="1574" spans="1:5">
      <c r="A1574">
        <f>HYPERLINK("http://www.twitter.com/nycoem/status/643416073992335361", "643416073992335361")</f>
        <v>0</v>
      </c>
      <c r="B1574" s="2">
        <v>42261.5615740741</v>
      </c>
      <c r="C1574">
        <v>3</v>
      </c>
      <c r="D1574">
        <v>5</v>
      </c>
      <c r="E1574" t="s">
        <v>1566</v>
      </c>
    </row>
    <row r="1575" spans="1:5">
      <c r="A1575">
        <f>HYPERLINK("http://www.twitter.com/nycoem/status/643149577437204481", "643149577437204481")</f>
        <v>0</v>
      </c>
      <c r="B1575" s="2">
        <v>42260.8261921296</v>
      </c>
      <c r="C1575">
        <v>7</v>
      </c>
      <c r="D1575">
        <v>14</v>
      </c>
      <c r="E1575" t="s">
        <v>1567</v>
      </c>
    </row>
    <row r="1576" spans="1:5">
      <c r="A1576">
        <f>HYPERLINK("http://www.twitter.com/nycoem/status/642708068594241536", "642708068594241536")</f>
        <v>0</v>
      </c>
      <c r="B1576" s="2">
        <v>42259.6078587963</v>
      </c>
      <c r="C1576">
        <v>0</v>
      </c>
      <c r="D1576">
        <v>1</v>
      </c>
      <c r="E1576" t="s">
        <v>1568</v>
      </c>
    </row>
    <row r="1577" spans="1:5">
      <c r="A1577">
        <f>HYPERLINK("http://www.twitter.com/nycoem/status/642460199714979841", "642460199714979841")</f>
        <v>0</v>
      </c>
      <c r="B1577" s="2">
        <v>42258.9238657407</v>
      </c>
      <c r="C1577">
        <v>1</v>
      </c>
      <c r="D1577">
        <v>1</v>
      </c>
      <c r="E1577" t="s">
        <v>1569</v>
      </c>
    </row>
    <row r="1578" spans="1:5">
      <c r="A1578">
        <f>HYPERLINK("http://www.twitter.com/nycoem/status/642412502702276608", "642412502702276608")</f>
        <v>0</v>
      </c>
      <c r="B1578" s="2">
        <v>42258.7922453704</v>
      </c>
      <c r="C1578">
        <v>3</v>
      </c>
      <c r="D1578">
        <v>4</v>
      </c>
      <c r="E1578" t="s">
        <v>1570</v>
      </c>
    </row>
    <row r="1579" spans="1:5">
      <c r="A1579">
        <f>HYPERLINK("http://www.twitter.com/nycoem/status/642354809220296704", "642354809220296704")</f>
        <v>0</v>
      </c>
      <c r="B1579" s="2">
        <v>42258.6330439815</v>
      </c>
      <c r="C1579">
        <v>13</v>
      </c>
      <c r="D1579">
        <v>13</v>
      </c>
      <c r="E1579" t="s">
        <v>1571</v>
      </c>
    </row>
    <row r="1580" spans="1:5">
      <c r="A1580">
        <f>HYPERLINK("http://www.twitter.com/nycoem/status/642047618525343744", "642047618525343744")</f>
        <v>0</v>
      </c>
      <c r="B1580" s="2">
        <v>42257.7853587963</v>
      </c>
      <c r="C1580">
        <v>2</v>
      </c>
      <c r="D1580">
        <v>2</v>
      </c>
      <c r="E1580" t="s">
        <v>1572</v>
      </c>
    </row>
    <row r="1581" spans="1:5">
      <c r="A1581">
        <f>HYPERLINK("http://www.twitter.com/nycoem/status/641997199740661760", "641997199740661760")</f>
        <v>0</v>
      </c>
      <c r="B1581" s="2">
        <v>42257.6462268519</v>
      </c>
      <c r="C1581">
        <v>4</v>
      </c>
      <c r="D1581">
        <v>6</v>
      </c>
      <c r="E1581" t="s">
        <v>1573</v>
      </c>
    </row>
    <row r="1582" spans="1:5">
      <c r="A1582">
        <f>HYPERLINK("http://www.twitter.com/nycoem/status/641969889297698816", "641969889297698816")</f>
        <v>0</v>
      </c>
      <c r="B1582" s="2">
        <v>42257.5708680556</v>
      </c>
      <c r="C1582">
        <v>2</v>
      </c>
      <c r="D1582">
        <v>1</v>
      </c>
      <c r="E1582" t="s">
        <v>1574</v>
      </c>
    </row>
    <row r="1583" spans="1:5">
      <c r="A1583">
        <f>HYPERLINK("http://www.twitter.com/nycoem/status/641730398511345664", "641730398511345664")</f>
        <v>0</v>
      </c>
      <c r="B1583" s="2">
        <v>42256.91</v>
      </c>
      <c r="C1583">
        <v>14</v>
      </c>
      <c r="D1583">
        <v>12</v>
      </c>
      <c r="E1583" t="s">
        <v>1575</v>
      </c>
    </row>
    <row r="1584" spans="1:5">
      <c r="A1584">
        <f>HYPERLINK("http://www.twitter.com/nycoem/status/641691406348763136", "641691406348763136")</f>
        <v>0</v>
      </c>
      <c r="B1584" s="2">
        <v>42256.8023958333</v>
      </c>
      <c r="C1584">
        <v>2</v>
      </c>
      <c r="D1584">
        <v>6</v>
      </c>
      <c r="E1584" t="s">
        <v>1576</v>
      </c>
    </row>
    <row r="1585" spans="1:5">
      <c r="A1585">
        <f>HYPERLINK("http://www.twitter.com/nycoem/status/641645295844114432", "641645295844114432")</f>
        <v>0</v>
      </c>
      <c r="B1585" s="2">
        <v>42256.675162037</v>
      </c>
      <c r="C1585">
        <v>1</v>
      </c>
      <c r="D1585">
        <v>0</v>
      </c>
      <c r="E1585" t="s">
        <v>1577</v>
      </c>
    </row>
    <row r="1586" spans="1:5">
      <c r="A1586">
        <f>HYPERLINK("http://www.twitter.com/nycoem/status/641599660046569472", "641599660046569472")</f>
        <v>0</v>
      </c>
      <c r="B1586" s="2">
        <v>42256.549224537</v>
      </c>
      <c r="C1586">
        <v>3</v>
      </c>
      <c r="D1586">
        <v>5</v>
      </c>
      <c r="E1586" t="s">
        <v>1578</v>
      </c>
    </row>
    <row r="1587" spans="1:5">
      <c r="A1587">
        <f>HYPERLINK("http://www.twitter.com/nycoem/status/641595035050491904", "641595035050491904")</f>
        <v>0</v>
      </c>
      <c r="B1587" s="2">
        <v>42256.5364699074</v>
      </c>
      <c r="C1587">
        <v>0</v>
      </c>
      <c r="D1587">
        <v>91</v>
      </c>
      <c r="E1587" t="s">
        <v>1579</v>
      </c>
    </row>
    <row r="1588" spans="1:5">
      <c r="A1588">
        <f>HYPERLINK("http://www.twitter.com/nycoem/status/641369241078394881", "641369241078394881")</f>
        <v>0</v>
      </c>
      <c r="B1588" s="2">
        <v>42255.9133912037</v>
      </c>
      <c r="C1588">
        <v>2</v>
      </c>
      <c r="D1588">
        <v>3</v>
      </c>
      <c r="E1588" t="s">
        <v>1580</v>
      </c>
    </row>
    <row r="1589" spans="1:5">
      <c r="A1589">
        <f>HYPERLINK("http://www.twitter.com/nycoem/status/641325357262610432", "641325357262610432")</f>
        <v>0</v>
      </c>
      <c r="B1589" s="2">
        <v>42255.7923032407</v>
      </c>
      <c r="C1589">
        <v>14</v>
      </c>
      <c r="D1589">
        <v>19</v>
      </c>
      <c r="E1589" t="s">
        <v>1581</v>
      </c>
    </row>
    <row r="1590" spans="1:5">
      <c r="A1590">
        <f>HYPERLINK("http://www.twitter.com/nycoem/status/641324486365708288", "641324486365708288")</f>
        <v>0</v>
      </c>
      <c r="B1590" s="2">
        <v>42255.7898958333</v>
      </c>
      <c r="C1590">
        <v>0</v>
      </c>
      <c r="D1590">
        <v>80</v>
      </c>
      <c r="E1590" t="s">
        <v>1582</v>
      </c>
    </row>
    <row r="1591" spans="1:5">
      <c r="A1591">
        <f>HYPERLINK("http://www.twitter.com/nycoem/status/641321923981541376", "641321923981541376")</f>
        <v>0</v>
      </c>
      <c r="B1591" s="2">
        <v>42255.7828240741</v>
      </c>
      <c r="C1591">
        <v>7</v>
      </c>
      <c r="D1591">
        <v>3</v>
      </c>
      <c r="E1591" t="s">
        <v>1583</v>
      </c>
    </row>
    <row r="1592" spans="1:5">
      <c r="A1592">
        <f>HYPERLINK("http://www.twitter.com/nycoem/status/641282476057493504", "641282476057493504")</f>
        <v>0</v>
      </c>
      <c r="B1592" s="2">
        <v>42255.6739699074</v>
      </c>
      <c r="C1592">
        <v>1</v>
      </c>
      <c r="D1592">
        <v>4</v>
      </c>
      <c r="E1592" t="s">
        <v>1584</v>
      </c>
    </row>
    <row r="1593" spans="1:5">
      <c r="A1593">
        <f>HYPERLINK("http://www.twitter.com/nycoem/status/641250774039838720", "641250774039838720")</f>
        <v>0</v>
      </c>
      <c r="B1593" s="2">
        <v>42255.5864930556</v>
      </c>
      <c r="C1593">
        <v>2</v>
      </c>
      <c r="D1593">
        <v>1</v>
      </c>
      <c r="E1593" t="s">
        <v>1585</v>
      </c>
    </row>
    <row r="1594" spans="1:5">
      <c r="A1594">
        <f>HYPERLINK("http://www.twitter.com/nycoem/status/640907560174899201", "640907560174899201")</f>
        <v>0</v>
      </c>
      <c r="B1594" s="2">
        <v>42254.6393981481</v>
      </c>
      <c r="C1594">
        <v>4</v>
      </c>
      <c r="D1594">
        <v>1</v>
      </c>
      <c r="E1594" t="s">
        <v>1586</v>
      </c>
    </row>
    <row r="1595" spans="1:5">
      <c r="A1595">
        <f>HYPERLINK("http://www.twitter.com/nycoem/status/640526284766978048", "640526284766978048")</f>
        <v>0</v>
      </c>
      <c r="B1595" s="2">
        <v>42253.5872800926</v>
      </c>
      <c r="C1595">
        <v>2</v>
      </c>
      <c r="D1595">
        <v>10</v>
      </c>
      <c r="E1595" t="s">
        <v>1587</v>
      </c>
    </row>
    <row r="1596" spans="1:5">
      <c r="A1596">
        <f>HYPERLINK("http://www.twitter.com/nycoem/status/640178968499503104", "640178968499503104")</f>
        <v>0</v>
      </c>
      <c r="B1596" s="2">
        <v>42252.6288657407</v>
      </c>
      <c r="C1596">
        <v>2</v>
      </c>
      <c r="D1596">
        <v>4</v>
      </c>
      <c r="E1596" t="s">
        <v>1588</v>
      </c>
    </row>
    <row r="1597" spans="1:5">
      <c r="A1597">
        <f>HYPERLINK("http://www.twitter.com/nycoem/status/640161281840951296", "640161281840951296")</f>
        <v>0</v>
      </c>
      <c r="B1597" s="2">
        <v>42252.5800578704</v>
      </c>
      <c r="C1597">
        <v>1</v>
      </c>
      <c r="D1597">
        <v>4</v>
      </c>
      <c r="E1597" t="s">
        <v>1589</v>
      </c>
    </row>
    <row r="1598" spans="1:5">
      <c r="A1598">
        <f>HYPERLINK("http://www.twitter.com/nycoem/status/639908421488259072", "639908421488259072")</f>
        <v>0</v>
      </c>
      <c r="B1598" s="2">
        <v>42251.8823032407</v>
      </c>
      <c r="C1598">
        <v>4</v>
      </c>
      <c r="D1598">
        <v>7</v>
      </c>
      <c r="E1598" t="s">
        <v>1590</v>
      </c>
    </row>
    <row r="1599" spans="1:5">
      <c r="A1599">
        <f>HYPERLINK("http://www.twitter.com/nycoem/status/639873613462695936", "639873613462695936")</f>
        <v>0</v>
      </c>
      <c r="B1599" s="2">
        <v>42251.78625</v>
      </c>
      <c r="C1599">
        <v>5</v>
      </c>
      <c r="D1599">
        <v>4</v>
      </c>
      <c r="E1599" t="s">
        <v>1591</v>
      </c>
    </row>
    <row r="1600" spans="1:5">
      <c r="A1600">
        <f>HYPERLINK("http://www.twitter.com/nycoem/status/639833030530592768", "639833030530592768")</f>
        <v>0</v>
      </c>
      <c r="B1600" s="2">
        <v>42251.6742592593</v>
      </c>
      <c r="C1600">
        <v>2</v>
      </c>
      <c r="D1600">
        <v>4</v>
      </c>
      <c r="E1600" t="s">
        <v>1592</v>
      </c>
    </row>
    <row r="1601" spans="1:5">
      <c r="A1601">
        <f>HYPERLINK("http://www.twitter.com/nycoem/status/639827922296143872", "639827922296143872")</f>
        <v>0</v>
      </c>
      <c r="B1601" s="2">
        <v>42251.660162037</v>
      </c>
      <c r="C1601">
        <v>1</v>
      </c>
      <c r="D1601">
        <v>6</v>
      </c>
      <c r="E1601" t="s">
        <v>1593</v>
      </c>
    </row>
    <row r="1602" spans="1:5">
      <c r="A1602">
        <f>HYPERLINK("http://www.twitter.com/nycoem/status/639801489427427328", "639801489427427328")</f>
        <v>0</v>
      </c>
      <c r="B1602" s="2">
        <v>42251.5872222222</v>
      </c>
      <c r="C1602">
        <v>1</v>
      </c>
      <c r="D1602">
        <v>1</v>
      </c>
      <c r="E1602" t="s">
        <v>1594</v>
      </c>
    </row>
    <row r="1603" spans="1:5">
      <c r="A1603">
        <f>HYPERLINK("http://www.twitter.com/nycoem/status/639510781042802688", "639510781042802688")</f>
        <v>0</v>
      </c>
      <c r="B1603" s="2">
        <v>42250.7850231481</v>
      </c>
      <c r="C1603">
        <v>5</v>
      </c>
      <c r="D1603">
        <v>5</v>
      </c>
      <c r="E1603" t="s">
        <v>1595</v>
      </c>
    </row>
    <row r="1604" spans="1:5">
      <c r="A1604">
        <f>HYPERLINK("http://www.twitter.com/nycoem/status/639470497382727680", "639470497382727680")</f>
        <v>0</v>
      </c>
      <c r="B1604" s="2">
        <v>42250.6738657407</v>
      </c>
      <c r="C1604">
        <v>0</v>
      </c>
      <c r="D1604">
        <v>0</v>
      </c>
      <c r="E1604" t="s">
        <v>1596</v>
      </c>
    </row>
    <row r="1605" spans="1:5">
      <c r="A1605">
        <f>HYPERLINK("http://www.twitter.com/nycoem/status/639448067461259265", "639448067461259265")</f>
        <v>0</v>
      </c>
      <c r="B1605" s="2">
        <v>42250.6119675926</v>
      </c>
      <c r="C1605">
        <v>0</v>
      </c>
      <c r="D1605">
        <v>1</v>
      </c>
      <c r="E1605" t="s">
        <v>1597</v>
      </c>
    </row>
    <row r="1606" spans="1:5">
      <c r="A1606">
        <f>HYPERLINK("http://www.twitter.com/nycoem/status/639429126252822529", "639429126252822529")</f>
        <v>0</v>
      </c>
      <c r="B1606" s="2">
        <v>42250.5596990741</v>
      </c>
      <c r="C1606">
        <v>1</v>
      </c>
      <c r="D1606">
        <v>2</v>
      </c>
      <c r="E1606" t="s">
        <v>1598</v>
      </c>
    </row>
    <row r="1607" spans="1:5">
      <c r="A1607">
        <f>HYPERLINK("http://www.twitter.com/nycoem/status/639419684555763712", "639419684555763712")</f>
        <v>0</v>
      </c>
      <c r="B1607" s="2">
        <v>42250.5336458333</v>
      </c>
      <c r="C1607">
        <v>0</v>
      </c>
      <c r="D1607">
        <v>0</v>
      </c>
      <c r="E1607" t="s">
        <v>1599</v>
      </c>
    </row>
    <row r="1608" spans="1:5">
      <c r="A1608">
        <f>HYPERLINK("http://www.twitter.com/nycoem/status/639149586079199232", "639149586079199232")</f>
        <v>0</v>
      </c>
      <c r="B1608" s="2">
        <v>42249.7883101852</v>
      </c>
      <c r="C1608">
        <v>6</v>
      </c>
      <c r="D1608">
        <v>6</v>
      </c>
      <c r="E1608" t="s">
        <v>1600</v>
      </c>
    </row>
    <row r="1609" spans="1:5">
      <c r="A1609">
        <f>HYPERLINK("http://www.twitter.com/nycoem/status/639108091842314240", "639108091842314240")</f>
        <v>0</v>
      </c>
      <c r="B1609" s="2">
        <v>42249.6738078704</v>
      </c>
      <c r="C1609">
        <v>0</v>
      </c>
      <c r="D1609">
        <v>6</v>
      </c>
      <c r="E1609" t="s">
        <v>1601</v>
      </c>
    </row>
    <row r="1610" spans="1:5">
      <c r="A1610">
        <f>HYPERLINK("http://www.twitter.com/nycoem/status/639075427127062528", "639075427127062528")</f>
        <v>0</v>
      </c>
      <c r="B1610" s="2">
        <v>42249.5836689815</v>
      </c>
      <c r="C1610">
        <v>1</v>
      </c>
      <c r="D1610">
        <v>6</v>
      </c>
      <c r="E1610" t="s">
        <v>1602</v>
      </c>
    </row>
    <row r="1611" spans="1:5">
      <c r="A1611">
        <f>HYPERLINK("http://www.twitter.com/nycoem/status/638836363253518337", "638836363253518337")</f>
        <v>0</v>
      </c>
      <c r="B1611" s="2">
        <v>42248.9239814815</v>
      </c>
      <c r="C1611">
        <v>3</v>
      </c>
      <c r="D1611">
        <v>4</v>
      </c>
      <c r="E1611" t="s">
        <v>1603</v>
      </c>
    </row>
    <row r="1612" spans="1:5">
      <c r="A1612">
        <f>HYPERLINK("http://www.twitter.com/nycoem/status/638788928649170944", "638788928649170944")</f>
        <v>0</v>
      </c>
      <c r="B1612" s="2">
        <v>42248.7930902778</v>
      </c>
      <c r="C1612">
        <v>4</v>
      </c>
      <c r="D1612">
        <v>7</v>
      </c>
      <c r="E1612" t="s">
        <v>1604</v>
      </c>
    </row>
    <row r="1613" spans="1:5">
      <c r="A1613">
        <f>HYPERLINK("http://www.twitter.com/nycoem/status/638733156020060160", "638733156020060160")</f>
        <v>0</v>
      </c>
      <c r="B1613" s="2">
        <v>42248.6391898148</v>
      </c>
      <c r="C1613">
        <v>8</v>
      </c>
      <c r="D1613">
        <v>12</v>
      </c>
      <c r="E1613" t="s">
        <v>1605</v>
      </c>
    </row>
    <row r="1614" spans="1:5">
      <c r="A1614">
        <f>HYPERLINK("http://www.twitter.com/nycoem/status/638728357451026432", "638728357451026432")</f>
        <v>0</v>
      </c>
      <c r="B1614" s="2">
        <v>42248.6259490741</v>
      </c>
      <c r="C1614">
        <v>2</v>
      </c>
      <c r="D1614">
        <v>3</v>
      </c>
      <c r="E1614" t="s">
        <v>1606</v>
      </c>
    </row>
    <row r="1615" spans="1:5">
      <c r="A1615">
        <f>HYPERLINK("http://www.twitter.com/nycoem/status/638698027985862656", "638698027985862656")</f>
        <v>0</v>
      </c>
      <c r="B1615" s="2">
        <v>42248.5422453704</v>
      </c>
      <c r="C1615">
        <v>2</v>
      </c>
      <c r="D1615">
        <v>7</v>
      </c>
      <c r="E1615" t="s">
        <v>1607</v>
      </c>
    </row>
    <row r="1616" spans="1:5">
      <c r="A1616">
        <f>HYPERLINK("http://www.twitter.com/nycoem/status/638470148572205056", "638470148572205056")</f>
        <v>0</v>
      </c>
      <c r="B1616" s="2">
        <v>42247.9134259259</v>
      </c>
      <c r="C1616">
        <v>0</v>
      </c>
      <c r="D1616">
        <v>2</v>
      </c>
      <c r="E1616" t="s">
        <v>1608</v>
      </c>
    </row>
    <row r="1617" spans="1:5">
      <c r="A1617">
        <f>HYPERLINK("http://www.twitter.com/nycoem/status/638433670110552064", "638433670110552064")</f>
        <v>0</v>
      </c>
      <c r="B1617" s="2">
        <v>42247.8127662037</v>
      </c>
      <c r="C1617">
        <v>1</v>
      </c>
      <c r="D1617">
        <v>6</v>
      </c>
      <c r="E1617" t="s">
        <v>1609</v>
      </c>
    </row>
    <row r="1618" spans="1:5">
      <c r="A1618">
        <f>HYPERLINK("http://www.twitter.com/nycoem/status/638388685004783616", "638388685004783616")</f>
        <v>0</v>
      </c>
      <c r="B1618" s="2">
        <v>42247.6886226852</v>
      </c>
      <c r="C1618">
        <v>0</v>
      </c>
      <c r="D1618">
        <v>1</v>
      </c>
      <c r="E1618" t="s">
        <v>1610</v>
      </c>
    </row>
    <row r="1619" spans="1:5">
      <c r="A1619">
        <f>HYPERLINK("http://www.twitter.com/nycoem/status/637339013519699968", "637339013519699968")</f>
        <v>0</v>
      </c>
      <c r="B1619" s="2">
        <v>42244.7920833333</v>
      </c>
      <c r="C1619">
        <v>1</v>
      </c>
      <c r="D1619">
        <v>10</v>
      </c>
      <c r="E1619" t="s">
        <v>1611</v>
      </c>
    </row>
    <row r="1620" spans="1:5">
      <c r="A1620">
        <f>HYPERLINK("http://www.twitter.com/nycoem/status/637325347080544256", "637325347080544256")</f>
        <v>0</v>
      </c>
      <c r="B1620" s="2">
        <v>42244.754375</v>
      </c>
      <c r="C1620">
        <v>0</v>
      </c>
      <c r="D1620">
        <v>34</v>
      </c>
      <c r="E1620" t="s">
        <v>1612</v>
      </c>
    </row>
    <row r="1621" spans="1:5">
      <c r="A1621">
        <f>HYPERLINK("http://www.twitter.com/nycoem/status/637234486485364737", "637234486485364737")</f>
        <v>0</v>
      </c>
      <c r="B1621" s="2">
        <v>42244.5036458333</v>
      </c>
      <c r="C1621">
        <v>0</v>
      </c>
      <c r="D1621">
        <v>14</v>
      </c>
      <c r="E1621" t="s">
        <v>1613</v>
      </c>
    </row>
    <row r="1622" spans="1:5">
      <c r="A1622">
        <f>HYPERLINK("http://www.twitter.com/nycoem/status/637011819916337153", "637011819916337153")</f>
        <v>0</v>
      </c>
      <c r="B1622" s="2">
        <v>42243.8892013889</v>
      </c>
      <c r="C1622">
        <v>5</v>
      </c>
      <c r="D1622">
        <v>2</v>
      </c>
      <c r="E1622" t="s">
        <v>1614</v>
      </c>
    </row>
    <row r="1623" spans="1:5">
      <c r="A1623">
        <f>HYPERLINK("http://www.twitter.com/nycoem/status/637011711489388545", "637011711489388545")</f>
        <v>0</v>
      </c>
      <c r="B1623" s="2">
        <v>42243.888900463</v>
      </c>
      <c r="C1623">
        <v>0</v>
      </c>
      <c r="D1623">
        <v>1</v>
      </c>
      <c r="E1623" t="s">
        <v>1615</v>
      </c>
    </row>
    <row r="1624" spans="1:5">
      <c r="A1624">
        <f>HYPERLINK("http://www.twitter.com/nycoem/status/636991452585836544", "636991452585836544")</f>
        <v>0</v>
      </c>
      <c r="B1624" s="2">
        <v>42243.8329976852</v>
      </c>
      <c r="C1624">
        <v>0</v>
      </c>
      <c r="D1624">
        <v>14</v>
      </c>
      <c r="E1624" t="s">
        <v>1616</v>
      </c>
    </row>
    <row r="1625" spans="1:5">
      <c r="A1625">
        <f>HYPERLINK("http://www.twitter.com/nycoem/status/636976426277863424", "636976426277863424")</f>
        <v>0</v>
      </c>
      <c r="B1625" s="2">
        <v>42243.7915393518</v>
      </c>
      <c r="C1625">
        <v>0</v>
      </c>
      <c r="D1625">
        <v>3</v>
      </c>
      <c r="E1625" t="s">
        <v>1617</v>
      </c>
    </row>
    <row r="1626" spans="1:5">
      <c r="A1626">
        <f>HYPERLINK("http://www.twitter.com/nycoem/status/636976017236717569", "636976017236717569")</f>
        <v>0</v>
      </c>
      <c r="B1626" s="2">
        <v>42243.7904050926</v>
      </c>
      <c r="C1626">
        <v>2</v>
      </c>
      <c r="D1626">
        <v>3</v>
      </c>
      <c r="E1626" t="s">
        <v>1618</v>
      </c>
    </row>
    <row r="1627" spans="1:5">
      <c r="A1627">
        <f>HYPERLINK("http://www.twitter.com/nycoem/status/636973971842433024", "636973971842433024")</f>
        <v>0</v>
      </c>
      <c r="B1627" s="2">
        <v>42243.7847569444</v>
      </c>
      <c r="C1627">
        <v>0</v>
      </c>
      <c r="D1627">
        <v>4</v>
      </c>
      <c r="E1627" t="s">
        <v>1619</v>
      </c>
    </row>
    <row r="1628" spans="1:5">
      <c r="A1628">
        <f>HYPERLINK("http://www.twitter.com/nycoem/status/636961289542205441", "636961289542205441")</f>
        <v>0</v>
      </c>
      <c r="B1628" s="2">
        <v>42243.7497685185</v>
      </c>
      <c r="C1628">
        <v>1</v>
      </c>
      <c r="D1628">
        <v>1</v>
      </c>
      <c r="E1628" t="s">
        <v>1620</v>
      </c>
    </row>
    <row r="1629" spans="1:5">
      <c r="A1629">
        <f>HYPERLINK("http://www.twitter.com/nycoem/status/636950768868851712", "636950768868851712")</f>
        <v>0</v>
      </c>
      <c r="B1629" s="2">
        <v>42243.7207291667</v>
      </c>
      <c r="C1629">
        <v>3</v>
      </c>
      <c r="D1629">
        <v>4</v>
      </c>
      <c r="E1629" t="s">
        <v>1621</v>
      </c>
    </row>
    <row r="1630" spans="1:5">
      <c r="A1630">
        <f>HYPERLINK("http://www.twitter.com/nycoem/status/636930028584964096", "636930028584964096")</f>
        <v>0</v>
      </c>
      <c r="B1630" s="2">
        <v>42243.6635069444</v>
      </c>
      <c r="C1630">
        <v>3</v>
      </c>
      <c r="D1630">
        <v>15</v>
      </c>
      <c r="E1630" t="s">
        <v>1622</v>
      </c>
    </row>
    <row r="1631" spans="1:5">
      <c r="A1631">
        <f>HYPERLINK("http://www.twitter.com/nycoem/status/636895286690975744", "636895286690975744")</f>
        <v>0</v>
      </c>
      <c r="B1631" s="2">
        <v>42243.5676273148</v>
      </c>
      <c r="C1631">
        <v>6</v>
      </c>
      <c r="D1631">
        <v>15</v>
      </c>
      <c r="E1631" t="s">
        <v>1623</v>
      </c>
    </row>
    <row r="1632" spans="1:5">
      <c r="A1632">
        <f>HYPERLINK("http://www.twitter.com/nycoem/status/636638098957434880", "636638098957434880")</f>
        <v>0</v>
      </c>
      <c r="B1632" s="2">
        <v>42242.8579282407</v>
      </c>
      <c r="C1632">
        <v>0</v>
      </c>
      <c r="D1632">
        <v>4</v>
      </c>
      <c r="E1632" t="s">
        <v>1624</v>
      </c>
    </row>
    <row r="1633" spans="1:5">
      <c r="A1633">
        <f>HYPERLINK("http://www.twitter.com/nycoem/status/636618534366392320", "636618534366392320")</f>
        <v>0</v>
      </c>
      <c r="B1633" s="2">
        <v>42242.8039467593</v>
      </c>
      <c r="C1633">
        <v>0</v>
      </c>
      <c r="D1633">
        <v>4</v>
      </c>
      <c r="E1633" t="s">
        <v>1625</v>
      </c>
    </row>
    <row r="1634" spans="1:5">
      <c r="A1634">
        <f>HYPERLINK("http://www.twitter.com/nycoem/status/636575265943101440", "636575265943101440")</f>
        <v>0</v>
      </c>
      <c r="B1634" s="2">
        <v>42242.6845486111</v>
      </c>
      <c r="C1634">
        <v>3</v>
      </c>
      <c r="D1634">
        <v>4</v>
      </c>
      <c r="E1634" t="s">
        <v>1626</v>
      </c>
    </row>
    <row r="1635" spans="1:5">
      <c r="A1635">
        <f>HYPERLINK("http://www.twitter.com/nycoem/status/636536130578587648", "636536130578587648")</f>
        <v>0</v>
      </c>
      <c r="B1635" s="2">
        <v>42242.5765509259</v>
      </c>
      <c r="C1635">
        <v>43</v>
      </c>
      <c r="D1635">
        <v>37</v>
      </c>
      <c r="E1635" t="s">
        <v>1627</v>
      </c>
    </row>
    <row r="1636" spans="1:5">
      <c r="A1636">
        <f>HYPERLINK("http://www.twitter.com/nycoem/status/636217576624947200", "636217576624947200")</f>
        <v>0</v>
      </c>
      <c r="B1636" s="2">
        <v>42241.6975115741</v>
      </c>
      <c r="C1636">
        <v>5</v>
      </c>
      <c r="D1636">
        <v>3</v>
      </c>
      <c r="E1636" t="s">
        <v>1628</v>
      </c>
    </row>
    <row r="1637" spans="1:5">
      <c r="A1637">
        <f>HYPERLINK("http://www.twitter.com/nycoem/status/636212564226109440", "636212564226109440")</f>
        <v>0</v>
      </c>
      <c r="B1637" s="2">
        <v>42241.6836805556</v>
      </c>
      <c r="C1637">
        <v>0</v>
      </c>
      <c r="D1637">
        <v>0</v>
      </c>
      <c r="E1637" t="s">
        <v>1629</v>
      </c>
    </row>
    <row r="1638" spans="1:5">
      <c r="A1638">
        <f>HYPERLINK("http://www.twitter.com/nycoem/status/636203949691936768", "636203949691936768")</f>
        <v>0</v>
      </c>
      <c r="B1638" s="2">
        <v>42241.6599074074</v>
      </c>
      <c r="C1638">
        <v>0</v>
      </c>
      <c r="D1638">
        <v>0</v>
      </c>
      <c r="E1638" t="s">
        <v>1630</v>
      </c>
    </row>
    <row r="1639" spans="1:5">
      <c r="A1639">
        <f>HYPERLINK("http://www.twitter.com/nycoem/status/636168987269812225", "636168987269812225")</f>
        <v>0</v>
      </c>
      <c r="B1639" s="2">
        <v>42241.5634259259</v>
      </c>
      <c r="C1639">
        <v>2</v>
      </c>
      <c r="D1639">
        <v>4</v>
      </c>
      <c r="E1639" t="s">
        <v>1631</v>
      </c>
    </row>
    <row r="1640" spans="1:5">
      <c r="A1640">
        <f>HYPERLINK("http://www.twitter.com/nycoem/status/636156936732442624", "636156936732442624")</f>
        <v>0</v>
      </c>
      <c r="B1640" s="2">
        <v>42241.5301736111</v>
      </c>
      <c r="C1640">
        <v>1</v>
      </c>
      <c r="D1640">
        <v>4</v>
      </c>
      <c r="E1640" t="s">
        <v>1632</v>
      </c>
    </row>
    <row r="1641" spans="1:5">
      <c r="A1641">
        <f>HYPERLINK("http://www.twitter.com/nycoem/status/634810053829263360", "634810053829263360")</f>
        <v>0</v>
      </c>
      <c r="B1641" s="2">
        <v>42237.8134837963</v>
      </c>
      <c r="C1641">
        <v>2</v>
      </c>
      <c r="D1641">
        <v>9</v>
      </c>
      <c r="E1641" t="s">
        <v>1633</v>
      </c>
    </row>
    <row r="1642" spans="1:5">
      <c r="A1642">
        <f>HYPERLINK("http://www.twitter.com/nycoem/status/634740592359120896", "634740592359120896")</f>
        <v>0</v>
      </c>
      <c r="B1642" s="2">
        <v>42237.6218055556</v>
      </c>
      <c r="C1642">
        <v>0</v>
      </c>
      <c r="D1642">
        <v>2</v>
      </c>
      <c r="E1642" t="s">
        <v>1634</v>
      </c>
    </row>
    <row r="1643" spans="1:5">
      <c r="A1643">
        <f>HYPERLINK("http://www.twitter.com/nycoem/status/634089753999212548", "634089753999212548")</f>
        <v>0</v>
      </c>
      <c r="B1643" s="2">
        <v>42235.8258333333</v>
      </c>
      <c r="C1643">
        <v>0</v>
      </c>
      <c r="D1643">
        <v>3</v>
      </c>
      <c r="E1643" t="s">
        <v>1635</v>
      </c>
    </row>
    <row r="1644" spans="1:5">
      <c r="A1644">
        <f>HYPERLINK("http://www.twitter.com/nycoem/status/633712646504775680", "633712646504775680")</f>
        <v>0</v>
      </c>
      <c r="B1644" s="2">
        <v>42234.7852199074</v>
      </c>
      <c r="C1644">
        <v>5</v>
      </c>
      <c r="D1644">
        <v>6</v>
      </c>
      <c r="E1644" t="s">
        <v>1636</v>
      </c>
    </row>
    <row r="1645" spans="1:5">
      <c r="A1645">
        <f>HYPERLINK("http://www.twitter.com/nycoem/status/633336382505664513", "633336382505664513")</f>
        <v>0</v>
      </c>
      <c r="B1645" s="2">
        <v>42233.7469328704</v>
      </c>
      <c r="C1645">
        <v>0</v>
      </c>
      <c r="D1645">
        <v>32</v>
      </c>
      <c r="E1645" t="s">
        <v>1637</v>
      </c>
    </row>
    <row r="1646" spans="1:5">
      <c r="A1646">
        <f>HYPERLINK("http://www.twitter.com/nycoem/status/633307303668772864", "633307303668772864")</f>
        <v>0</v>
      </c>
      <c r="B1646" s="2">
        <v>42233.6666898148</v>
      </c>
      <c r="C1646">
        <v>0</v>
      </c>
      <c r="D1646">
        <v>29</v>
      </c>
      <c r="E1646" t="s">
        <v>1638</v>
      </c>
    </row>
    <row r="1647" spans="1:5">
      <c r="A1647">
        <f>HYPERLINK("http://www.twitter.com/nycoem/status/633307259393691648", "633307259393691648")</f>
        <v>0</v>
      </c>
      <c r="B1647" s="2">
        <v>42233.6665625</v>
      </c>
      <c r="C1647">
        <v>0</v>
      </c>
      <c r="D1647">
        <v>9</v>
      </c>
      <c r="E1647" t="s">
        <v>1639</v>
      </c>
    </row>
    <row r="1648" spans="1:5">
      <c r="A1648">
        <f>HYPERLINK("http://www.twitter.com/nycoem/status/633307243086225408", "633307243086225408")</f>
        <v>0</v>
      </c>
      <c r="B1648" s="2">
        <v>42233.6665162037</v>
      </c>
      <c r="C1648">
        <v>0</v>
      </c>
      <c r="D1648">
        <v>5</v>
      </c>
      <c r="E1648" t="s">
        <v>1640</v>
      </c>
    </row>
    <row r="1649" spans="1:5">
      <c r="A1649">
        <f>HYPERLINK("http://www.twitter.com/nycoem/status/633291212515115008", "633291212515115008")</f>
        <v>0</v>
      </c>
      <c r="B1649" s="2">
        <v>42233.6222800926</v>
      </c>
      <c r="C1649">
        <v>0</v>
      </c>
      <c r="D1649">
        <v>25</v>
      </c>
      <c r="E1649" t="s">
        <v>1641</v>
      </c>
    </row>
    <row r="1650" spans="1:5">
      <c r="A1650">
        <f>HYPERLINK("http://www.twitter.com/nycoem/status/632923049239691264", "632923049239691264")</f>
        <v>0</v>
      </c>
      <c r="B1650" s="2">
        <v>42232.6063425926</v>
      </c>
      <c r="C1650">
        <v>0</v>
      </c>
      <c r="D1650">
        <v>6</v>
      </c>
      <c r="E1650" t="s">
        <v>1642</v>
      </c>
    </row>
    <row r="1651" spans="1:5">
      <c r="A1651">
        <f>HYPERLINK("http://www.twitter.com/nycoem/status/632923007904821248", "632923007904821248")</f>
        <v>0</v>
      </c>
      <c r="B1651" s="2">
        <v>42232.6062268519</v>
      </c>
      <c r="C1651">
        <v>0</v>
      </c>
      <c r="D1651">
        <v>24</v>
      </c>
      <c r="E1651" t="s">
        <v>1643</v>
      </c>
    </row>
    <row r="1652" spans="1:5">
      <c r="A1652">
        <f>HYPERLINK("http://www.twitter.com/nycoem/status/632922962660823040", "632922962660823040")</f>
        <v>0</v>
      </c>
      <c r="B1652" s="2">
        <v>42232.6061111111</v>
      </c>
      <c r="C1652">
        <v>0</v>
      </c>
      <c r="D1652">
        <v>12</v>
      </c>
      <c r="E1652" t="s">
        <v>1644</v>
      </c>
    </row>
    <row r="1653" spans="1:5">
      <c r="A1653">
        <f>HYPERLINK("http://www.twitter.com/nycoem/status/632897221638397952", "632897221638397952")</f>
        <v>0</v>
      </c>
      <c r="B1653" s="2">
        <v>42232.5350694444</v>
      </c>
      <c r="C1653">
        <v>4</v>
      </c>
      <c r="D1653">
        <v>8</v>
      </c>
      <c r="E1653" t="s">
        <v>1645</v>
      </c>
    </row>
    <row r="1654" spans="1:5">
      <c r="A1654">
        <f>HYPERLINK("http://www.twitter.com/nycoem/status/632699155757056000", "632699155757056000")</f>
        <v>0</v>
      </c>
      <c r="B1654" s="2">
        <v>42231.9885185185</v>
      </c>
      <c r="C1654">
        <v>0</v>
      </c>
      <c r="D1654">
        <v>7</v>
      </c>
      <c r="E1654" t="s">
        <v>1646</v>
      </c>
    </row>
    <row r="1655" spans="1:5">
      <c r="A1655">
        <f>HYPERLINK("http://www.twitter.com/nycoem/status/632614602921123840", "632614602921123840")</f>
        <v>0</v>
      </c>
      <c r="B1655" s="2">
        <v>42231.7551967593</v>
      </c>
      <c r="C1655">
        <v>0</v>
      </c>
      <c r="D1655">
        <v>20</v>
      </c>
      <c r="E1655" t="s">
        <v>1647</v>
      </c>
    </row>
    <row r="1656" spans="1:5">
      <c r="A1656">
        <f>HYPERLINK("http://www.twitter.com/nycoem/status/632583409647382529", "632583409647382529")</f>
        <v>0</v>
      </c>
      <c r="B1656" s="2">
        <v>42231.6691203704</v>
      </c>
      <c r="C1656">
        <v>0</v>
      </c>
      <c r="D1656">
        <v>4</v>
      </c>
      <c r="E1656" t="s">
        <v>1648</v>
      </c>
    </row>
    <row r="1657" spans="1:5">
      <c r="A1657">
        <f>HYPERLINK("http://www.twitter.com/nycoem/status/632554856507678720", "632554856507678720")</f>
        <v>0</v>
      </c>
      <c r="B1657" s="2">
        <v>42231.5903240741</v>
      </c>
      <c r="C1657">
        <v>0</v>
      </c>
      <c r="D1657">
        <v>55</v>
      </c>
      <c r="E1657" t="s">
        <v>1649</v>
      </c>
    </row>
    <row r="1658" spans="1:5">
      <c r="A1658">
        <f>HYPERLINK("http://www.twitter.com/nycoem/status/632554800937365505", "632554800937365505")</f>
        <v>0</v>
      </c>
      <c r="B1658" s="2">
        <v>42231.5901736111</v>
      </c>
      <c r="C1658">
        <v>0</v>
      </c>
      <c r="D1658">
        <v>17</v>
      </c>
      <c r="E1658" t="s">
        <v>1650</v>
      </c>
    </row>
    <row r="1659" spans="1:5">
      <c r="A1659">
        <f>HYPERLINK("http://www.twitter.com/nycoem/status/632311853146898438", "632311853146898438")</f>
        <v>0</v>
      </c>
      <c r="B1659" s="2">
        <v>42230.9197685185</v>
      </c>
      <c r="C1659">
        <v>2</v>
      </c>
      <c r="D1659">
        <v>2</v>
      </c>
      <c r="E1659" t="s">
        <v>1651</v>
      </c>
    </row>
    <row r="1660" spans="1:5">
      <c r="A1660">
        <f>HYPERLINK("http://www.twitter.com/nycoem/status/632241731052924928", "632241731052924928")</f>
        <v>0</v>
      </c>
      <c r="B1660" s="2">
        <v>42230.7262615741</v>
      </c>
      <c r="C1660">
        <v>1</v>
      </c>
      <c r="D1660">
        <v>1</v>
      </c>
      <c r="E1660" t="s">
        <v>1652</v>
      </c>
    </row>
    <row r="1661" spans="1:5">
      <c r="A1661">
        <f>HYPERLINK("http://www.twitter.com/nycoem/status/632224240218021888", "632224240218021888")</f>
        <v>0</v>
      </c>
      <c r="B1661" s="2">
        <v>42230.6779976852</v>
      </c>
      <c r="C1661">
        <v>0</v>
      </c>
      <c r="D1661">
        <v>1</v>
      </c>
      <c r="E1661" t="s">
        <v>1653</v>
      </c>
    </row>
    <row r="1662" spans="1:5">
      <c r="A1662">
        <f>HYPERLINK("http://www.twitter.com/nycoem/status/632181974266998784", "632181974266998784")</f>
        <v>0</v>
      </c>
      <c r="B1662" s="2">
        <v>42230.5613657407</v>
      </c>
      <c r="C1662">
        <v>1</v>
      </c>
      <c r="D1662">
        <v>1</v>
      </c>
      <c r="E1662" t="s">
        <v>1654</v>
      </c>
    </row>
    <row r="1663" spans="1:5">
      <c r="A1663">
        <f>HYPERLINK("http://www.twitter.com/nycoem/status/632176638088847360", "632176638088847360")</f>
        <v>0</v>
      </c>
      <c r="B1663" s="2">
        <v>42230.5466435185</v>
      </c>
      <c r="C1663">
        <v>1</v>
      </c>
      <c r="D1663">
        <v>1</v>
      </c>
      <c r="E1663" t="s">
        <v>1655</v>
      </c>
    </row>
    <row r="1664" spans="1:5">
      <c r="A1664">
        <f>HYPERLINK("http://www.twitter.com/nycoem/status/631900731012947969", "631900731012947969")</f>
        <v>0</v>
      </c>
      <c r="B1664" s="2">
        <v>42229.7852893519</v>
      </c>
      <c r="C1664">
        <v>0</v>
      </c>
      <c r="D1664">
        <v>3</v>
      </c>
      <c r="E1664" t="s">
        <v>1656</v>
      </c>
    </row>
    <row r="1665" spans="1:5">
      <c r="A1665">
        <f>HYPERLINK("http://www.twitter.com/nycoem/status/631860550918606848", "631860550918606848")</f>
        <v>0</v>
      </c>
      <c r="B1665" s="2">
        <v>42229.6744097222</v>
      </c>
      <c r="C1665">
        <v>3</v>
      </c>
      <c r="D1665">
        <v>5</v>
      </c>
      <c r="E1665" t="s">
        <v>1657</v>
      </c>
    </row>
    <row r="1666" spans="1:5">
      <c r="A1666">
        <f>HYPERLINK("http://www.twitter.com/nycoem/status/631508065649606657", "631508065649606657")</f>
        <v>0</v>
      </c>
      <c r="B1666" s="2">
        <v>42228.7017361111</v>
      </c>
      <c r="C1666">
        <v>2</v>
      </c>
      <c r="D1666">
        <v>1</v>
      </c>
      <c r="E1666" t="s">
        <v>1658</v>
      </c>
    </row>
    <row r="1667" spans="1:5">
      <c r="A1667">
        <f>HYPERLINK("http://www.twitter.com/nycoem/status/631496456252321792", "631496456252321792")</f>
        <v>0</v>
      </c>
      <c r="B1667" s="2">
        <v>42228.6696990741</v>
      </c>
      <c r="C1667">
        <v>5</v>
      </c>
      <c r="D1667">
        <v>9</v>
      </c>
      <c r="E1667" t="s">
        <v>1659</v>
      </c>
    </row>
    <row r="1668" spans="1:5">
      <c r="A1668">
        <f>HYPERLINK("http://www.twitter.com/nycoem/status/631470818854367232", "631470818854367232")</f>
        <v>0</v>
      </c>
      <c r="B1668" s="2">
        <v>42228.5989583333</v>
      </c>
      <c r="C1668">
        <v>0</v>
      </c>
      <c r="D1668">
        <v>10</v>
      </c>
      <c r="E1668" t="s">
        <v>1660</v>
      </c>
    </row>
    <row r="1669" spans="1:5">
      <c r="A1669">
        <f>HYPERLINK("http://www.twitter.com/nycoem/status/631467256883638273", "631467256883638273")</f>
        <v>0</v>
      </c>
      <c r="B1669" s="2">
        <v>42228.5891203704</v>
      </c>
      <c r="C1669">
        <v>1</v>
      </c>
      <c r="D1669">
        <v>0</v>
      </c>
      <c r="E1669" t="s">
        <v>1661</v>
      </c>
    </row>
    <row r="1670" spans="1:5">
      <c r="A1670">
        <f>HYPERLINK("http://www.twitter.com/nycoem/status/631236262708576256", "631236262708576256")</f>
        <v>0</v>
      </c>
      <c r="B1670" s="2">
        <v>42227.9517013889</v>
      </c>
      <c r="C1670">
        <v>0</v>
      </c>
      <c r="D1670">
        <v>1</v>
      </c>
      <c r="E1670" t="s">
        <v>1662</v>
      </c>
    </row>
    <row r="1671" spans="1:5">
      <c r="A1671">
        <f>HYPERLINK("http://www.twitter.com/nycoem/status/631224425212444672", "631224425212444672")</f>
        <v>0</v>
      </c>
      <c r="B1671" s="2">
        <v>42227.9190393519</v>
      </c>
      <c r="C1671">
        <v>1</v>
      </c>
      <c r="D1671">
        <v>5</v>
      </c>
      <c r="E1671" t="s">
        <v>1663</v>
      </c>
    </row>
    <row r="1672" spans="1:5">
      <c r="A1672">
        <f>HYPERLINK("http://www.twitter.com/nycoem/status/631221429858603009", "631221429858603009")</f>
        <v>0</v>
      </c>
      <c r="B1672" s="2">
        <v>42227.910775463</v>
      </c>
      <c r="C1672">
        <v>0</v>
      </c>
      <c r="D1672">
        <v>4</v>
      </c>
      <c r="E1672" t="s">
        <v>1664</v>
      </c>
    </row>
    <row r="1673" spans="1:5">
      <c r="A1673">
        <f>HYPERLINK("http://www.twitter.com/nycoem/status/631192686645641217", "631192686645641217")</f>
        <v>0</v>
      </c>
      <c r="B1673" s="2">
        <v>42227.8314583333</v>
      </c>
      <c r="C1673">
        <v>0</v>
      </c>
      <c r="D1673">
        <v>5</v>
      </c>
      <c r="E1673" t="s">
        <v>1665</v>
      </c>
    </row>
    <row r="1674" spans="1:5">
      <c r="A1674">
        <f>HYPERLINK("http://www.twitter.com/nycoem/status/631135745567260672", "631135745567260672")</f>
        <v>0</v>
      </c>
      <c r="B1674" s="2">
        <v>42227.6743287037</v>
      </c>
      <c r="C1674">
        <v>2</v>
      </c>
      <c r="D1674">
        <v>5</v>
      </c>
      <c r="E1674" t="s">
        <v>1666</v>
      </c>
    </row>
    <row r="1675" spans="1:5">
      <c r="A1675">
        <f>HYPERLINK("http://www.twitter.com/nycoem/status/631067627704729600", "631067627704729600")</f>
        <v>0</v>
      </c>
      <c r="B1675" s="2">
        <v>42227.4863541667</v>
      </c>
      <c r="C1675">
        <v>0</v>
      </c>
      <c r="D1675">
        <v>14</v>
      </c>
      <c r="E1675" t="s">
        <v>1667</v>
      </c>
    </row>
    <row r="1676" spans="1:5">
      <c r="A1676">
        <f>HYPERLINK("http://www.twitter.com/nycoem/status/630857772591116288", "630857772591116288")</f>
        <v>0</v>
      </c>
      <c r="B1676" s="2">
        <v>42226.9072685185</v>
      </c>
      <c r="C1676">
        <v>0</v>
      </c>
      <c r="D1676">
        <v>6</v>
      </c>
      <c r="E1676" t="s">
        <v>1668</v>
      </c>
    </row>
    <row r="1677" spans="1:5">
      <c r="A1677">
        <f>HYPERLINK("http://www.twitter.com/nycoem/status/630808901466853376", "630808901466853376")</f>
        <v>0</v>
      </c>
      <c r="B1677" s="2">
        <v>42226.7724074074</v>
      </c>
      <c r="C1677">
        <v>2</v>
      </c>
      <c r="D1677">
        <v>5</v>
      </c>
      <c r="E1677" t="s">
        <v>1669</v>
      </c>
    </row>
    <row r="1678" spans="1:5">
      <c r="A1678">
        <f>HYPERLINK("http://www.twitter.com/nycoem/status/630794268739784704", "630794268739784704")</f>
        <v>0</v>
      </c>
      <c r="B1678" s="2">
        <v>42226.732025463</v>
      </c>
      <c r="C1678">
        <v>3</v>
      </c>
      <c r="D1678">
        <v>5</v>
      </c>
      <c r="E1678" t="s">
        <v>1670</v>
      </c>
    </row>
    <row r="1679" spans="1:5">
      <c r="A1679">
        <f>HYPERLINK("http://www.twitter.com/nycoem/status/630790329151684608", "630790329151684608")</f>
        <v>0</v>
      </c>
      <c r="B1679" s="2">
        <v>42226.7211574074</v>
      </c>
      <c r="C1679">
        <v>0</v>
      </c>
      <c r="D1679">
        <v>9</v>
      </c>
      <c r="E1679" t="s">
        <v>1671</v>
      </c>
    </row>
    <row r="1680" spans="1:5">
      <c r="A1680">
        <f>HYPERLINK("http://www.twitter.com/nycoem/status/630760066648526848", "630760066648526848")</f>
        <v>0</v>
      </c>
      <c r="B1680" s="2">
        <v>42226.637650463</v>
      </c>
      <c r="C1680">
        <v>4</v>
      </c>
      <c r="D1680">
        <v>7</v>
      </c>
      <c r="E1680" t="s">
        <v>1672</v>
      </c>
    </row>
    <row r="1681" spans="1:5">
      <c r="A1681">
        <f>HYPERLINK("http://www.twitter.com/nycoem/status/630741342981894144", "630741342981894144")</f>
        <v>0</v>
      </c>
      <c r="B1681" s="2">
        <v>42226.5859837963</v>
      </c>
      <c r="C1681">
        <v>5</v>
      </c>
      <c r="D1681">
        <v>9</v>
      </c>
      <c r="E1681" t="s">
        <v>1673</v>
      </c>
    </row>
    <row r="1682" spans="1:5">
      <c r="A1682">
        <f>HYPERLINK("http://www.twitter.com/nycoem/status/630535333076144128", "630535333076144128")</f>
        <v>0</v>
      </c>
      <c r="B1682" s="2">
        <v>42226.0175</v>
      </c>
      <c r="C1682">
        <v>0</v>
      </c>
      <c r="D1682">
        <v>13</v>
      </c>
      <c r="E1682" t="s">
        <v>1674</v>
      </c>
    </row>
    <row r="1683" spans="1:5">
      <c r="A1683">
        <f>HYPERLINK("http://www.twitter.com/nycoem/status/630397686353645569", "630397686353645569")</f>
        <v>0</v>
      </c>
      <c r="B1683" s="2">
        <v>42225.6376736111</v>
      </c>
      <c r="C1683">
        <v>0</v>
      </c>
      <c r="D1683">
        <v>7</v>
      </c>
      <c r="E1683" t="s">
        <v>1675</v>
      </c>
    </row>
    <row r="1684" spans="1:5">
      <c r="A1684">
        <f>HYPERLINK("http://www.twitter.com/nycoem/status/630086487585984512", "630086487585984512")</f>
        <v>0</v>
      </c>
      <c r="B1684" s="2">
        <v>42224.7789236111</v>
      </c>
      <c r="C1684">
        <v>0</v>
      </c>
      <c r="D1684">
        <v>9</v>
      </c>
      <c r="E1684" t="s">
        <v>1676</v>
      </c>
    </row>
    <row r="1685" spans="1:5">
      <c r="A1685">
        <f>HYPERLINK("http://www.twitter.com/nycoem/status/630021727842619393", "630021727842619393")</f>
        <v>0</v>
      </c>
      <c r="B1685" s="2">
        <v>42224.6002199074</v>
      </c>
      <c r="C1685">
        <v>0</v>
      </c>
      <c r="D1685">
        <v>6</v>
      </c>
      <c r="E1685" t="s">
        <v>1677</v>
      </c>
    </row>
    <row r="1686" spans="1:5">
      <c r="A1686">
        <f>HYPERLINK("http://www.twitter.com/nycoem/status/629731088534007808", "629731088534007808")</f>
        <v>0</v>
      </c>
      <c r="B1686" s="2">
        <v>42223.7982175926</v>
      </c>
      <c r="C1686">
        <v>0</v>
      </c>
      <c r="D1686">
        <v>21</v>
      </c>
      <c r="E1686" t="s">
        <v>1678</v>
      </c>
    </row>
    <row r="1687" spans="1:5">
      <c r="A1687">
        <f>HYPERLINK("http://www.twitter.com/nycoem/status/629673171147456512", "629673171147456512")</f>
        <v>0</v>
      </c>
      <c r="B1687" s="2">
        <v>42223.6383912037</v>
      </c>
      <c r="C1687">
        <v>0</v>
      </c>
      <c r="D1687">
        <v>9</v>
      </c>
      <c r="E1687" t="s">
        <v>1679</v>
      </c>
    </row>
    <row r="1688" spans="1:5">
      <c r="A1688">
        <f>HYPERLINK("http://www.twitter.com/nycoem/status/629673162653966336", "629673162653966336")</f>
        <v>0</v>
      </c>
      <c r="B1688" s="2">
        <v>42223.6383680556</v>
      </c>
      <c r="C1688">
        <v>0</v>
      </c>
      <c r="D1688">
        <v>10</v>
      </c>
      <c r="E1688" t="s">
        <v>1680</v>
      </c>
    </row>
    <row r="1689" spans="1:5">
      <c r="A1689">
        <f>HYPERLINK("http://www.twitter.com/nycoem/status/629673152289882112", "629673152289882112")</f>
        <v>0</v>
      </c>
      <c r="B1689" s="2">
        <v>42223.6383333333</v>
      </c>
      <c r="C1689">
        <v>0</v>
      </c>
      <c r="D1689">
        <v>17</v>
      </c>
      <c r="E1689" t="s">
        <v>1681</v>
      </c>
    </row>
    <row r="1690" spans="1:5">
      <c r="A1690">
        <f>HYPERLINK("http://www.twitter.com/nycoem/status/629456218050985984", "629456218050985984")</f>
        <v>0</v>
      </c>
      <c r="B1690" s="2">
        <v>42223.0397106481</v>
      </c>
      <c r="C1690">
        <v>0</v>
      </c>
      <c r="D1690">
        <v>18</v>
      </c>
      <c r="E1690" t="s">
        <v>1682</v>
      </c>
    </row>
    <row r="1691" spans="1:5">
      <c r="A1691">
        <f>HYPERLINK("http://www.twitter.com/nycoem/status/629336013274509313", "629336013274509313")</f>
        <v>0</v>
      </c>
      <c r="B1691" s="2">
        <v>42222.7080092593</v>
      </c>
      <c r="C1691">
        <v>2</v>
      </c>
      <c r="D1691">
        <v>1</v>
      </c>
      <c r="E1691" t="s">
        <v>1683</v>
      </c>
    </row>
    <row r="1692" spans="1:5">
      <c r="A1692">
        <f>HYPERLINK("http://www.twitter.com/nycoem/status/629318478508503040", "629318478508503040")</f>
        <v>0</v>
      </c>
      <c r="B1692" s="2">
        <v>42222.6596296296</v>
      </c>
      <c r="C1692">
        <v>0</v>
      </c>
      <c r="D1692">
        <v>4</v>
      </c>
      <c r="E1692" t="s">
        <v>1684</v>
      </c>
    </row>
    <row r="1693" spans="1:5">
      <c r="A1693">
        <f>HYPERLINK("http://www.twitter.com/nycoem/status/629303567908782080", "629303567908782080")</f>
        <v>0</v>
      </c>
      <c r="B1693" s="2">
        <v>42222.6184837963</v>
      </c>
      <c r="C1693">
        <v>1</v>
      </c>
      <c r="D1693">
        <v>2</v>
      </c>
      <c r="E1693" t="s">
        <v>1685</v>
      </c>
    </row>
    <row r="1694" spans="1:5">
      <c r="A1694">
        <f>HYPERLINK("http://www.twitter.com/nycoem/status/629061030136684545", "629061030136684545")</f>
        <v>0</v>
      </c>
      <c r="B1694" s="2">
        <v>42221.9492013889</v>
      </c>
      <c r="C1694">
        <v>4</v>
      </c>
      <c r="D1694">
        <v>3</v>
      </c>
      <c r="E1694" t="s">
        <v>1686</v>
      </c>
    </row>
    <row r="1695" spans="1:5">
      <c r="A1695">
        <f>HYPERLINK("http://www.twitter.com/nycoem/status/629012221880832000", "629012221880832000")</f>
        <v>0</v>
      </c>
      <c r="B1695" s="2">
        <v>42221.8145138889</v>
      </c>
      <c r="C1695">
        <v>4</v>
      </c>
      <c r="D1695">
        <v>0</v>
      </c>
      <c r="E1695" t="s">
        <v>1687</v>
      </c>
    </row>
    <row r="1696" spans="1:5">
      <c r="A1696">
        <f>HYPERLINK("http://www.twitter.com/nycoem/status/628989681821175809", "628989681821175809")</f>
        <v>0</v>
      </c>
      <c r="B1696" s="2">
        <v>42221.7523148148</v>
      </c>
      <c r="C1696">
        <v>1</v>
      </c>
      <c r="D1696">
        <v>2</v>
      </c>
      <c r="E1696" t="s">
        <v>1688</v>
      </c>
    </row>
    <row r="1697" spans="1:5">
      <c r="A1697">
        <f>HYPERLINK("http://www.twitter.com/nycoem/status/628958870564683777", "628958870564683777")</f>
        <v>0</v>
      </c>
      <c r="B1697" s="2">
        <v>42221.6672916667</v>
      </c>
      <c r="C1697">
        <v>3</v>
      </c>
      <c r="D1697">
        <v>1</v>
      </c>
      <c r="E1697" t="s">
        <v>1689</v>
      </c>
    </row>
    <row r="1698" spans="1:5">
      <c r="A1698">
        <f>HYPERLINK("http://www.twitter.com/nycoem/status/628743896256921600", "628743896256921600")</f>
        <v>0</v>
      </c>
      <c r="B1698" s="2">
        <v>42221.0740856481</v>
      </c>
      <c r="C1698">
        <v>3</v>
      </c>
      <c r="D1698">
        <v>0</v>
      </c>
      <c r="E1698" t="s">
        <v>1690</v>
      </c>
    </row>
    <row r="1699" spans="1:5">
      <c r="A1699">
        <f>HYPERLINK("http://www.twitter.com/nycoem/status/628698690723647488", "628698690723647488")</f>
        <v>0</v>
      </c>
      <c r="B1699" s="2">
        <v>42220.9493402778</v>
      </c>
      <c r="C1699">
        <v>0</v>
      </c>
      <c r="D1699">
        <v>5</v>
      </c>
      <c r="E1699" t="s">
        <v>1691</v>
      </c>
    </row>
    <row r="1700" spans="1:5">
      <c r="A1700">
        <f>HYPERLINK("http://www.twitter.com/nycoem/status/628690339377868801", "628690339377868801")</f>
        <v>0</v>
      </c>
      <c r="B1700" s="2">
        <v>42220.9262962963</v>
      </c>
      <c r="C1700">
        <v>3</v>
      </c>
      <c r="D1700">
        <v>0</v>
      </c>
      <c r="E1700" t="s">
        <v>1692</v>
      </c>
    </row>
    <row r="1701" spans="1:5">
      <c r="A1701">
        <f>HYPERLINK("http://www.twitter.com/nycoem/status/628686073183514624", "628686073183514624")</f>
        <v>0</v>
      </c>
      <c r="B1701" s="2">
        <v>42220.9145138889</v>
      </c>
      <c r="C1701">
        <v>1</v>
      </c>
      <c r="D1701">
        <v>4</v>
      </c>
      <c r="E1701" t="s">
        <v>1693</v>
      </c>
    </row>
    <row r="1702" spans="1:5">
      <c r="A1702">
        <f>HYPERLINK("http://www.twitter.com/nycoem/status/628617033320673280", "628617033320673280")</f>
        <v>0</v>
      </c>
      <c r="B1702" s="2">
        <v>42220.7240046296</v>
      </c>
      <c r="C1702">
        <v>3</v>
      </c>
      <c r="D1702">
        <v>14</v>
      </c>
      <c r="E1702" t="s">
        <v>1694</v>
      </c>
    </row>
    <row r="1703" spans="1:5">
      <c r="A1703">
        <f>HYPERLINK("http://www.twitter.com/nycoem/status/628612964417933312", "628612964417933312")</f>
        <v>0</v>
      </c>
      <c r="B1703" s="2">
        <v>42220.7127777778</v>
      </c>
      <c r="C1703">
        <v>1</v>
      </c>
      <c r="D1703">
        <v>4</v>
      </c>
      <c r="E1703" t="s">
        <v>1695</v>
      </c>
    </row>
    <row r="1704" spans="1:5">
      <c r="A1704">
        <f>HYPERLINK("http://www.twitter.com/nycoem/status/628567561530122242", "628567561530122242")</f>
        <v>0</v>
      </c>
      <c r="B1704" s="2">
        <v>42220.5874884259</v>
      </c>
      <c r="C1704">
        <v>0</v>
      </c>
      <c r="D1704">
        <v>1</v>
      </c>
      <c r="E1704" t="s">
        <v>1696</v>
      </c>
    </row>
    <row r="1705" spans="1:5">
      <c r="A1705">
        <f>HYPERLINK("http://www.twitter.com/nycoem/status/628329354360168448", "628329354360168448")</f>
        <v>0</v>
      </c>
      <c r="B1705" s="2">
        <v>42219.930162037</v>
      </c>
      <c r="C1705">
        <v>0</v>
      </c>
      <c r="D1705">
        <v>13</v>
      </c>
      <c r="E1705" t="s">
        <v>1697</v>
      </c>
    </row>
    <row r="1706" spans="1:5">
      <c r="A1706">
        <f>HYPERLINK("http://www.twitter.com/nycoem/status/628309102696001536", "628309102696001536")</f>
        <v>0</v>
      </c>
      <c r="B1706" s="2">
        <v>42219.8742824074</v>
      </c>
      <c r="C1706">
        <v>3</v>
      </c>
      <c r="D1706">
        <v>3</v>
      </c>
      <c r="E1706" t="s">
        <v>1698</v>
      </c>
    </row>
    <row r="1707" spans="1:5">
      <c r="A1707">
        <f>HYPERLINK("http://www.twitter.com/nycoem/status/628300303713083392", "628300303713083392")</f>
        <v>0</v>
      </c>
      <c r="B1707" s="2">
        <v>42219.85</v>
      </c>
      <c r="C1707">
        <v>0</v>
      </c>
      <c r="D1707">
        <v>3</v>
      </c>
      <c r="E1707" t="s">
        <v>1699</v>
      </c>
    </row>
    <row r="1708" spans="1:5">
      <c r="A1708">
        <f>HYPERLINK("http://www.twitter.com/nycoem/status/628300117032968193", "628300117032968193")</f>
        <v>0</v>
      </c>
      <c r="B1708" s="2">
        <v>42219.8494791667</v>
      </c>
      <c r="C1708">
        <v>2</v>
      </c>
      <c r="D1708">
        <v>6</v>
      </c>
      <c r="E1708" t="s">
        <v>1700</v>
      </c>
    </row>
    <row r="1709" spans="1:5">
      <c r="A1709">
        <f>HYPERLINK("http://www.twitter.com/nycoem/status/628284154149490688", "628284154149490688")</f>
        <v>0</v>
      </c>
      <c r="B1709" s="2">
        <v>42219.8054282407</v>
      </c>
      <c r="C1709">
        <v>9</v>
      </c>
      <c r="D1709">
        <v>9</v>
      </c>
      <c r="E1709" t="s">
        <v>1701</v>
      </c>
    </row>
    <row r="1710" spans="1:5">
      <c r="A1710">
        <f>HYPERLINK("http://www.twitter.com/nycoem/status/628278081124478976", "628278081124478976")</f>
        <v>0</v>
      </c>
      <c r="B1710" s="2">
        <v>42219.7886805556</v>
      </c>
      <c r="C1710">
        <v>2</v>
      </c>
      <c r="D1710">
        <v>5</v>
      </c>
      <c r="E1710" t="s">
        <v>1702</v>
      </c>
    </row>
    <row r="1711" spans="1:5">
      <c r="A1711">
        <f>HYPERLINK("http://www.twitter.com/nycoem/status/628256879458844672", "628256879458844672")</f>
        <v>0</v>
      </c>
      <c r="B1711" s="2">
        <v>42219.7301736111</v>
      </c>
      <c r="C1711">
        <v>3</v>
      </c>
      <c r="D1711">
        <v>10</v>
      </c>
      <c r="E1711" t="s">
        <v>1703</v>
      </c>
    </row>
    <row r="1712" spans="1:5">
      <c r="A1712">
        <f>HYPERLINK("http://www.twitter.com/nycoem/status/628226414756630529", "628226414756630529")</f>
        <v>0</v>
      </c>
      <c r="B1712" s="2">
        <v>42219.646099537</v>
      </c>
      <c r="C1712">
        <v>0</v>
      </c>
      <c r="D1712">
        <v>26</v>
      </c>
      <c r="E1712" t="s">
        <v>1704</v>
      </c>
    </row>
    <row r="1713" spans="1:5">
      <c r="A1713">
        <f>HYPERLINK("http://www.twitter.com/nycoem/status/628190062484803584", "628190062484803584")</f>
        <v>0</v>
      </c>
      <c r="B1713" s="2">
        <v>42219.545787037</v>
      </c>
      <c r="C1713">
        <v>0</v>
      </c>
      <c r="D1713">
        <v>0</v>
      </c>
      <c r="E1713" t="s">
        <v>1705</v>
      </c>
    </row>
    <row r="1714" spans="1:5">
      <c r="A1714">
        <f>HYPERLINK("http://www.twitter.com/nycoem/status/627984081121357828", "627984081121357828")</f>
        <v>0</v>
      </c>
      <c r="B1714" s="2">
        <v>42218.9773842593</v>
      </c>
      <c r="C1714">
        <v>0</v>
      </c>
      <c r="D1714">
        <v>15</v>
      </c>
      <c r="E1714" t="s">
        <v>1706</v>
      </c>
    </row>
    <row r="1715" spans="1:5">
      <c r="A1715">
        <f>HYPERLINK("http://www.twitter.com/nycoem/status/627580440828846080", "627580440828846080")</f>
        <v>0</v>
      </c>
      <c r="B1715" s="2">
        <v>42217.8635532407</v>
      </c>
      <c r="C1715">
        <v>0</v>
      </c>
      <c r="D1715">
        <v>1</v>
      </c>
      <c r="E1715" t="s">
        <v>1707</v>
      </c>
    </row>
    <row r="1716" spans="1:5">
      <c r="A1716">
        <f>HYPERLINK("http://www.twitter.com/nycoem/status/627557709034967041", "627557709034967041")</f>
        <v>0</v>
      </c>
      <c r="B1716" s="2">
        <v>42217.8008217593</v>
      </c>
      <c r="C1716">
        <v>0</v>
      </c>
      <c r="D1716">
        <v>13</v>
      </c>
      <c r="E1716" t="s">
        <v>1708</v>
      </c>
    </row>
    <row r="1717" spans="1:5">
      <c r="A1717">
        <f>HYPERLINK("http://www.twitter.com/nycoem/status/627507995916824578", "627507995916824578")</f>
        <v>0</v>
      </c>
      <c r="B1717" s="2">
        <v>42217.6636458333</v>
      </c>
      <c r="C1717">
        <v>4</v>
      </c>
      <c r="D1717">
        <v>9</v>
      </c>
      <c r="E1717" t="s">
        <v>1709</v>
      </c>
    </row>
    <row r="1718" spans="1:5">
      <c r="A1718">
        <f>HYPERLINK("http://www.twitter.com/nycoem/status/627493724067622912", "627493724067622912")</f>
        <v>0</v>
      </c>
      <c r="B1718" s="2">
        <v>42217.6242592593</v>
      </c>
      <c r="C1718">
        <v>0</v>
      </c>
      <c r="D1718">
        <v>25</v>
      </c>
      <c r="E1718" t="s">
        <v>1710</v>
      </c>
    </row>
    <row r="1719" spans="1:5">
      <c r="A1719">
        <f>HYPERLINK("http://www.twitter.com/nycoem/status/627493665708068864", "627493665708068864")</f>
        <v>0</v>
      </c>
      <c r="B1719" s="2">
        <v>42217.6240972222</v>
      </c>
      <c r="C1719">
        <v>1</v>
      </c>
      <c r="D1719">
        <v>6</v>
      </c>
      <c r="E1719" t="s">
        <v>1711</v>
      </c>
    </row>
    <row r="1720" spans="1:5">
      <c r="A1720">
        <f>HYPERLINK("http://www.twitter.com/nycoem/status/627484514240077824", "627484514240077824")</f>
        <v>0</v>
      </c>
      <c r="B1720" s="2">
        <v>42217.5988425926</v>
      </c>
      <c r="C1720">
        <v>0</v>
      </c>
      <c r="D1720">
        <v>9</v>
      </c>
      <c r="E1720" t="s">
        <v>1712</v>
      </c>
    </row>
    <row r="1721" spans="1:5">
      <c r="A1721">
        <f>HYPERLINK("http://www.twitter.com/nycoem/status/627177687786893312", "627177687786893312")</f>
        <v>0</v>
      </c>
      <c r="B1721" s="2">
        <v>42216.7521643518</v>
      </c>
      <c r="C1721">
        <v>0</v>
      </c>
      <c r="D1721">
        <v>44</v>
      </c>
      <c r="E1721" t="s">
        <v>1713</v>
      </c>
    </row>
    <row r="1722" spans="1:5">
      <c r="A1722">
        <f>HYPERLINK("http://www.twitter.com/nycoem/status/627176419366408192", "627176419366408192")</f>
        <v>0</v>
      </c>
      <c r="B1722" s="2">
        <v>42216.7486689815</v>
      </c>
      <c r="C1722">
        <v>0</v>
      </c>
      <c r="D1722">
        <v>20</v>
      </c>
      <c r="E1722" t="s">
        <v>1714</v>
      </c>
    </row>
    <row r="1723" spans="1:5">
      <c r="A1723">
        <f>HYPERLINK("http://www.twitter.com/nycoem/status/627173827907354624", "627173827907354624")</f>
        <v>0</v>
      </c>
      <c r="B1723" s="2">
        <v>42216.7415162037</v>
      </c>
      <c r="C1723">
        <v>0</v>
      </c>
      <c r="D1723">
        <v>33</v>
      </c>
      <c r="E1723" t="s">
        <v>1715</v>
      </c>
    </row>
    <row r="1724" spans="1:5">
      <c r="A1724">
        <f>HYPERLINK("http://www.twitter.com/nycoem/status/627149516802797568", "627149516802797568")</f>
        <v>0</v>
      </c>
      <c r="B1724" s="2">
        <v>42216.6744328704</v>
      </c>
      <c r="C1724">
        <v>1</v>
      </c>
      <c r="D1724">
        <v>4</v>
      </c>
      <c r="E1724" t="s">
        <v>1716</v>
      </c>
    </row>
    <row r="1725" spans="1:5">
      <c r="A1725">
        <f>HYPERLINK("http://www.twitter.com/nycoem/status/627130808298569728", "627130808298569728")</f>
        <v>0</v>
      </c>
      <c r="B1725" s="2">
        <v>42216.6228009259</v>
      </c>
      <c r="C1725">
        <v>2</v>
      </c>
      <c r="D1725">
        <v>5</v>
      </c>
      <c r="E1725" t="s">
        <v>1717</v>
      </c>
    </row>
    <row r="1726" spans="1:5">
      <c r="A1726">
        <f>HYPERLINK("http://www.twitter.com/nycoem/status/626876342517301250", "626876342517301250")</f>
        <v>0</v>
      </c>
      <c r="B1726" s="2">
        <v>42215.9206134259</v>
      </c>
      <c r="C1726">
        <v>4</v>
      </c>
      <c r="D1726">
        <v>5</v>
      </c>
      <c r="E1726" t="s">
        <v>1718</v>
      </c>
    </row>
    <row r="1727" spans="1:5">
      <c r="A1727">
        <f>HYPERLINK("http://www.twitter.com/nycoem/status/626859229920538626", "626859229920538626")</f>
        <v>0</v>
      </c>
      <c r="B1727" s="2">
        <v>42215.8733912037</v>
      </c>
      <c r="C1727">
        <v>1</v>
      </c>
      <c r="D1727">
        <v>5</v>
      </c>
      <c r="E1727" t="s">
        <v>1719</v>
      </c>
    </row>
    <row r="1728" spans="1:5">
      <c r="A1728">
        <f>HYPERLINK("http://www.twitter.com/nycoem/status/626846352723562497", "626846352723562497")</f>
        <v>0</v>
      </c>
      <c r="B1728" s="2">
        <v>42215.8378587963</v>
      </c>
      <c r="C1728">
        <v>0</v>
      </c>
      <c r="D1728">
        <v>2</v>
      </c>
      <c r="E1728" t="s">
        <v>1720</v>
      </c>
    </row>
    <row r="1729" spans="1:5">
      <c r="A1729">
        <f>HYPERLINK("http://www.twitter.com/nycoem/status/626831072509173760", "626831072509173760")</f>
        <v>0</v>
      </c>
      <c r="B1729" s="2">
        <v>42215.7956944444</v>
      </c>
      <c r="C1729">
        <v>1</v>
      </c>
      <c r="D1729">
        <v>2</v>
      </c>
      <c r="E1729" t="s">
        <v>1721</v>
      </c>
    </row>
    <row r="1730" spans="1:5">
      <c r="A1730">
        <f>HYPERLINK("http://www.twitter.com/nycoem/status/626828251806216194", "626828251806216194")</f>
        <v>0</v>
      </c>
      <c r="B1730" s="2">
        <v>42215.7879050926</v>
      </c>
      <c r="C1730">
        <v>1</v>
      </c>
      <c r="D1730">
        <v>2</v>
      </c>
      <c r="E1730" t="s">
        <v>1722</v>
      </c>
    </row>
    <row r="1731" spans="1:5">
      <c r="A1731">
        <f>HYPERLINK("http://www.twitter.com/nycoem/status/626823314959413248", "626823314959413248")</f>
        <v>0</v>
      </c>
      <c r="B1731" s="2">
        <v>42215.7742824074</v>
      </c>
      <c r="C1731">
        <v>0</v>
      </c>
      <c r="D1731">
        <v>27</v>
      </c>
      <c r="E1731" t="s">
        <v>1723</v>
      </c>
    </row>
    <row r="1732" spans="1:5">
      <c r="A1732">
        <f>HYPERLINK("http://www.twitter.com/nycoem/status/626823211645321216", "626823211645321216")</f>
        <v>0</v>
      </c>
      <c r="B1732" s="2">
        <v>42215.7740046296</v>
      </c>
      <c r="C1732">
        <v>0</v>
      </c>
      <c r="D1732">
        <v>3</v>
      </c>
      <c r="E1732" t="s">
        <v>1724</v>
      </c>
    </row>
    <row r="1733" spans="1:5">
      <c r="A1733">
        <f>HYPERLINK("http://www.twitter.com/nycoem/status/626823097711206401", "626823097711206401")</f>
        <v>0</v>
      </c>
      <c r="B1733" s="2">
        <v>42215.7736805556</v>
      </c>
      <c r="C1733">
        <v>6</v>
      </c>
      <c r="D1733">
        <v>7</v>
      </c>
      <c r="E1733" t="s">
        <v>1725</v>
      </c>
    </row>
    <row r="1734" spans="1:5">
      <c r="A1734">
        <f>HYPERLINK("http://www.twitter.com/nycoem/status/626748866466086912", "626748866466086912")</f>
        <v>0</v>
      </c>
      <c r="B1734" s="2">
        <v>42215.5688425926</v>
      </c>
      <c r="C1734">
        <v>0</v>
      </c>
      <c r="D1734">
        <v>12</v>
      </c>
      <c r="E1734" t="s">
        <v>1726</v>
      </c>
    </row>
    <row r="1735" spans="1:5">
      <c r="A1735">
        <f>HYPERLINK("http://www.twitter.com/nycoem/status/626741033305440257", "626741033305440257")</f>
        <v>0</v>
      </c>
      <c r="B1735" s="2">
        <v>42215.5472337963</v>
      </c>
      <c r="C1735">
        <v>7</v>
      </c>
      <c r="D1735">
        <v>14</v>
      </c>
      <c r="E1735" t="s">
        <v>1727</v>
      </c>
    </row>
    <row r="1736" spans="1:5">
      <c r="A1736">
        <f>HYPERLINK("http://www.twitter.com/nycoem/status/626427294328991745", "626427294328991745")</f>
        <v>0</v>
      </c>
      <c r="B1736" s="2">
        <v>42214.6814814815</v>
      </c>
      <c r="C1736">
        <v>0</v>
      </c>
      <c r="D1736">
        <v>1</v>
      </c>
      <c r="E1736" t="s">
        <v>1728</v>
      </c>
    </row>
    <row r="1737" spans="1:5">
      <c r="A1737">
        <f>HYPERLINK("http://www.twitter.com/nycoem/status/626417148165009408", "626417148165009408")</f>
        <v>0</v>
      </c>
      <c r="B1737" s="2">
        <v>42214.6534837963</v>
      </c>
      <c r="C1737">
        <v>0</v>
      </c>
      <c r="D1737">
        <v>4</v>
      </c>
      <c r="E1737" t="s">
        <v>1729</v>
      </c>
    </row>
    <row r="1738" spans="1:5">
      <c r="A1738">
        <f>HYPERLINK("http://www.twitter.com/nycoem/status/626416049156702209", "626416049156702209")</f>
        <v>0</v>
      </c>
      <c r="B1738" s="2">
        <v>42214.6504513889</v>
      </c>
      <c r="C1738">
        <v>0</v>
      </c>
      <c r="D1738">
        <v>9</v>
      </c>
      <c r="E1738" t="s">
        <v>1730</v>
      </c>
    </row>
    <row r="1739" spans="1:5">
      <c r="A1739">
        <f>HYPERLINK("http://www.twitter.com/nycoem/status/626413345143394304", "626413345143394304")</f>
        <v>0</v>
      </c>
      <c r="B1739" s="2">
        <v>42214.6429861111</v>
      </c>
      <c r="C1739">
        <v>0</v>
      </c>
      <c r="D1739">
        <v>22</v>
      </c>
      <c r="E1739" t="s">
        <v>1731</v>
      </c>
    </row>
    <row r="1740" spans="1:5">
      <c r="A1740">
        <f>HYPERLINK("http://www.twitter.com/nycoem/status/626409650875965440", "626409650875965440")</f>
        <v>0</v>
      </c>
      <c r="B1740" s="2">
        <v>42214.6327893519</v>
      </c>
      <c r="C1740">
        <v>4</v>
      </c>
      <c r="D1740">
        <v>19</v>
      </c>
      <c r="E1740" t="s">
        <v>1732</v>
      </c>
    </row>
    <row r="1741" spans="1:5">
      <c r="A1741">
        <f>HYPERLINK("http://www.twitter.com/nycoem/status/626389435341504512", "626389435341504512")</f>
        <v>0</v>
      </c>
      <c r="B1741" s="2">
        <v>42214.5770023148</v>
      </c>
      <c r="C1741">
        <v>4</v>
      </c>
      <c r="D1741">
        <v>8</v>
      </c>
      <c r="E1741" t="s">
        <v>1733</v>
      </c>
    </row>
    <row r="1742" spans="1:5">
      <c r="A1742">
        <f>HYPERLINK("http://www.twitter.com/nycoem/status/626379868704501760", "626379868704501760")</f>
        <v>0</v>
      </c>
      <c r="B1742" s="2">
        <v>42214.5506018518</v>
      </c>
      <c r="C1742">
        <v>0</v>
      </c>
      <c r="D1742">
        <v>5</v>
      </c>
      <c r="E1742" t="s">
        <v>1734</v>
      </c>
    </row>
    <row r="1743" spans="1:5">
      <c r="A1743">
        <f>HYPERLINK("http://www.twitter.com/nycoem/status/626362395829633024", "626362395829633024")</f>
        <v>0</v>
      </c>
      <c r="B1743" s="2">
        <v>42214.5023958333</v>
      </c>
      <c r="C1743">
        <v>5</v>
      </c>
      <c r="D1743">
        <v>25</v>
      </c>
      <c r="E1743" t="s">
        <v>1735</v>
      </c>
    </row>
    <row r="1744" spans="1:5">
      <c r="A1744">
        <f>HYPERLINK("http://www.twitter.com/nycoem/status/626146348904116224", "626146348904116224")</f>
        <v>0</v>
      </c>
      <c r="B1744" s="2">
        <v>42213.9062152778</v>
      </c>
      <c r="C1744">
        <v>3</v>
      </c>
      <c r="D1744">
        <v>13</v>
      </c>
      <c r="E1744" t="s">
        <v>1736</v>
      </c>
    </row>
    <row r="1745" spans="1:5">
      <c r="A1745">
        <f>HYPERLINK("http://www.twitter.com/nycoem/status/626120044204982272", "626120044204982272")</f>
        <v>0</v>
      </c>
      <c r="B1745" s="2">
        <v>42213.8336226852</v>
      </c>
      <c r="C1745">
        <v>0</v>
      </c>
      <c r="D1745">
        <v>6</v>
      </c>
      <c r="E1745" t="s">
        <v>1737</v>
      </c>
    </row>
    <row r="1746" spans="1:5">
      <c r="A1746">
        <f>HYPERLINK("http://www.twitter.com/nycoem/status/626115047186669568", "626115047186669568")</f>
        <v>0</v>
      </c>
      <c r="B1746" s="2">
        <v>42213.819837963</v>
      </c>
      <c r="C1746">
        <v>1</v>
      </c>
      <c r="D1746">
        <v>11</v>
      </c>
      <c r="E1746" t="s">
        <v>1738</v>
      </c>
    </row>
    <row r="1747" spans="1:5">
      <c r="A1747">
        <f>HYPERLINK("http://www.twitter.com/nycoem/status/626107641534787584", "626107641534787584")</f>
        <v>0</v>
      </c>
      <c r="B1747" s="2">
        <v>42213.7993981481</v>
      </c>
      <c r="C1747">
        <v>2</v>
      </c>
      <c r="D1747">
        <v>7</v>
      </c>
      <c r="E1747" t="s">
        <v>1739</v>
      </c>
    </row>
    <row r="1748" spans="1:5">
      <c r="A1748">
        <f>HYPERLINK("http://www.twitter.com/nycoem/status/626083621280051200", "626083621280051200")</f>
        <v>0</v>
      </c>
      <c r="B1748" s="2">
        <v>42213.733125</v>
      </c>
      <c r="C1748">
        <v>5</v>
      </c>
      <c r="D1748">
        <v>13</v>
      </c>
      <c r="E1748" t="s">
        <v>1740</v>
      </c>
    </row>
    <row r="1749" spans="1:5">
      <c r="A1749">
        <f>HYPERLINK("http://www.twitter.com/nycoem/status/626071433274347520", "626071433274347520")</f>
        <v>0</v>
      </c>
      <c r="B1749" s="2">
        <v>42213.6994907407</v>
      </c>
      <c r="C1749">
        <v>0</v>
      </c>
      <c r="D1749">
        <v>0</v>
      </c>
      <c r="E1749" t="s">
        <v>1741</v>
      </c>
    </row>
    <row r="1750" spans="1:5">
      <c r="A1750">
        <f>HYPERLINK("http://www.twitter.com/nycoem/status/626057814172135424", "626057814172135424")</f>
        <v>0</v>
      </c>
      <c r="B1750" s="2">
        <v>42213.6619097222</v>
      </c>
      <c r="C1750">
        <v>4</v>
      </c>
      <c r="D1750">
        <v>7</v>
      </c>
      <c r="E1750" t="s">
        <v>1742</v>
      </c>
    </row>
    <row r="1751" spans="1:5">
      <c r="A1751">
        <f>HYPERLINK("http://www.twitter.com/nycoem/status/626053693297807360", "626053693297807360")</f>
        <v>0</v>
      </c>
      <c r="B1751" s="2">
        <v>42213.6505324074</v>
      </c>
      <c r="C1751">
        <v>2</v>
      </c>
      <c r="D1751">
        <v>11</v>
      </c>
      <c r="E1751" t="s">
        <v>1743</v>
      </c>
    </row>
    <row r="1752" spans="1:5">
      <c r="A1752">
        <f>HYPERLINK("http://www.twitter.com/nycoem/status/626026721972764672", "626026721972764672")</f>
        <v>0</v>
      </c>
      <c r="B1752" s="2">
        <v>42213.5761111111</v>
      </c>
      <c r="C1752">
        <v>0</v>
      </c>
      <c r="D1752">
        <v>5</v>
      </c>
      <c r="E1752" t="s">
        <v>1744</v>
      </c>
    </row>
    <row r="1753" spans="1:5">
      <c r="A1753">
        <f>HYPERLINK("http://www.twitter.com/nycoem/status/626017080857481216", "626017080857481216")</f>
        <v>0</v>
      </c>
      <c r="B1753" s="2">
        <v>42213.5495023148</v>
      </c>
      <c r="C1753">
        <v>2</v>
      </c>
      <c r="D1753">
        <v>9</v>
      </c>
      <c r="E1753" t="s">
        <v>1745</v>
      </c>
    </row>
    <row r="1754" spans="1:5">
      <c r="A1754">
        <f>HYPERLINK("http://www.twitter.com/nycoem/status/626009381566550016", "626009381566550016")</f>
        <v>0</v>
      </c>
      <c r="B1754" s="2">
        <v>42213.5282523148</v>
      </c>
      <c r="C1754">
        <v>1</v>
      </c>
      <c r="D1754">
        <v>6</v>
      </c>
      <c r="E1754" t="s">
        <v>1746</v>
      </c>
    </row>
    <row r="1755" spans="1:5">
      <c r="A1755">
        <f>HYPERLINK("http://www.twitter.com/nycoem/status/625784172825681920", "625784172825681920")</f>
        <v>0</v>
      </c>
      <c r="B1755" s="2">
        <v>42212.9067939815</v>
      </c>
      <c r="C1755">
        <v>3</v>
      </c>
      <c r="D1755">
        <v>9</v>
      </c>
      <c r="E1755" t="s">
        <v>1747</v>
      </c>
    </row>
    <row r="1756" spans="1:5">
      <c r="A1756">
        <f>HYPERLINK("http://www.twitter.com/nycoem/status/625762801022291968", "625762801022291968")</f>
        <v>0</v>
      </c>
      <c r="B1756" s="2">
        <v>42212.8478240741</v>
      </c>
      <c r="C1756">
        <v>0</v>
      </c>
      <c r="D1756">
        <v>5</v>
      </c>
      <c r="E1756" t="s">
        <v>1748</v>
      </c>
    </row>
    <row r="1757" spans="1:5">
      <c r="A1757">
        <f>HYPERLINK("http://www.twitter.com/nycoem/status/625738881565130752", "625738881565130752")</f>
        <v>0</v>
      </c>
      <c r="B1757" s="2">
        <v>42212.7818171296</v>
      </c>
      <c r="C1757">
        <v>4</v>
      </c>
      <c r="D1757">
        <v>5</v>
      </c>
      <c r="E1757" t="s">
        <v>1749</v>
      </c>
    </row>
    <row r="1758" spans="1:5">
      <c r="A1758">
        <f>HYPERLINK("http://www.twitter.com/nycoem/status/625696154148294656", "625696154148294656")</f>
        <v>0</v>
      </c>
      <c r="B1758" s="2">
        <v>42212.663912037</v>
      </c>
      <c r="C1758">
        <v>9</v>
      </c>
      <c r="D1758">
        <v>12</v>
      </c>
      <c r="E1758" t="s">
        <v>1750</v>
      </c>
    </row>
    <row r="1759" spans="1:5">
      <c r="A1759">
        <f>HYPERLINK("http://www.twitter.com/nycoem/status/624613690487083008", "624613690487083008")</f>
        <v>0</v>
      </c>
      <c r="B1759" s="2">
        <v>42209.6768865741</v>
      </c>
      <c r="C1759">
        <v>1</v>
      </c>
      <c r="D1759">
        <v>2</v>
      </c>
      <c r="E1759" t="s">
        <v>1751</v>
      </c>
    </row>
    <row r="1760" spans="1:5">
      <c r="A1760">
        <f>HYPERLINK("http://www.twitter.com/nycoem/status/624295907408879616", "624295907408879616")</f>
        <v>0</v>
      </c>
      <c r="B1760" s="2">
        <v>42208.7999652778</v>
      </c>
      <c r="C1760">
        <v>0</v>
      </c>
      <c r="D1760">
        <v>26</v>
      </c>
      <c r="E1760" t="s">
        <v>1752</v>
      </c>
    </row>
    <row r="1761" spans="1:5">
      <c r="A1761">
        <f>HYPERLINK("http://www.twitter.com/nycoem/status/624265575133487104", "624265575133487104")</f>
        <v>0</v>
      </c>
      <c r="B1761" s="2">
        <v>42208.7162731482</v>
      </c>
      <c r="C1761">
        <v>3</v>
      </c>
      <c r="D1761">
        <v>3</v>
      </c>
      <c r="E1761" t="s">
        <v>1753</v>
      </c>
    </row>
    <row r="1762" spans="1:5">
      <c r="A1762">
        <f>HYPERLINK("http://www.twitter.com/nycoem/status/624035127820201984", "624035127820201984")</f>
        <v>0</v>
      </c>
      <c r="B1762" s="2">
        <v>42208.0803587963</v>
      </c>
      <c r="C1762">
        <v>9</v>
      </c>
      <c r="D1762">
        <v>13</v>
      </c>
      <c r="E1762" t="s">
        <v>1754</v>
      </c>
    </row>
    <row r="1763" spans="1:5">
      <c r="A1763">
        <f>HYPERLINK("http://www.twitter.com/nycoem/status/623928196807950337", "623928196807950337")</f>
        <v>0</v>
      </c>
      <c r="B1763" s="2">
        <v>42207.7852777778</v>
      </c>
      <c r="C1763">
        <v>0</v>
      </c>
      <c r="D1763">
        <v>5</v>
      </c>
      <c r="E1763" t="s">
        <v>1755</v>
      </c>
    </row>
    <row r="1764" spans="1:5">
      <c r="A1764">
        <f>HYPERLINK("http://www.twitter.com/nycoem/status/623886327243796480", "623886327243796480")</f>
        <v>0</v>
      </c>
      <c r="B1764" s="2">
        <v>42207.6697453704</v>
      </c>
      <c r="C1764">
        <v>1</v>
      </c>
      <c r="D1764">
        <v>3</v>
      </c>
      <c r="E1764" t="s">
        <v>1756</v>
      </c>
    </row>
    <row r="1765" spans="1:5">
      <c r="A1765">
        <f>HYPERLINK("http://www.twitter.com/nycoem/status/623865807362228224", "623865807362228224")</f>
        <v>0</v>
      </c>
      <c r="B1765" s="2">
        <v>42207.6131134259</v>
      </c>
      <c r="C1765">
        <v>0</v>
      </c>
      <c r="D1765">
        <v>19</v>
      </c>
      <c r="E1765" t="s">
        <v>1757</v>
      </c>
    </row>
    <row r="1766" spans="1:5">
      <c r="A1766">
        <f>HYPERLINK("http://www.twitter.com/nycoem/status/623521775725490176", "623521775725490176")</f>
        <v>0</v>
      </c>
      <c r="B1766" s="2">
        <v>42206.6637731481</v>
      </c>
      <c r="C1766">
        <v>3</v>
      </c>
      <c r="D1766">
        <v>9</v>
      </c>
      <c r="E1766" t="s">
        <v>1758</v>
      </c>
    </row>
    <row r="1767" spans="1:5">
      <c r="A1767">
        <f>HYPERLINK("http://www.twitter.com/nycoem/status/623494894888349697", "623494894888349697")</f>
        <v>0</v>
      </c>
      <c r="B1767" s="2">
        <v>42206.5895949074</v>
      </c>
      <c r="C1767">
        <v>1</v>
      </c>
      <c r="D1767">
        <v>3</v>
      </c>
      <c r="E1767" t="s">
        <v>1759</v>
      </c>
    </row>
    <row r="1768" spans="1:5">
      <c r="A1768">
        <f>HYPERLINK("http://www.twitter.com/nycoem/status/623479085033984000", "623479085033984000")</f>
        <v>0</v>
      </c>
      <c r="B1768" s="2">
        <v>42206.5459722222</v>
      </c>
      <c r="C1768">
        <v>5</v>
      </c>
      <c r="D1768">
        <v>8</v>
      </c>
      <c r="E1768" t="s">
        <v>1760</v>
      </c>
    </row>
    <row r="1769" spans="1:5">
      <c r="A1769">
        <f>HYPERLINK("http://www.twitter.com/nycoem/status/623315912796602368", "623315912796602368")</f>
        <v>0</v>
      </c>
      <c r="B1769" s="2">
        <v>42206.0956944444</v>
      </c>
      <c r="C1769">
        <v>0</v>
      </c>
      <c r="D1769">
        <v>4</v>
      </c>
      <c r="E1769" t="s">
        <v>1761</v>
      </c>
    </row>
    <row r="1770" spans="1:5">
      <c r="A1770">
        <f>HYPERLINK("http://www.twitter.com/nycoem/status/623302453195358208", "623302453195358208")</f>
        <v>0</v>
      </c>
      <c r="B1770" s="2">
        <v>42206.0585532407</v>
      </c>
      <c r="C1770">
        <v>0</v>
      </c>
      <c r="D1770">
        <v>64</v>
      </c>
      <c r="E1770" t="s">
        <v>1762</v>
      </c>
    </row>
    <row r="1771" spans="1:5">
      <c r="A1771">
        <f>HYPERLINK("http://www.twitter.com/nycoem/status/623294079212912640", "623294079212912640")</f>
        <v>0</v>
      </c>
      <c r="B1771" s="2">
        <v>42206.0354513889</v>
      </c>
      <c r="C1771">
        <v>0</v>
      </c>
      <c r="D1771">
        <v>18</v>
      </c>
      <c r="E1771" t="s">
        <v>1763</v>
      </c>
    </row>
    <row r="1772" spans="1:5">
      <c r="A1772">
        <f>HYPERLINK("http://www.twitter.com/nycoem/status/623276036424396800", "623276036424396800")</f>
        <v>0</v>
      </c>
      <c r="B1772" s="2">
        <v>42205.9856597222</v>
      </c>
      <c r="C1772">
        <v>2</v>
      </c>
      <c r="D1772">
        <v>4</v>
      </c>
      <c r="E1772" t="s">
        <v>1764</v>
      </c>
    </row>
    <row r="1773" spans="1:5">
      <c r="A1773">
        <f>HYPERLINK("http://www.twitter.com/nycoem/status/623247390536040448", "623247390536040448")</f>
        <v>0</v>
      </c>
      <c r="B1773" s="2">
        <v>42205.9066087963</v>
      </c>
      <c r="C1773">
        <v>1</v>
      </c>
      <c r="D1773">
        <v>6</v>
      </c>
      <c r="E1773" t="s">
        <v>1765</v>
      </c>
    </row>
    <row r="1774" spans="1:5">
      <c r="A1774">
        <f>HYPERLINK("http://www.twitter.com/nycoem/status/623218624111771648", "623218624111771648")</f>
        <v>0</v>
      </c>
      <c r="B1774" s="2">
        <v>42205.8272337963</v>
      </c>
      <c r="C1774">
        <v>0</v>
      </c>
      <c r="D1774">
        <v>10</v>
      </c>
      <c r="E1774" t="s">
        <v>1766</v>
      </c>
    </row>
    <row r="1775" spans="1:5">
      <c r="A1775">
        <f>HYPERLINK("http://www.twitter.com/nycoem/status/623212262409510912", "623212262409510912")</f>
        <v>0</v>
      </c>
      <c r="B1775" s="2">
        <v>42205.8096759259</v>
      </c>
      <c r="C1775">
        <v>3</v>
      </c>
      <c r="D1775">
        <v>6</v>
      </c>
      <c r="E1775" t="s">
        <v>1767</v>
      </c>
    </row>
    <row r="1776" spans="1:5">
      <c r="A1776">
        <f>HYPERLINK("http://www.twitter.com/nycoem/status/623153028498108416", "623153028498108416")</f>
        <v>0</v>
      </c>
      <c r="B1776" s="2">
        <v>42205.6462268519</v>
      </c>
      <c r="C1776">
        <v>0</v>
      </c>
      <c r="D1776">
        <v>15</v>
      </c>
      <c r="E1776" t="s">
        <v>1768</v>
      </c>
    </row>
    <row r="1777" spans="1:5">
      <c r="A1777">
        <f>HYPERLINK("http://www.twitter.com/nycoem/status/623152917709758464", "623152917709758464")</f>
        <v>0</v>
      </c>
      <c r="B1777" s="2">
        <v>42205.6459143519</v>
      </c>
      <c r="C1777">
        <v>1</v>
      </c>
      <c r="D1777">
        <v>1</v>
      </c>
      <c r="E1777" t="s">
        <v>1769</v>
      </c>
    </row>
    <row r="1778" spans="1:5">
      <c r="A1778">
        <f>HYPERLINK("http://www.twitter.com/nycoem/status/623152243487993857", "623152243487993857")</f>
        <v>0</v>
      </c>
      <c r="B1778" s="2">
        <v>42205.6440625</v>
      </c>
      <c r="C1778">
        <v>2</v>
      </c>
      <c r="D1778">
        <v>15</v>
      </c>
      <c r="E1778" t="s">
        <v>1770</v>
      </c>
    </row>
    <row r="1779" spans="1:5">
      <c r="A1779">
        <f>HYPERLINK("http://www.twitter.com/nycoem/status/623150856205139968", "623150856205139968")</f>
        <v>0</v>
      </c>
      <c r="B1779" s="2">
        <v>42205.6402314815</v>
      </c>
      <c r="C1779">
        <v>3</v>
      </c>
      <c r="D1779">
        <v>14</v>
      </c>
      <c r="E1779" t="s">
        <v>1771</v>
      </c>
    </row>
    <row r="1780" spans="1:5">
      <c r="A1780">
        <f>HYPERLINK("http://www.twitter.com/nycoem/status/623150602768490496", "623150602768490496")</f>
        <v>0</v>
      </c>
      <c r="B1780" s="2">
        <v>42205.639525463</v>
      </c>
      <c r="C1780">
        <v>0</v>
      </c>
      <c r="D1780">
        <v>2</v>
      </c>
      <c r="E1780" t="s">
        <v>1772</v>
      </c>
    </row>
    <row r="1781" spans="1:5">
      <c r="A1781">
        <f>HYPERLINK("http://www.twitter.com/nycoem/status/623150305732116480", "623150305732116480")</f>
        <v>0</v>
      </c>
      <c r="B1781" s="2">
        <v>42205.6387152778</v>
      </c>
      <c r="C1781">
        <v>1</v>
      </c>
      <c r="D1781">
        <v>6</v>
      </c>
      <c r="E1781" t="s">
        <v>1773</v>
      </c>
    </row>
    <row r="1782" spans="1:5">
      <c r="A1782">
        <f>HYPERLINK("http://www.twitter.com/nycoem/status/623150085921218564", "623150085921218564")</f>
        <v>0</v>
      </c>
      <c r="B1782" s="2">
        <v>42205.6381018519</v>
      </c>
      <c r="C1782">
        <v>2</v>
      </c>
      <c r="D1782">
        <v>6</v>
      </c>
      <c r="E1782" t="s">
        <v>1774</v>
      </c>
    </row>
    <row r="1783" spans="1:5">
      <c r="A1783">
        <f>HYPERLINK("http://www.twitter.com/nycoem/status/623149856698302464", "623149856698302464")</f>
        <v>0</v>
      </c>
      <c r="B1783" s="2">
        <v>42205.6374768519</v>
      </c>
      <c r="C1783">
        <v>0</v>
      </c>
      <c r="D1783">
        <v>5</v>
      </c>
      <c r="E1783" t="s">
        <v>1775</v>
      </c>
    </row>
    <row r="1784" spans="1:5">
      <c r="A1784">
        <f>HYPERLINK("http://www.twitter.com/nycoem/status/623149501843402752", "623149501843402752")</f>
        <v>0</v>
      </c>
      <c r="B1784" s="2">
        <v>42205.6364930556</v>
      </c>
      <c r="C1784">
        <v>0</v>
      </c>
      <c r="D1784">
        <v>2</v>
      </c>
      <c r="E1784" t="s">
        <v>1776</v>
      </c>
    </row>
    <row r="1785" spans="1:5">
      <c r="A1785">
        <f>HYPERLINK("http://www.twitter.com/nycoem/status/623149090839379969", "623149090839379969")</f>
        <v>0</v>
      </c>
      <c r="B1785" s="2">
        <v>42205.6353587963</v>
      </c>
      <c r="C1785">
        <v>0</v>
      </c>
      <c r="D1785">
        <v>3</v>
      </c>
      <c r="E1785" t="s">
        <v>1777</v>
      </c>
    </row>
    <row r="1786" spans="1:5">
      <c r="A1786">
        <f>HYPERLINK("http://www.twitter.com/nycoem/status/623148924338077696", "623148924338077696")</f>
        <v>0</v>
      </c>
      <c r="B1786" s="2">
        <v>42205.6348958333</v>
      </c>
      <c r="C1786">
        <v>3</v>
      </c>
      <c r="D1786">
        <v>13</v>
      </c>
      <c r="E1786" t="s">
        <v>1778</v>
      </c>
    </row>
    <row r="1787" spans="1:5">
      <c r="A1787">
        <f>HYPERLINK("http://www.twitter.com/nycoem/status/623148397969711104", "623148397969711104")</f>
        <v>0</v>
      </c>
      <c r="B1787" s="2">
        <v>42205.6334490741</v>
      </c>
      <c r="C1787">
        <v>3</v>
      </c>
      <c r="D1787">
        <v>8</v>
      </c>
      <c r="E1787" t="s">
        <v>1779</v>
      </c>
    </row>
    <row r="1788" spans="1:5">
      <c r="A1788">
        <f>HYPERLINK("http://www.twitter.com/nycoem/status/623148045841133568", "623148045841133568")</f>
        <v>0</v>
      </c>
      <c r="B1788" s="2">
        <v>42205.6324768519</v>
      </c>
      <c r="C1788">
        <v>14</v>
      </c>
      <c r="D1788">
        <v>21</v>
      </c>
      <c r="E1788" t="s">
        <v>1780</v>
      </c>
    </row>
    <row r="1789" spans="1:5">
      <c r="A1789">
        <f>HYPERLINK("http://www.twitter.com/nycoem/status/623147951939002368", "623147951939002368")</f>
        <v>0</v>
      </c>
      <c r="B1789" s="2">
        <v>42205.6322106481</v>
      </c>
      <c r="C1789">
        <v>5</v>
      </c>
      <c r="D1789">
        <v>12</v>
      </c>
      <c r="E1789" t="s">
        <v>1781</v>
      </c>
    </row>
    <row r="1790" spans="1:5">
      <c r="A1790">
        <f>HYPERLINK("http://www.twitter.com/nycoem/status/623147679514759168", "623147679514759168")</f>
        <v>0</v>
      </c>
      <c r="B1790" s="2">
        <v>42205.6314583333</v>
      </c>
      <c r="C1790">
        <v>2</v>
      </c>
      <c r="D1790">
        <v>5</v>
      </c>
      <c r="E1790" t="s">
        <v>1782</v>
      </c>
    </row>
    <row r="1791" spans="1:5">
      <c r="A1791">
        <f>HYPERLINK("http://www.twitter.com/nycoem/status/623146413862600704", "623146413862600704")</f>
        <v>0</v>
      </c>
      <c r="B1791" s="2">
        <v>42205.627974537</v>
      </c>
      <c r="C1791">
        <v>1</v>
      </c>
      <c r="D1791">
        <v>4</v>
      </c>
      <c r="E1791" t="s">
        <v>1783</v>
      </c>
    </row>
    <row r="1792" spans="1:5">
      <c r="A1792">
        <f>HYPERLINK("http://www.twitter.com/nycoem/status/623143342101143552", "623143342101143552")</f>
        <v>0</v>
      </c>
      <c r="B1792" s="2">
        <v>42205.6194907407</v>
      </c>
      <c r="C1792">
        <v>2</v>
      </c>
      <c r="D1792">
        <v>17</v>
      </c>
      <c r="E1792" t="s">
        <v>1784</v>
      </c>
    </row>
    <row r="1793" spans="1:5">
      <c r="A1793">
        <f>HYPERLINK("http://www.twitter.com/nycoem/status/623133019466022912", "623133019466022912")</f>
        <v>0</v>
      </c>
      <c r="B1793" s="2">
        <v>42205.5910069444</v>
      </c>
      <c r="C1793">
        <v>0</v>
      </c>
      <c r="D1793">
        <v>5</v>
      </c>
      <c r="E1793" t="s">
        <v>1785</v>
      </c>
    </row>
    <row r="1794" spans="1:5">
      <c r="A1794">
        <f>HYPERLINK("http://www.twitter.com/nycoem/status/623124975533355008", "623124975533355008")</f>
        <v>0</v>
      </c>
      <c r="B1794" s="2">
        <v>42205.5688078704</v>
      </c>
      <c r="C1794">
        <v>0</v>
      </c>
      <c r="D1794">
        <v>11</v>
      </c>
      <c r="E1794" t="s">
        <v>1786</v>
      </c>
    </row>
    <row r="1795" spans="1:5">
      <c r="A1795">
        <f>HYPERLINK("http://www.twitter.com/nycoem/status/623094112493916160", "623094112493916160")</f>
        <v>0</v>
      </c>
      <c r="B1795" s="2">
        <v>42205.4836458333</v>
      </c>
      <c r="C1795">
        <v>8</v>
      </c>
      <c r="D1795">
        <v>48</v>
      </c>
      <c r="E1795" t="s">
        <v>1787</v>
      </c>
    </row>
    <row r="1796" spans="1:5">
      <c r="A1796">
        <f>HYPERLINK("http://www.twitter.com/nycoem/status/622799012622671873", "622799012622671873")</f>
        <v>0</v>
      </c>
      <c r="B1796" s="2">
        <v>42204.6693287037</v>
      </c>
      <c r="C1796">
        <v>0</v>
      </c>
      <c r="D1796">
        <v>9</v>
      </c>
      <c r="E1796" t="s">
        <v>1788</v>
      </c>
    </row>
    <row r="1797" spans="1:5">
      <c r="A1797">
        <f>HYPERLINK("http://www.twitter.com/nycoem/status/622511785367732224", "622511785367732224")</f>
        <v>0</v>
      </c>
      <c r="B1797" s="2">
        <v>42203.876724537</v>
      </c>
      <c r="C1797">
        <v>4</v>
      </c>
      <c r="D1797">
        <v>14</v>
      </c>
      <c r="E1797" t="s">
        <v>1789</v>
      </c>
    </row>
    <row r="1798" spans="1:5">
      <c r="A1798">
        <f>HYPERLINK("http://www.twitter.com/nycoem/status/622492662285910017", "622492662285910017")</f>
        <v>0</v>
      </c>
      <c r="B1798" s="2">
        <v>42203.8239583333</v>
      </c>
      <c r="C1798">
        <v>0</v>
      </c>
      <c r="D1798">
        <v>5</v>
      </c>
      <c r="E1798" t="s">
        <v>1790</v>
      </c>
    </row>
    <row r="1799" spans="1:5">
      <c r="A1799">
        <f>HYPERLINK("http://www.twitter.com/nycoem/status/622488872014999552", "622488872014999552")</f>
        <v>0</v>
      </c>
      <c r="B1799" s="2">
        <v>42203.8135069444</v>
      </c>
      <c r="C1799">
        <v>8</v>
      </c>
      <c r="D1799">
        <v>35</v>
      </c>
      <c r="E1799" t="s">
        <v>1791</v>
      </c>
    </row>
    <row r="1800" spans="1:5">
      <c r="A1800">
        <f>HYPERLINK("http://www.twitter.com/nycoem/status/622485303320817664", "622485303320817664")</f>
        <v>0</v>
      </c>
      <c r="B1800" s="2">
        <v>42203.8036574074</v>
      </c>
      <c r="C1800">
        <v>3</v>
      </c>
      <c r="D1800">
        <v>18</v>
      </c>
      <c r="E1800" t="s">
        <v>1792</v>
      </c>
    </row>
    <row r="1801" spans="1:5">
      <c r="A1801">
        <f>HYPERLINK("http://www.twitter.com/nycoem/status/622450053047820289", "622450053047820289")</f>
        <v>0</v>
      </c>
      <c r="B1801" s="2">
        <v>42203.7063773148</v>
      </c>
      <c r="C1801">
        <v>0</v>
      </c>
      <c r="D1801">
        <v>39</v>
      </c>
      <c r="E1801" t="s">
        <v>1793</v>
      </c>
    </row>
    <row r="1802" spans="1:5">
      <c r="A1802">
        <f>HYPERLINK("http://www.twitter.com/nycoem/status/622077394862653440", "622077394862653440")</f>
        <v>0</v>
      </c>
      <c r="B1802" s="2">
        <v>42202.6780439815</v>
      </c>
      <c r="C1802">
        <v>4</v>
      </c>
      <c r="D1802">
        <v>5</v>
      </c>
      <c r="E1802" t="s">
        <v>1794</v>
      </c>
    </row>
    <row r="1803" spans="1:5">
      <c r="A1803">
        <f>HYPERLINK("http://www.twitter.com/nycoem/status/622072500864872448", "622072500864872448")</f>
        <v>0</v>
      </c>
      <c r="B1803" s="2">
        <v>42202.664537037</v>
      </c>
      <c r="C1803">
        <v>0</v>
      </c>
      <c r="D1803">
        <v>1</v>
      </c>
      <c r="E1803" t="s">
        <v>1795</v>
      </c>
    </row>
    <row r="1804" spans="1:5">
      <c r="A1804">
        <f>HYPERLINK("http://www.twitter.com/nycoem/status/622029444195196928", "622029444195196928")</f>
        <v>0</v>
      </c>
      <c r="B1804" s="2">
        <v>42202.5457175926</v>
      </c>
      <c r="C1804">
        <v>1</v>
      </c>
      <c r="D1804">
        <v>1</v>
      </c>
      <c r="E1804" t="s">
        <v>1796</v>
      </c>
    </row>
    <row r="1805" spans="1:5">
      <c r="A1805">
        <f>HYPERLINK("http://www.twitter.com/nycoem/status/621758976812781568", "621758976812781568")</f>
        <v>0</v>
      </c>
      <c r="B1805" s="2">
        <v>42201.799375</v>
      </c>
      <c r="C1805">
        <v>12</v>
      </c>
      <c r="D1805">
        <v>16</v>
      </c>
      <c r="E1805" t="s">
        <v>1797</v>
      </c>
    </row>
    <row r="1806" spans="1:5">
      <c r="A1806">
        <f>HYPERLINK("http://www.twitter.com/nycoem/status/621708669588271105", "621708669588271105")</f>
        <v>0</v>
      </c>
      <c r="B1806" s="2">
        <v>42201.6605555556</v>
      </c>
      <c r="C1806">
        <v>4</v>
      </c>
      <c r="D1806">
        <v>5</v>
      </c>
      <c r="E1806" t="s">
        <v>1798</v>
      </c>
    </row>
    <row r="1807" spans="1:5">
      <c r="A1807">
        <f>HYPERLINK("http://www.twitter.com/nycoem/status/621440405624778752", "621440405624778752")</f>
        <v>0</v>
      </c>
      <c r="B1807" s="2">
        <v>42200.9202893519</v>
      </c>
      <c r="C1807">
        <v>0</v>
      </c>
      <c r="D1807">
        <v>0</v>
      </c>
      <c r="E1807" t="s">
        <v>1799</v>
      </c>
    </row>
    <row r="1808" spans="1:5">
      <c r="A1808">
        <f>HYPERLINK("http://www.twitter.com/nycoem/status/621363765364310016", "621363765364310016")</f>
        <v>0</v>
      </c>
      <c r="B1808" s="2">
        <v>42200.7087962963</v>
      </c>
      <c r="C1808">
        <v>0</v>
      </c>
      <c r="D1808">
        <v>16</v>
      </c>
      <c r="E1808" t="s">
        <v>1800</v>
      </c>
    </row>
    <row r="1809" spans="1:5">
      <c r="A1809">
        <f>HYPERLINK("http://www.twitter.com/nycoem/status/621363062772211712", "621363062772211712")</f>
        <v>0</v>
      </c>
      <c r="B1809" s="2">
        <v>42200.7068634259</v>
      </c>
      <c r="C1809">
        <v>0</v>
      </c>
      <c r="D1809">
        <v>0</v>
      </c>
      <c r="E1809" t="s">
        <v>1801</v>
      </c>
    </row>
    <row r="1810" spans="1:5">
      <c r="A1810">
        <f>HYPERLINK("http://www.twitter.com/nycoem/status/621351057562710016", "621351057562710016")</f>
        <v>0</v>
      </c>
      <c r="B1810" s="2">
        <v>42200.6737268519</v>
      </c>
      <c r="C1810">
        <v>1</v>
      </c>
      <c r="D1810">
        <v>2</v>
      </c>
      <c r="E1810" t="s">
        <v>1802</v>
      </c>
    </row>
    <row r="1811" spans="1:5">
      <c r="A1811">
        <f>HYPERLINK("http://www.twitter.com/nycoem/status/621347536192802816", "621347536192802816")</f>
        <v>0</v>
      </c>
      <c r="B1811" s="2">
        <v>42200.6640162037</v>
      </c>
      <c r="C1811">
        <v>2</v>
      </c>
      <c r="D1811">
        <v>1</v>
      </c>
      <c r="E1811" t="s">
        <v>1803</v>
      </c>
    </row>
    <row r="1812" spans="1:5">
      <c r="A1812">
        <f>HYPERLINK("http://www.twitter.com/nycoem/status/621334141469069312", "621334141469069312")</f>
        <v>0</v>
      </c>
      <c r="B1812" s="2">
        <v>42200.6270486111</v>
      </c>
      <c r="C1812">
        <v>9</v>
      </c>
      <c r="D1812">
        <v>28</v>
      </c>
      <c r="E1812" t="s">
        <v>1804</v>
      </c>
    </row>
    <row r="1813" spans="1:5">
      <c r="A1813">
        <f>HYPERLINK("http://www.twitter.com/nycoem/status/621307584075702274", "621307584075702274")</f>
        <v>0</v>
      </c>
      <c r="B1813" s="2">
        <v>42200.5537731481</v>
      </c>
      <c r="C1813">
        <v>1</v>
      </c>
      <c r="D1813">
        <v>3</v>
      </c>
      <c r="E1813" t="s">
        <v>1805</v>
      </c>
    </row>
    <row r="1814" spans="1:5">
      <c r="A1814">
        <f>HYPERLINK("http://www.twitter.com/nycoem/status/621016426002972672", "621016426002972672")</f>
        <v>0</v>
      </c>
      <c r="B1814" s="2">
        <v>42199.7503240741</v>
      </c>
      <c r="C1814">
        <v>1</v>
      </c>
      <c r="D1814">
        <v>5</v>
      </c>
      <c r="E1814" t="s">
        <v>1806</v>
      </c>
    </row>
    <row r="1815" spans="1:5">
      <c r="A1815">
        <f>HYPERLINK("http://www.twitter.com/nycoem/status/620983893223698432", "620983893223698432")</f>
        <v>0</v>
      </c>
      <c r="B1815" s="2">
        <v>42199.6605555556</v>
      </c>
      <c r="C1815">
        <v>0</v>
      </c>
      <c r="D1815">
        <v>2</v>
      </c>
      <c r="E1815" t="s">
        <v>1807</v>
      </c>
    </row>
    <row r="1816" spans="1:5">
      <c r="A1816">
        <f>HYPERLINK("http://www.twitter.com/nycoem/status/620701528693850112", "620701528693850112")</f>
        <v>0</v>
      </c>
      <c r="B1816" s="2">
        <v>42198.8813773148</v>
      </c>
      <c r="C1816">
        <v>0</v>
      </c>
      <c r="D1816">
        <v>0</v>
      </c>
      <c r="E1816" t="s">
        <v>1808</v>
      </c>
    </row>
    <row r="1817" spans="1:5">
      <c r="A1817">
        <f>HYPERLINK("http://www.twitter.com/nycoem/status/620669987276128257", "620669987276128257")</f>
        <v>0</v>
      </c>
      <c r="B1817" s="2">
        <v>42198.7943402778</v>
      </c>
      <c r="C1817">
        <v>2</v>
      </c>
      <c r="D1817">
        <v>4</v>
      </c>
      <c r="E1817" t="s">
        <v>1809</v>
      </c>
    </row>
    <row r="1818" spans="1:5">
      <c r="A1818">
        <f>HYPERLINK("http://www.twitter.com/nycoem/status/620627910739759104", "620627910739759104")</f>
        <v>0</v>
      </c>
      <c r="B1818" s="2">
        <v>42198.6782291667</v>
      </c>
      <c r="C1818">
        <v>2</v>
      </c>
      <c r="D1818">
        <v>4</v>
      </c>
      <c r="E1818" t="s">
        <v>1810</v>
      </c>
    </row>
    <row r="1819" spans="1:5">
      <c r="A1819">
        <f>HYPERLINK("http://www.twitter.com/nycoem/status/620334905118035969", "620334905118035969")</f>
        <v>0</v>
      </c>
      <c r="B1819" s="2">
        <v>42197.8696875</v>
      </c>
      <c r="C1819">
        <v>1</v>
      </c>
      <c r="D1819">
        <v>2</v>
      </c>
      <c r="E1819" t="s">
        <v>1811</v>
      </c>
    </row>
    <row r="1820" spans="1:5">
      <c r="A1820">
        <f>HYPERLINK("http://www.twitter.com/nycoem/status/620275959212720128", "620275959212720128")</f>
        <v>0</v>
      </c>
      <c r="B1820" s="2">
        <v>42197.707025463</v>
      </c>
      <c r="C1820">
        <v>4</v>
      </c>
      <c r="D1820">
        <v>11</v>
      </c>
      <c r="E1820" t="s">
        <v>1812</v>
      </c>
    </row>
    <row r="1821" spans="1:5">
      <c r="A1821">
        <f>HYPERLINK("http://www.twitter.com/nycoem/status/620249706195718145", "620249706195718145")</f>
        <v>0</v>
      </c>
      <c r="B1821" s="2">
        <v>42197.6345833333</v>
      </c>
      <c r="C1821">
        <v>1</v>
      </c>
      <c r="D1821">
        <v>4</v>
      </c>
      <c r="E1821" t="s">
        <v>1813</v>
      </c>
    </row>
    <row r="1822" spans="1:5">
      <c r="A1822">
        <f>HYPERLINK("http://www.twitter.com/nycoem/status/619578442460327936", "619578442460327936")</f>
        <v>0</v>
      </c>
      <c r="B1822" s="2">
        <v>42195.7822453704</v>
      </c>
      <c r="C1822">
        <v>4</v>
      </c>
      <c r="D1822">
        <v>1</v>
      </c>
      <c r="E1822" t="s">
        <v>1814</v>
      </c>
    </row>
    <row r="1823" spans="1:5">
      <c r="A1823">
        <f>HYPERLINK("http://www.twitter.com/nycoem/status/619555527341834240", "619555527341834240")</f>
        <v>0</v>
      </c>
      <c r="B1823" s="2">
        <v>42195.7190162037</v>
      </c>
      <c r="C1823">
        <v>0</v>
      </c>
      <c r="D1823">
        <v>8</v>
      </c>
      <c r="E1823" t="s">
        <v>1815</v>
      </c>
    </row>
    <row r="1824" spans="1:5">
      <c r="A1824">
        <f>HYPERLINK("http://www.twitter.com/nycoem/status/619555483834314752", "619555483834314752")</f>
        <v>0</v>
      </c>
      <c r="B1824" s="2">
        <v>42195.7188888889</v>
      </c>
      <c r="C1824">
        <v>6</v>
      </c>
      <c r="D1824">
        <v>2</v>
      </c>
      <c r="E1824" t="s">
        <v>1816</v>
      </c>
    </row>
    <row r="1825" spans="1:5">
      <c r="A1825">
        <f>HYPERLINK("http://www.twitter.com/nycoem/status/619494574852046848", "619494574852046848")</f>
        <v>0</v>
      </c>
      <c r="B1825" s="2">
        <v>42195.5508101852</v>
      </c>
      <c r="C1825">
        <v>1</v>
      </c>
      <c r="D1825">
        <v>7</v>
      </c>
      <c r="E1825" t="s">
        <v>1817</v>
      </c>
    </row>
    <row r="1826" spans="1:5">
      <c r="A1826">
        <f>HYPERLINK("http://www.twitter.com/nycoem/status/619494260694454272", "619494260694454272")</f>
        <v>0</v>
      </c>
      <c r="B1826" s="2">
        <v>42195.5499537037</v>
      </c>
      <c r="C1826">
        <v>0</v>
      </c>
      <c r="D1826">
        <v>4</v>
      </c>
      <c r="E1826" t="s">
        <v>1818</v>
      </c>
    </row>
    <row r="1827" spans="1:5">
      <c r="A1827">
        <f>HYPERLINK("http://www.twitter.com/nycoem/status/619200854588059648", "619200854588059648")</f>
        <v>0</v>
      </c>
      <c r="B1827" s="2">
        <v>42194.7403009259</v>
      </c>
      <c r="C1827">
        <v>4</v>
      </c>
      <c r="D1827">
        <v>7</v>
      </c>
      <c r="E1827" t="s">
        <v>1819</v>
      </c>
    </row>
    <row r="1828" spans="1:5">
      <c r="A1828">
        <f>HYPERLINK("http://www.twitter.com/nycoem/status/619135332106260480", "619135332106260480")</f>
        <v>0</v>
      </c>
      <c r="B1828" s="2">
        <v>42194.5594907407</v>
      </c>
      <c r="C1828">
        <v>1</v>
      </c>
      <c r="D1828">
        <v>0</v>
      </c>
      <c r="E1828" t="s">
        <v>1820</v>
      </c>
    </row>
    <row r="1829" spans="1:5">
      <c r="A1829">
        <f>HYPERLINK("http://www.twitter.com/nycoem/status/619129299254288384", "619129299254288384")</f>
        <v>0</v>
      </c>
      <c r="B1829" s="2">
        <v>42194.5428472222</v>
      </c>
      <c r="C1829">
        <v>0</v>
      </c>
      <c r="D1829">
        <v>6</v>
      </c>
      <c r="E1829" t="s">
        <v>1821</v>
      </c>
    </row>
    <row r="1830" spans="1:5">
      <c r="A1830">
        <f>HYPERLINK("http://www.twitter.com/nycoem/status/618854811069489152", "618854811069489152")</f>
        <v>0</v>
      </c>
      <c r="B1830" s="2">
        <v>42193.7854050926</v>
      </c>
      <c r="C1830">
        <v>1</v>
      </c>
      <c r="D1830">
        <v>3</v>
      </c>
      <c r="E1830" t="s">
        <v>1822</v>
      </c>
    </row>
    <row r="1831" spans="1:5">
      <c r="A1831">
        <f>HYPERLINK("http://www.twitter.com/nycoem/status/618832781255278592", "618832781255278592")</f>
        <v>0</v>
      </c>
      <c r="B1831" s="2">
        <v>42193.7246180556</v>
      </c>
      <c r="C1831">
        <v>1</v>
      </c>
      <c r="D1831">
        <v>0</v>
      </c>
      <c r="E1831" t="s">
        <v>1823</v>
      </c>
    </row>
    <row r="1832" spans="1:5">
      <c r="A1832">
        <f>HYPERLINK("http://www.twitter.com/nycoem/status/618810737528578048", "618810737528578048")</f>
        <v>0</v>
      </c>
      <c r="B1832" s="2">
        <v>42193.6637847222</v>
      </c>
      <c r="C1832">
        <v>5</v>
      </c>
      <c r="D1832">
        <v>12</v>
      </c>
      <c r="E1832" t="s">
        <v>1824</v>
      </c>
    </row>
    <row r="1833" spans="1:5">
      <c r="A1833">
        <f>HYPERLINK("http://www.twitter.com/nycoem/status/618793231900409856", "618793231900409856")</f>
        <v>0</v>
      </c>
      <c r="B1833" s="2">
        <v>42193.615474537</v>
      </c>
      <c r="C1833">
        <v>2</v>
      </c>
      <c r="D1833">
        <v>4</v>
      </c>
      <c r="E1833" t="s">
        <v>1825</v>
      </c>
    </row>
    <row r="1834" spans="1:5">
      <c r="A1834">
        <f>HYPERLINK("http://www.twitter.com/nycoem/status/618536539191160832", "618536539191160832")</f>
        <v>0</v>
      </c>
      <c r="B1834" s="2">
        <v>42192.9071412037</v>
      </c>
      <c r="C1834">
        <v>6</v>
      </c>
      <c r="D1834">
        <v>13</v>
      </c>
      <c r="E1834" t="s">
        <v>1826</v>
      </c>
    </row>
    <row r="1835" spans="1:5">
      <c r="A1835">
        <f>HYPERLINK("http://www.twitter.com/nycoem/status/618496260128047104", "618496260128047104")</f>
        <v>0</v>
      </c>
      <c r="B1835" s="2">
        <v>42192.7959953704</v>
      </c>
      <c r="C1835">
        <v>0</v>
      </c>
      <c r="D1835">
        <v>6</v>
      </c>
      <c r="E1835" t="s">
        <v>1827</v>
      </c>
    </row>
    <row r="1836" spans="1:5">
      <c r="A1836">
        <f>HYPERLINK("http://www.twitter.com/nycoem/status/618450995660648448", "618450995660648448")</f>
        <v>0</v>
      </c>
      <c r="B1836" s="2">
        <v>42192.671087963</v>
      </c>
      <c r="C1836">
        <v>3</v>
      </c>
      <c r="D1836">
        <v>4</v>
      </c>
      <c r="E1836" t="s">
        <v>1828</v>
      </c>
    </row>
    <row r="1837" spans="1:5">
      <c r="A1837">
        <f>HYPERLINK("http://www.twitter.com/nycoem/status/618085977144315904", "618085977144315904")</f>
        <v>0</v>
      </c>
      <c r="B1837" s="2">
        <v>42191.6638310185</v>
      </c>
      <c r="C1837">
        <v>2</v>
      </c>
      <c r="D1837">
        <v>7</v>
      </c>
      <c r="E1837" t="s">
        <v>1829</v>
      </c>
    </row>
    <row r="1838" spans="1:5">
      <c r="A1838">
        <f>HYPERLINK("http://www.twitter.com/nycoem/status/618054437588877312", "618054437588877312")</f>
        <v>0</v>
      </c>
      <c r="B1838" s="2">
        <v>42191.5767939815</v>
      </c>
      <c r="C1838">
        <v>2</v>
      </c>
      <c r="D1838">
        <v>7</v>
      </c>
      <c r="E1838" t="s">
        <v>1830</v>
      </c>
    </row>
    <row r="1839" spans="1:5">
      <c r="A1839">
        <f>HYPERLINK("http://www.twitter.com/nycoem/status/617371184607436800", "617371184607436800")</f>
        <v>0</v>
      </c>
      <c r="B1839" s="2">
        <v>42189.6913773148</v>
      </c>
      <c r="C1839">
        <v>12</v>
      </c>
      <c r="D1839">
        <v>15</v>
      </c>
      <c r="E1839" t="s">
        <v>1831</v>
      </c>
    </row>
    <row r="1840" spans="1:5">
      <c r="A1840">
        <f>HYPERLINK("http://www.twitter.com/nycoem/status/617044033781800960", "617044033781800960")</f>
        <v>0</v>
      </c>
      <c r="B1840" s="2">
        <v>42188.7886111111</v>
      </c>
      <c r="C1840">
        <v>0</v>
      </c>
      <c r="D1840">
        <v>2</v>
      </c>
      <c r="E1840" t="s">
        <v>1832</v>
      </c>
    </row>
    <row r="1841" spans="1:5">
      <c r="A1841">
        <f>HYPERLINK("http://www.twitter.com/nycoem/status/616993746379517952", "616993746379517952")</f>
        <v>0</v>
      </c>
      <c r="B1841" s="2">
        <v>42188.649837963</v>
      </c>
      <c r="C1841">
        <v>0</v>
      </c>
      <c r="D1841">
        <v>5</v>
      </c>
      <c r="E1841" t="s">
        <v>1833</v>
      </c>
    </row>
    <row r="1842" spans="1:5">
      <c r="A1842">
        <f>HYPERLINK("http://www.twitter.com/nycoem/status/616957390580264960", "616957390580264960")</f>
        <v>0</v>
      </c>
      <c r="B1842" s="2">
        <v>42188.549525463</v>
      </c>
      <c r="C1842">
        <v>4</v>
      </c>
      <c r="D1842">
        <v>10</v>
      </c>
      <c r="E1842" t="s">
        <v>1834</v>
      </c>
    </row>
    <row r="1843" spans="1:5">
      <c r="A1843">
        <f>HYPERLINK("http://www.twitter.com/nycoem/status/616608005912678400", "616608005912678400")</f>
        <v>0</v>
      </c>
      <c r="B1843" s="2">
        <v>42187.5854050926</v>
      </c>
      <c r="C1843">
        <v>3</v>
      </c>
      <c r="D1843">
        <v>10</v>
      </c>
      <c r="E1843" t="s">
        <v>1835</v>
      </c>
    </row>
    <row r="1844" spans="1:5">
      <c r="A1844">
        <f>HYPERLINK("http://www.twitter.com/nycoem/status/616601092105838592", "616601092105838592")</f>
        <v>0</v>
      </c>
      <c r="B1844" s="2">
        <v>42187.5663194444</v>
      </c>
      <c r="C1844">
        <v>1</v>
      </c>
      <c r="D1844">
        <v>5</v>
      </c>
      <c r="E1844" t="s">
        <v>1836</v>
      </c>
    </row>
    <row r="1845" spans="1:5">
      <c r="A1845">
        <f>HYPERLINK("http://www.twitter.com/nycoem/status/616592865838395392", "616592865838395392")</f>
        <v>0</v>
      </c>
      <c r="B1845" s="2">
        <v>42187.5436226852</v>
      </c>
      <c r="C1845">
        <v>1</v>
      </c>
      <c r="D1845">
        <v>0</v>
      </c>
      <c r="E1845" t="s">
        <v>1837</v>
      </c>
    </row>
    <row r="1846" spans="1:5">
      <c r="A1846">
        <f>HYPERLINK("http://www.twitter.com/nycoem/status/616319250626650112", "616319250626650112")</f>
        <v>0</v>
      </c>
      <c r="B1846" s="2">
        <v>42186.788587963</v>
      </c>
      <c r="C1846">
        <v>3</v>
      </c>
      <c r="D1846">
        <v>8</v>
      </c>
      <c r="E1846" t="s">
        <v>1838</v>
      </c>
    </row>
    <row r="1847" spans="1:5">
      <c r="A1847">
        <f>HYPERLINK("http://www.twitter.com/nycoem/status/616279093508730882", "616279093508730882")</f>
        <v>0</v>
      </c>
      <c r="B1847" s="2">
        <v>42186.6777777778</v>
      </c>
      <c r="C1847">
        <v>2</v>
      </c>
      <c r="D1847">
        <v>3</v>
      </c>
      <c r="E1847" t="s">
        <v>1839</v>
      </c>
    </row>
    <row r="1848" spans="1:5">
      <c r="A1848">
        <f>HYPERLINK("http://www.twitter.com/nycoem/status/616251542249828352", "616251542249828352")</f>
        <v>0</v>
      </c>
      <c r="B1848" s="2">
        <v>42186.6017476852</v>
      </c>
      <c r="C1848">
        <v>0</v>
      </c>
      <c r="D1848">
        <v>0</v>
      </c>
      <c r="E1848" t="s">
        <v>1840</v>
      </c>
    </row>
    <row r="1849" spans="1:5">
      <c r="A1849">
        <f>HYPERLINK("http://www.twitter.com/nycoem/status/616233678079946752", "616233678079946752")</f>
        <v>0</v>
      </c>
      <c r="B1849" s="2">
        <v>42186.5524537037</v>
      </c>
      <c r="C1849">
        <v>0</v>
      </c>
      <c r="D1849">
        <v>1</v>
      </c>
      <c r="E1849" t="s">
        <v>1841</v>
      </c>
    </row>
    <row r="1850" spans="1:5">
      <c r="A1850">
        <f>HYPERLINK("http://www.twitter.com/nycoem/status/615985897188814848", "615985897188814848")</f>
        <v>0</v>
      </c>
      <c r="B1850" s="2">
        <v>42185.8687152778</v>
      </c>
      <c r="C1850">
        <v>1</v>
      </c>
      <c r="D1850">
        <v>5</v>
      </c>
      <c r="E1850" t="s">
        <v>1842</v>
      </c>
    </row>
    <row r="1851" spans="1:5">
      <c r="A1851">
        <f>HYPERLINK("http://www.twitter.com/nycoem/status/615976286465454080", "615976286465454080")</f>
        <v>0</v>
      </c>
      <c r="B1851" s="2">
        <v>42185.8421875</v>
      </c>
      <c r="C1851">
        <v>3</v>
      </c>
      <c r="D1851">
        <v>4</v>
      </c>
      <c r="E1851" t="s">
        <v>1843</v>
      </c>
    </row>
    <row r="1852" spans="1:5">
      <c r="A1852">
        <f>HYPERLINK("http://www.twitter.com/nycoem/status/615961288552894464", "615961288552894464")</f>
        <v>0</v>
      </c>
      <c r="B1852" s="2">
        <v>42185.8007986111</v>
      </c>
      <c r="C1852">
        <v>0</v>
      </c>
      <c r="D1852">
        <v>2</v>
      </c>
      <c r="E1852" t="s">
        <v>1844</v>
      </c>
    </row>
    <row r="1853" spans="1:5">
      <c r="A1853">
        <f>HYPERLINK("http://www.twitter.com/nycoem/status/615913338787250176", "615913338787250176")</f>
        <v>0</v>
      </c>
      <c r="B1853" s="2">
        <v>42185.6684837963</v>
      </c>
      <c r="C1853">
        <v>1</v>
      </c>
      <c r="D1853">
        <v>2</v>
      </c>
      <c r="E1853" t="s">
        <v>1845</v>
      </c>
    </row>
    <row r="1854" spans="1:5">
      <c r="A1854">
        <f>HYPERLINK("http://www.twitter.com/nycoem/status/615885467603595264", "615885467603595264")</f>
        <v>0</v>
      </c>
      <c r="B1854" s="2">
        <v>42185.5915740741</v>
      </c>
      <c r="C1854">
        <v>0</v>
      </c>
      <c r="D1854">
        <v>6</v>
      </c>
      <c r="E1854" t="s">
        <v>1846</v>
      </c>
    </row>
    <row r="1855" spans="1:5">
      <c r="A1855">
        <f>HYPERLINK("http://www.twitter.com/nycoem/status/615594516930822144", "615594516930822144")</f>
        <v>0</v>
      </c>
      <c r="B1855" s="2">
        <v>42184.7887037037</v>
      </c>
      <c r="C1855">
        <v>2</v>
      </c>
      <c r="D1855">
        <v>8</v>
      </c>
      <c r="E1855" t="s">
        <v>1847</v>
      </c>
    </row>
    <row r="1856" spans="1:5">
      <c r="A1856">
        <f>HYPERLINK("http://www.twitter.com/nycoem/status/615580706287263744", "615580706287263744")</f>
        <v>0</v>
      </c>
      <c r="B1856" s="2">
        <v>42184.7505902778</v>
      </c>
      <c r="C1856">
        <v>2</v>
      </c>
      <c r="D1856">
        <v>2</v>
      </c>
      <c r="E1856" t="s">
        <v>1848</v>
      </c>
    </row>
    <row r="1857" spans="1:5">
      <c r="A1857">
        <f>HYPERLINK("http://www.twitter.com/nycoem/status/615557797749637120", "615557797749637120")</f>
        <v>0</v>
      </c>
      <c r="B1857" s="2">
        <v>42184.6873842593</v>
      </c>
      <c r="C1857">
        <v>0</v>
      </c>
      <c r="D1857">
        <v>3</v>
      </c>
      <c r="E1857" t="s">
        <v>1849</v>
      </c>
    </row>
    <row r="1858" spans="1:5">
      <c r="A1858">
        <f>HYPERLINK("http://www.twitter.com/nycoem/status/615553137831768065", "615553137831768065")</f>
        <v>0</v>
      </c>
      <c r="B1858" s="2">
        <v>42184.674525463</v>
      </c>
      <c r="C1858">
        <v>0</v>
      </c>
      <c r="D1858">
        <v>8</v>
      </c>
      <c r="E1858" t="s">
        <v>1850</v>
      </c>
    </row>
    <row r="1859" spans="1:5">
      <c r="A1859">
        <f>HYPERLINK("http://www.twitter.com/nycoem/status/614473416255610880", "614473416255610880")</f>
        <v>0</v>
      </c>
      <c r="B1859" s="2">
        <v>42181.6950578704</v>
      </c>
      <c r="C1859">
        <v>1</v>
      </c>
      <c r="D1859">
        <v>3</v>
      </c>
      <c r="E1859" t="s">
        <v>1851</v>
      </c>
    </row>
    <row r="1860" spans="1:5">
      <c r="A1860">
        <f>HYPERLINK("http://www.twitter.com/nycoem/status/614425856665124864", "614425856665124864")</f>
        <v>0</v>
      </c>
      <c r="B1860" s="2">
        <v>42181.5638194444</v>
      </c>
      <c r="C1860">
        <v>1</v>
      </c>
      <c r="D1860">
        <v>2</v>
      </c>
      <c r="E1860" t="s">
        <v>1852</v>
      </c>
    </row>
    <row r="1861" spans="1:5">
      <c r="A1861">
        <f>HYPERLINK("http://www.twitter.com/nycoem/status/614195968473481216", "614195968473481216")</f>
        <v>0</v>
      </c>
      <c r="B1861" s="2">
        <v>42180.9294444444</v>
      </c>
      <c r="C1861">
        <v>0</v>
      </c>
      <c r="D1861">
        <v>9</v>
      </c>
      <c r="E1861" t="s">
        <v>1853</v>
      </c>
    </row>
    <row r="1862" spans="1:5">
      <c r="A1862">
        <f>HYPERLINK("http://www.twitter.com/nycoem/status/614192209999601664", "614192209999601664")</f>
        <v>0</v>
      </c>
      <c r="B1862" s="2">
        <v>42180.9190740741</v>
      </c>
      <c r="C1862">
        <v>2</v>
      </c>
      <c r="D1862">
        <v>3</v>
      </c>
      <c r="E1862" t="s">
        <v>1854</v>
      </c>
    </row>
    <row r="1863" spans="1:5">
      <c r="A1863">
        <f>HYPERLINK("http://www.twitter.com/nycoem/status/614170126628319232", "614170126628319232")</f>
        <v>0</v>
      </c>
      <c r="B1863" s="2">
        <v>42180.8581365741</v>
      </c>
      <c r="C1863">
        <v>6</v>
      </c>
      <c r="D1863">
        <v>5</v>
      </c>
      <c r="E1863" t="s">
        <v>1855</v>
      </c>
    </row>
    <row r="1864" spans="1:5">
      <c r="A1864">
        <f>HYPERLINK("http://www.twitter.com/nycoem/status/614148785292341248", "614148785292341248")</f>
        <v>0</v>
      </c>
      <c r="B1864" s="2">
        <v>42180.7992476852</v>
      </c>
      <c r="C1864">
        <v>1</v>
      </c>
      <c r="D1864">
        <v>3</v>
      </c>
      <c r="E1864" t="s">
        <v>1856</v>
      </c>
    </row>
    <row r="1865" spans="1:5">
      <c r="A1865">
        <f>HYPERLINK("http://www.twitter.com/nycoem/status/614098455896674304", "614098455896674304")</f>
        <v>0</v>
      </c>
      <c r="B1865" s="2">
        <v>42180.6603587963</v>
      </c>
      <c r="C1865">
        <v>5</v>
      </c>
      <c r="D1865">
        <v>12</v>
      </c>
      <c r="E1865" t="s">
        <v>1857</v>
      </c>
    </row>
    <row r="1866" spans="1:5">
      <c r="A1866">
        <f>HYPERLINK("http://www.twitter.com/nycoem/status/613832923951833088", "613832923951833088")</f>
        <v>0</v>
      </c>
      <c r="B1866" s="2">
        <v>42179.9276388889</v>
      </c>
      <c r="C1866">
        <v>0</v>
      </c>
      <c r="D1866">
        <v>3</v>
      </c>
      <c r="E1866" t="s">
        <v>1858</v>
      </c>
    </row>
    <row r="1867" spans="1:5">
      <c r="A1867">
        <f>HYPERLINK("http://www.twitter.com/nycoem/status/613739448380071936", "613739448380071936")</f>
        <v>0</v>
      </c>
      <c r="B1867" s="2">
        <v>42179.6696875</v>
      </c>
      <c r="C1867">
        <v>0</v>
      </c>
      <c r="D1867">
        <v>4</v>
      </c>
      <c r="E1867" t="s">
        <v>1859</v>
      </c>
    </row>
    <row r="1868" spans="1:5">
      <c r="A1868">
        <f>HYPERLINK("http://www.twitter.com/nycoem/status/613695814574174208", "613695814574174208")</f>
        <v>0</v>
      </c>
      <c r="B1868" s="2">
        <v>42179.5492824074</v>
      </c>
      <c r="C1868">
        <v>1</v>
      </c>
      <c r="D1868">
        <v>2</v>
      </c>
      <c r="E1868" t="s">
        <v>1860</v>
      </c>
    </row>
    <row r="1869" spans="1:5">
      <c r="A1869">
        <f>HYPERLINK("http://www.twitter.com/nycoem/status/613493968878325760", "613493968878325760")</f>
        <v>0</v>
      </c>
      <c r="B1869" s="2">
        <v>42178.9923032407</v>
      </c>
      <c r="C1869">
        <v>1</v>
      </c>
      <c r="D1869">
        <v>0</v>
      </c>
      <c r="E1869" t="s">
        <v>1861</v>
      </c>
    </row>
    <row r="1870" spans="1:5">
      <c r="A1870">
        <f>HYPERLINK("http://www.twitter.com/nycoem/status/613473095232454656", "613473095232454656")</f>
        <v>0</v>
      </c>
      <c r="B1870" s="2">
        <v>42178.9346990741</v>
      </c>
      <c r="C1870">
        <v>2</v>
      </c>
      <c r="D1870">
        <v>4</v>
      </c>
      <c r="E1870" t="s">
        <v>1862</v>
      </c>
    </row>
    <row r="1871" spans="1:5">
      <c r="A1871">
        <f>HYPERLINK("http://www.twitter.com/nycoem/status/613439027484749824", "613439027484749824")</f>
        <v>0</v>
      </c>
      <c r="B1871" s="2">
        <v>42178.8406828704</v>
      </c>
      <c r="C1871">
        <v>3</v>
      </c>
      <c r="D1871">
        <v>6</v>
      </c>
      <c r="E1871" t="s">
        <v>1863</v>
      </c>
    </row>
    <row r="1872" spans="1:5">
      <c r="A1872">
        <f>HYPERLINK("http://www.twitter.com/nycoem/status/613408790042513408", "613408790042513408")</f>
        <v>0</v>
      </c>
      <c r="B1872" s="2">
        <v>42178.7572453704</v>
      </c>
      <c r="C1872">
        <v>2</v>
      </c>
      <c r="D1872">
        <v>6</v>
      </c>
      <c r="E1872" t="s">
        <v>1864</v>
      </c>
    </row>
    <row r="1873" spans="1:5">
      <c r="A1873">
        <f>HYPERLINK("http://www.twitter.com/nycoem/status/613358016503656448", "613358016503656448")</f>
        <v>0</v>
      </c>
      <c r="B1873" s="2">
        <v>42178.6171412037</v>
      </c>
      <c r="C1873">
        <v>11</v>
      </c>
      <c r="D1873">
        <v>19</v>
      </c>
      <c r="E1873" t="s">
        <v>1865</v>
      </c>
    </row>
    <row r="1874" spans="1:5">
      <c r="A1874">
        <f>HYPERLINK("http://www.twitter.com/nycoem/status/613309308797853696", "613309308797853696")</f>
        <v>0</v>
      </c>
      <c r="B1874" s="2">
        <v>42178.4827314815</v>
      </c>
      <c r="C1874">
        <v>0</v>
      </c>
      <c r="D1874">
        <v>12</v>
      </c>
      <c r="E1874" t="s">
        <v>1866</v>
      </c>
    </row>
    <row r="1875" spans="1:5">
      <c r="A1875">
        <f>HYPERLINK("http://www.twitter.com/nycoem/status/613106891972022272", "613106891972022272")</f>
        <v>0</v>
      </c>
      <c r="B1875" s="2">
        <v>42177.9241666667</v>
      </c>
      <c r="C1875">
        <v>2</v>
      </c>
      <c r="D1875">
        <v>8</v>
      </c>
      <c r="E1875" t="s">
        <v>1867</v>
      </c>
    </row>
    <row r="1876" spans="1:5">
      <c r="A1876">
        <f>HYPERLINK("http://www.twitter.com/nycoem/status/613056603403763713", "613056603403763713")</f>
        <v>0</v>
      </c>
      <c r="B1876" s="2">
        <v>42177.7853935185</v>
      </c>
      <c r="C1876">
        <v>3</v>
      </c>
      <c r="D1876">
        <v>5</v>
      </c>
      <c r="E1876" t="s">
        <v>1868</v>
      </c>
    </row>
    <row r="1877" spans="1:5">
      <c r="A1877">
        <f>HYPERLINK("http://www.twitter.com/nycoem/status/613014681733742592", "613014681733742592")</f>
        <v>0</v>
      </c>
      <c r="B1877" s="2">
        <v>42177.6697222222</v>
      </c>
      <c r="C1877">
        <v>1</v>
      </c>
      <c r="D1877">
        <v>0</v>
      </c>
      <c r="E1877" t="s">
        <v>1869</v>
      </c>
    </row>
    <row r="1878" spans="1:5">
      <c r="A1878">
        <f>HYPERLINK("http://www.twitter.com/nycoem/status/612326017802309632", "612326017802309632")</f>
        <v>0</v>
      </c>
      <c r="B1878" s="2">
        <v>42175.7693634259</v>
      </c>
      <c r="C1878">
        <v>2</v>
      </c>
      <c r="D1878">
        <v>4</v>
      </c>
      <c r="E1878" t="s">
        <v>1870</v>
      </c>
    </row>
    <row r="1879" spans="1:5">
      <c r="A1879">
        <f>HYPERLINK("http://www.twitter.com/nycoem/status/611974510464659456", "611974510464659456")</f>
        <v>0</v>
      </c>
      <c r="B1879" s="2">
        <v>42174.7993865741</v>
      </c>
      <c r="C1879">
        <v>1</v>
      </c>
      <c r="D1879">
        <v>3</v>
      </c>
      <c r="E1879" t="s">
        <v>1871</v>
      </c>
    </row>
    <row r="1880" spans="1:5">
      <c r="A1880">
        <f>HYPERLINK("http://www.twitter.com/nycoem/status/611948924795002880", "611948924795002880")</f>
        <v>0</v>
      </c>
      <c r="B1880" s="2">
        <v>42174.7287847222</v>
      </c>
      <c r="C1880">
        <v>4</v>
      </c>
      <c r="D1880">
        <v>0</v>
      </c>
      <c r="E1880" t="s">
        <v>1872</v>
      </c>
    </row>
    <row r="1881" spans="1:5">
      <c r="A1881">
        <f>HYPERLINK("http://www.twitter.com/nycoem/status/611925304479744000", "611925304479744000")</f>
        <v>0</v>
      </c>
      <c r="B1881" s="2">
        <v>42174.6636111111</v>
      </c>
      <c r="C1881">
        <v>0</v>
      </c>
      <c r="D1881">
        <v>5</v>
      </c>
      <c r="E1881" t="s">
        <v>1873</v>
      </c>
    </row>
    <row r="1882" spans="1:5">
      <c r="A1882">
        <f>HYPERLINK("http://www.twitter.com/nycoem/status/611610857592750082", "611610857592750082")</f>
        <v>0</v>
      </c>
      <c r="B1882" s="2">
        <v>42173.7959027778</v>
      </c>
      <c r="C1882">
        <v>4</v>
      </c>
      <c r="D1882">
        <v>4</v>
      </c>
      <c r="E1882" t="s">
        <v>1874</v>
      </c>
    </row>
    <row r="1883" spans="1:5">
      <c r="A1883">
        <f>HYPERLINK("http://www.twitter.com/nycoem/status/611567836398493698", "611567836398493698")</f>
        <v>0</v>
      </c>
      <c r="B1883" s="2">
        <v>42173.6771875</v>
      </c>
      <c r="C1883">
        <v>2</v>
      </c>
      <c r="D1883">
        <v>5</v>
      </c>
      <c r="E1883" t="s">
        <v>1875</v>
      </c>
    </row>
    <row r="1884" spans="1:5">
      <c r="A1884">
        <f>HYPERLINK("http://www.twitter.com/nycoem/status/611293629957734402", "611293629957734402")</f>
        <v>0</v>
      </c>
      <c r="B1884" s="2">
        <v>42172.9205208333</v>
      </c>
      <c r="C1884">
        <v>0</v>
      </c>
      <c r="D1884">
        <v>2</v>
      </c>
      <c r="E1884" t="s">
        <v>1876</v>
      </c>
    </row>
    <row r="1885" spans="1:5">
      <c r="A1885">
        <f>HYPERLINK("http://www.twitter.com/nycoem/status/611251004873555973", "611251004873555973")</f>
        <v>0</v>
      </c>
      <c r="B1885" s="2">
        <v>42172.8028935185</v>
      </c>
      <c r="C1885">
        <v>1</v>
      </c>
      <c r="D1885">
        <v>1</v>
      </c>
      <c r="E1885" t="s">
        <v>1877</v>
      </c>
    </row>
    <row r="1886" spans="1:5">
      <c r="A1886">
        <f>HYPERLINK("http://www.twitter.com/nycoem/status/611198144051855361", "611198144051855361")</f>
        <v>0</v>
      </c>
      <c r="B1886" s="2">
        <v>42172.657025463</v>
      </c>
      <c r="C1886">
        <v>5</v>
      </c>
      <c r="D1886">
        <v>6</v>
      </c>
      <c r="E1886" t="s">
        <v>1878</v>
      </c>
    </row>
    <row r="1887" spans="1:5">
      <c r="A1887">
        <f>HYPERLINK("http://www.twitter.com/nycoem/status/611157784504233984", "611157784504233984")</f>
        <v>0</v>
      </c>
      <c r="B1887" s="2">
        <v>42172.5456597222</v>
      </c>
      <c r="C1887">
        <v>0</v>
      </c>
      <c r="D1887">
        <v>0</v>
      </c>
      <c r="E1887" t="s">
        <v>1879</v>
      </c>
    </row>
    <row r="1888" spans="1:5">
      <c r="A1888">
        <f>HYPERLINK("http://www.twitter.com/nycoem/status/611154010565922816", "611154010565922816")</f>
        <v>0</v>
      </c>
      <c r="B1888" s="2">
        <v>42172.5352430556</v>
      </c>
      <c r="C1888">
        <v>3</v>
      </c>
      <c r="D1888">
        <v>11</v>
      </c>
      <c r="E1888" t="s">
        <v>1880</v>
      </c>
    </row>
    <row r="1889" spans="1:5">
      <c r="A1889">
        <f>HYPERLINK("http://www.twitter.com/nycoem/status/610916740533514240", "610916740533514240")</f>
        <v>0</v>
      </c>
      <c r="B1889" s="2">
        <v>42171.8804976852</v>
      </c>
      <c r="C1889">
        <v>0</v>
      </c>
      <c r="D1889">
        <v>10</v>
      </c>
      <c r="E1889" t="s">
        <v>1881</v>
      </c>
    </row>
    <row r="1890" spans="1:5">
      <c r="A1890">
        <f>HYPERLINK("http://www.twitter.com/nycoem/status/610868521191493632", "610868521191493632")</f>
        <v>0</v>
      </c>
      <c r="B1890" s="2">
        <v>42171.7474421296</v>
      </c>
      <c r="C1890">
        <v>0</v>
      </c>
      <c r="D1890">
        <v>2</v>
      </c>
      <c r="E1890" t="s">
        <v>1882</v>
      </c>
    </row>
    <row r="1891" spans="1:5">
      <c r="A1891">
        <f>HYPERLINK("http://www.twitter.com/nycoem/status/610837046974902272", "610837046974902272")</f>
        <v>0</v>
      </c>
      <c r="B1891" s="2">
        <v>42171.6605902778</v>
      </c>
      <c r="C1891">
        <v>0</v>
      </c>
      <c r="D1891">
        <v>1</v>
      </c>
      <c r="E1891" t="s">
        <v>1883</v>
      </c>
    </row>
    <row r="1892" spans="1:5">
      <c r="A1892">
        <f>HYPERLINK("http://www.twitter.com/nycoem/status/610567888689328128", "610567888689328128")</f>
        <v>0</v>
      </c>
      <c r="B1892" s="2">
        <v>42170.9178587963</v>
      </c>
      <c r="C1892">
        <v>1</v>
      </c>
      <c r="D1892">
        <v>5</v>
      </c>
      <c r="E1892" t="s">
        <v>1884</v>
      </c>
    </row>
    <row r="1893" spans="1:5">
      <c r="A1893">
        <f>HYPERLINK("http://www.twitter.com/nycoem/status/610519848834220034", "610519848834220034")</f>
        <v>0</v>
      </c>
      <c r="B1893" s="2">
        <v>42170.7852893519</v>
      </c>
      <c r="C1893">
        <v>0</v>
      </c>
      <c r="D1893">
        <v>5</v>
      </c>
      <c r="E1893" t="s">
        <v>1885</v>
      </c>
    </row>
    <row r="1894" spans="1:5">
      <c r="A1894">
        <f>HYPERLINK("http://www.twitter.com/nycoem/status/610487193459630082", "610487193459630082")</f>
        <v>0</v>
      </c>
      <c r="B1894" s="2">
        <v>42170.6951736111</v>
      </c>
      <c r="C1894">
        <v>2</v>
      </c>
      <c r="D1894">
        <v>0</v>
      </c>
      <c r="E1894" t="s">
        <v>1886</v>
      </c>
    </row>
    <row r="1895" spans="1:5">
      <c r="A1895">
        <f>HYPERLINK("http://www.twitter.com/nycoem/status/610436655737098240", "610436655737098240")</f>
        <v>0</v>
      </c>
      <c r="B1895" s="2">
        <v>42170.5557175926</v>
      </c>
      <c r="C1895">
        <v>0</v>
      </c>
      <c r="D1895">
        <v>0</v>
      </c>
      <c r="E1895" t="s">
        <v>1887</v>
      </c>
    </row>
    <row r="1896" spans="1:5">
      <c r="A1896">
        <f>HYPERLINK("http://www.twitter.com/nycoem/status/609813423443083264", "609813423443083264")</f>
        <v>0</v>
      </c>
      <c r="B1896" s="2">
        <v>42168.8359259259</v>
      </c>
      <c r="C1896">
        <v>5</v>
      </c>
      <c r="D1896">
        <v>5</v>
      </c>
      <c r="E1896" t="s">
        <v>1888</v>
      </c>
    </row>
    <row r="1897" spans="1:5">
      <c r="A1897">
        <f>HYPERLINK("http://www.twitter.com/nycoem/status/609798854318403585", "609798854318403585")</f>
        <v>0</v>
      </c>
      <c r="B1897" s="2">
        <v>42168.7957291667</v>
      </c>
      <c r="C1897">
        <v>2</v>
      </c>
      <c r="D1897">
        <v>2</v>
      </c>
      <c r="E1897" t="s">
        <v>1889</v>
      </c>
    </row>
    <row r="1898" spans="1:5">
      <c r="A1898">
        <f>HYPERLINK("http://www.twitter.com/nycoem/status/609477929572114432", "609477929572114432")</f>
        <v>0</v>
      </c>
      <c r="B1898" s="2">
        <v>42167.9101388889</v>
      </c>
      <c r="C1898">
        <v>0</v>
      </c>
      <c r="D1898">
        <v>1</v>
      </c>
      <c r="E1898" t="s">
        <v>1890</v>
      </c>
    </row>
    <row r="1899" spans="1:5">
      <c r="A1899">
        <f>HYPERLINK("http://www.twitter.com/nycoem/status/609388655984156672", "609388655984156672")</f>
        <v>0</v>
      </c>
      <c r="B1899" s="2">
        <v>42167.6637962963</v>
      </c>
      <c r="C1899">
        <v>0</v>
      </c>
      <c r="D1899">
        <v>1</v>
      </c>
      <c r="E1899" t="s">
        <v>1891</v>
      </c>
    </row>
    <row r="1900" spans="1:5">
      <c r="A1900">
        <f>HYPERLINK("http://www.twitter.com/nycoem/status/609371470813372416", "609371470813372416")</f>
        <v>0</v>
      </c>
      <c r="B1900" s="2">
        <v>42167.6163657407</v>
      </c>
      <c r="C1900">
        <v>5</v>
      </c>
      <c r="D1900">
        <v>3</v>
      </c>
      <c r="E1900" t="s">
        <v>1892</v>
      </c>
    </row>
    <row r="1901" spans="1:5">
      <c r="A1901">
        <f>HYPERLINK("http://www.twitter.com/nycoem/status/609350844459417600", "609350844459417600")</f>
        <v>0</v>
      </c>
      <c r="B1901" s="2">
        <v>42167.5594560185</v>
      </c>
      <c r="C1901">
        <v>1</v>
      </c>
      <c r="D1901">
        <v>4</v>
      </c>
      <c r="E1901" t="s">
        <v>1893</v>
      </c>
    </row>
    <row r="1902" spans="1:5">
      <c r="A1902">
        <f>HYPERLINK("http://www.twitter.com/nycoem/status/609023993400688640", "609023993400688640")</f>
        <v>0</v>
      </c>
      <c r="B1902" s="2">
        <v>42166.6575115741</v>
      </c>
      <c r="C1902">
        <v>7</v>
      </c>
      <c r="D1902">
        <v>7</v>
      </c>
      <c r="E1902" t="s">
        <v>1894</v>
      </c>
    </row>
    <row r="1903" spans="1:5">
      <c r="A1903">
        <f>HYPERLINK("http://www.twitter.com/nycoem/status/609017476341325824", "609017476341325824")</f>
        <v>0</v>
      </c>
      <c r="B1903" s="2">
        <v>42166.639537037</v>
      </c>
      <c r="C1903">
        <v>2</v>
      </c>
      <c r="D1903">
        <v>2</v>
      </c>
      <c r="E1903" t="s">
        <v>1895</v>
      </c>
    </row>
    <row r="1904" spans="1:5">
      <c r="A1904">
        <f>HYPERLINK("http://www.twitter.com/nycoem/status/608979669883437056", "608979669883437056")</f>
        <v>0</v>
      </c>
      <c r="B1904" s="2">
        <v>42166.5352083333</v>
      </c>
      <c r="C1904">
        <v>0</v>
      </c>
      <c r="D1904">
        <v>5</v>
      </c>
      <c r="E1904" t="s">
        <v>1896</v>
      </c>
    </row>
    <row r="1905" spans="1:5">
      <c r="A1905">
        <f>HYPERLINK("http://www.twitter.com/nycoem/status/608968125401432064", "608968125401432064")</f>
        <v>0</v>
      </c>
      <c r="B1905" s="2">
        <v>42166.5033449074</v>
      </c>
      <c r="C1905">
        <v>0</v>
      </c>
      <c r="D1905">
        <v>5</v>
      </c>
      <c r="E1905" t="s">
        <v>1897</v>
      </c>
    </row>
    <row r="1906" spans="1:5">
      <c r="A1906">
        <f>HYPERLINK("http://www.twitter.com/nycoem/status/608950581525360640", "608950581525360640")</f>
        <v>0</v>
      </c>
      <c r="B1906" s="2">
        <v>42166.4549421296</v>
      </c>
      <c r="C1906">
        <v>1</v>
      </c>
      <c r="D1906">
        <v>6</v>
      </c>
      <c r="E1906" t="s">
        <v>1898</v>
      </c>
    </row>
    <row r="1907" spans="1:5">
      <c r="A1907">
        <f>HYPERLINK("http://www.twitter.com/nycoem/status/608663845738041344", "608663845738041344")</f>
        <v>0</v>
      </c>
      <c r="B1907" s="2">
        <v>42165.6636921296</v>
      </c>
      <c r="C1907">
        <v>3</v>
      </c>
      <c r="D1907">
        <v>6</v>
      </c>
      <c r="E1907" t="s">
        <v>1899</v>
      </c>
    </row>
    <row r="1908" spans="1:5">
      <c r="A1908">
        <f>HYPERLINK("http://www.twitter.com/nycoem/status/608647485456805888", "608647485456805888")</f>
        <v>0</v>
      </c>
      <c r="B1908" s="2">
        <v>42165.6185532407</v>
      </c>
      <c r="C1908">
        <v>1</v>
      </c>
      <c r="D1908">
        <v>6</v>
      </c>
      <c r="E1908" t="s">
        <v>1900</v>
      </c>
    </row>
    <row r="1909" spans="1:5">
      <c r="A1909">
        <f>HYPERLINK("http://www.twitter.com/nycoem/status/608363037330927617", "608363037330927617")</f>
        <v>0</v>
      </c>
      <c r="B1909" s="2">
        <v>42164.8336226852</v>
      </c>
      <c r="C1909">
        <v>0</v>
      </c>
      <c r="D1909">
        <v>5</v>
      </c>
      <c r="E1909" t="s">
        <v>1901</v>
      </c>
    </row>
    <row r="1910" spans="1:5">
      <c r="A1910">
        <f>HYPERLINK("http://www.twitter.com/nycoem/status/608305323351396356", "608305323351396356")</f>
        <v>0</v>
      </c>
      <c r="B1910" s="2">
        <v>42164.6743634259</v>
      </c>
      <c r="C1910">
        <v>0</v>
      </c>
      <c r="D1910">
        <v>4</v>
      </c>
      <c r="E1910" t="s">
        <v>1902</v>
      </c>
    </row>
    <row r="1911" spans="1:5">
      <c r="A1911">
        <f>HYPERLINK("http://www.twitter.com/nycoem/status/608294902129131520", "608294902129131520")</f>
        <v>0</v>
      </c>
      <c r="B1911" s="2">
        <v>42164.6456018519</v>
      </c>
      <c r="C1911">
        <v>0</v>
      </c>
      <c r="D1911">
        <v>7</v>
      </c>
      <c r="E1911" t="s">
        <v>1903</v>
      </c>
    </row>
    <row r="1912" spans="1:5">
      <c r="A1912">
        <f>HYPERLINK("http://www.twitter.com/nycoem/status/607948802184650752", "607948802184650752")</f>
        <v>0</v>
      </c>
      <c r="B1912" s="2">
        <v>42163.6905555556</v>
      </c>
      <c r="C1912">
        <v>0</v>
      </c>
      <c r="D1912">
        <v>3</v>
      </c>
      <c r="E1912" t="s">
        <v>1904</v>
      </c>
    </row>
    <row r="1913" spans="1:5">
      <c r="A1913">
        <f>HYPERLINK("http://www.twitter.com/nycoem/status/607940940377038848", "607940940377038848")</f>
        <v>0</v>
      </c>
      <c r="B1913" s="2">
        <v>42163.6688541667</v>
      </c>
      <c r="C1913">
        <v>1</v>
      </c>
      <c r="D1913">
        <v>4</v>
      </c>
      <c r="E1913" t="s">
        <v>1905</v>
      </c>
    </row>
    <row r="1914" spans="1:5">
      <c r="A1914">
        <f>HYPERLINK("http://www.twitter.com/nycoem/status/607909349806219264", "607909349806219264")</f>
        <v>0</v>
      </c>
      <c r="B1914" s="2">
        <v>42163.5816898148</v>
      </c>
      <c r="C1914">
        <v>0</v>
      </c>
      <c r="D1914">
        <v>1</v>
      </c>
      <c r="E1914" t="s">
        <v>1906</v>
      </c>
    </row>
    <row r="1915" spans="1:5">
      <c r="A1915">
        <f>HYPERLINK("http://www.twitter.com/nycoem/status/607902032226328576", "607902032226328576")</f>
        <v>0</v>
      </c>
      <c r="B1915" s="2">
        <v>42163.5614930556</v>
      </c>
      <c r="C1915">
        <v>2</v>
      </c>
      <c r="D1915">
        <v>7</v>
      </c>
      <c r="E1915" t="s">
        <v>1907</v>
      </c>
    </row>
    <row r="1916" spans="1:5">
      <c r="A1916">
        <f>HYPERLINK("http://www.twitter.com/nycoem/status/607896523075121152", "607896523075121152")</f>
        <v>0</v>
      </c>
      <c r="B1916" s="2">
        <v>42163.5462847222</v>
      </c>
      <c r="C1916">
        <v>1</v>
      </c>
      <c r="D1916">
        <v>0</v>
      </c>
      <c r="E1916" t="s">
        <v>1908</v>
      </c>
    </row>
    <row r="1917" spans="1:5">
      <c r="A1917">
        <f>HYPERLINK("http://www.twitter.com/nycoem/status/607866607659024384", "607866607659024384")</f>
        <v>0</v>
      </c>
      <c r="B1917" s="2">
        <v>42163.4637384259</v>
      </c>
      <c r="C1917">
        <v>0</v>
      </c>
      <c r="D1917">
        <v>8</v>
      </c>
      <c r="E1917" t="s">
        <v>1909</v>
      </c>
    </row>
    <row r="1918" spans="1:5">
      <c r="A1918">
        <f>HYPERLINK("http://www.twitter.com/nycoem/status/606912610219532288", "606912610219532288")</f>
        <v>0</v>
      </c>
      <c r="B1918" s="2">
        <v>42160.8312037037</v>
      </c>
      <c r="C1918">
        <v>0</v>
      </c>
      <c r="D1918">
        <v>41</v>
      </c>
      <c r="E1918" t="s">
        <v>1910</v>
      </c>
    </row>
    <row r="1919" spans="1:5">
      <c r="A1919">
        <f>HYPERLINK("http://www.twitter.com/nycoem/status/606854422421979137", "606854422421979137")</f>
        <v>0</v>
      </c>
      <c r="B1919" s="2">
        <v>42160.6706365741</v>
      </c>
      <c r="C1919">
        <v>1</v>
      </c>
      <c r="D1919">
        <v>1</v>
      </c>
      <c r="E1919" t="s">
        <v>1911</v>
      </c>
    </row>
    <row r="1920" spans="1:5">
      <c r="A1920">
        <f>HYPERLINK("http://www.twitter.com/nycoem/status/606812314218700800", "606812314218700800")</f>
        <v>0</v>
      </c>
      <c r="B1920" s="2">
        <v>42160.5544444444</v>
      </c>
      <c r="C1920">
        <v>4</v>
      </c>
      <c r="D1920">
        <v>6</v>
      </c>
      <c r="E1920" t="s">
        <v>1912</v>
      </c>
    </row>
    <row r="1921" spans="1:5">
      <c r="A1921">
        <f>HYPERLINK("http://www.twitter.com/nycoem/status/606810895990276096", "606810895990276096")</f>
        <v>0</v>
      </c>
      <c r="B1921" s="2">
        <v>42160.5505324074</v>
      </c>
      <c r="C1921">
        <v>0</v>
      </c>
      <c r="D1921">
        <v>20</v>
      </c>
      <c r="E1921" t="s">
        <v>1913</v>
      </c>
    </row>
    <row r="1922" spans="1:5">
      <c r="A1922">
        <f>HYPERLINK("http://www.twitter.com/nycoem/status/606553405121654784", "606553405121654784")</f>
        <v>0</v>
      </c>
      <c r="B1922" s="2">
        <v>42159.8399884259</v>
      </c>
      <c r="C1922">
        <v>0</v>
      </c>
      <c r="D1922">
        <v>0</v>
      </c>
      <c r="E1922" t="s">
        <v>1914</v>
      </c>
    </row>
    <row r="1923" spans="1:5">
      <c r="A1923">
        <f>HYPERLINK("http://www.twitter.com/nycoem/status/606535379022397440", "606535379022397440")</f>
        <v>0</v>
      </c>
      <c r="B1923" s="2">
        <v>42159.7902430556</v>
      </c>
      <c r="C1923">
        <v>1</v>
      </c>
      <c r="D1923">
        <v>0</v>
      </c>
      <c r="E1923" t="s">
        <v>1915</v>
      </c>
    </row>
    <row r="1924" spans="1:5">
      <c r="A1924">
        <f>HYPERLINK("http://www.twitter.com/nycoem/status/606535242468466689", "606535242468466689")</f>
        <v>0</v>
      </c>
      <c r="B1924" s="2">
        <v>42159.7898726852</v>
      </c>
      <c r="C1924">
        <v>0</v>
      </c>
      <c r="D1924">
        <v>0</v>
      </c>
      <c r="E1924" t="s">
        <v>1916</v>
      </c>
    </row>
    <row r="1925" spans="1:5">
      <c r="A1925">
        <f>HYPERLINK("http://www.twitter.com/nycoem/status/606533555393589248", "606533555393589248")</f>
        <v>0</v>
      </c>
      <c r="B1925" s="2">
        <v>42159.7852199074</v>
      </c>
      <c r="C1925">
        <v>1</v>
      </c>
      <c r="D1925">
        <v>4</v>
      </c>
      <c r="E1925" t="s">
        <v>1917</v>
      </c>
    </row>
    <row r="1926" spans="1:5">
      <c r="A1926">
        <f>HYPERLINK("http://www.twitter.com/nycoem/status/606500502206091264", "606500502206091264")</f>
        <v>0</v>
      </c>
      <c r="B1926" s="2">
        <v>42159.6940046296</v>
      </c>
      <c r="C1926">
        <v>3</v>
      </c>
      <c r="D1926">
        <v>0</v>
      </c>
      <c r="E1926" t="s">
        <v>1918</v>
      </c>
    </row>
    <row r="1927" spans="1:5">
      <c r="A1927">
        <f>HYPERLINK("http://www.twitter.com/nycoem/status/606500034776080384", "606500034776080384")</f>
        <v>0</v>
      </c>
      <c r="B1927" s="2">
        <v>42159.6927199074</v>
      </c>
      <c r="C1927">
        <v>2</v>
      </c>
      <c r="D1927">
        <v>1</v>
      </c>
      <c r="E1927" t="s">
        <v>1919</v>
      </c>
    </row>
    <row r="1928" spans="1:5">
      <c r="A1928">
        <f>HYPERLINK("http://www.twitter.com/nycoem/status/606488279693856768", "606488279693856768")</f>
        <v>0</v>
      </c>
      <c r="B1928" s="2">
        <v>42159.6602777778</v>
      </c>
      <c r="C1928">
        <v>1</v>
      </c>
      <c r="D1928">
        <v>3</v>
      </c>
      <c r="E1928" t="s">
        <v>1920</v>
      </c>
    </row>
    <row r="1929" spans="1:5">
      <c r="A1929">
        <f>HYPERLINK("http://www.twitter.com/nycoem/status/606176266732109825", "606176266732109825")</f>
        <v>0</v>
      </c>
      <c r="B1929" s="2">
        <v>42158.7992824074</v>
      </c>
      <c r="C1929">
        <v>7</v>
      </c>
      <c r="D1929">
        <v>14</v>
      </c>
      <c r="E1929" t="s">
        <v>1921</v>
      </c>
    </row>
    <row r="1930" spans="1:5">
      <c r="A1930">
        <f>HYPERLINK("http://www.twitter.com/nycoem/status/606127111171129345", "606127111171129345")</f>
        <v>0</v>
      </c>
      <c r="B1930" s="2">
        <v>42158.6636458333</v>
      </c>
      <c r="C1930">
        <v>2</v>
      </c>
      <c r="D1930">
        <v>14</v>
      </c>
      <c r="E1930" t="s">
        <v>1922</v>
      </c>
    </row>
    <row r="1931" spans="1:5">
      <c r="A1931">
        <f>HYPERLINK("http://www.twitter.com/nycoem/status/605854048311328770", "605854048311328770")</f>
        <v>0</v>
      </c>
      <c r="B1931" s="2">
        <v>42157.9101273148</v>
      </c>
      <c r="C1931">
        <v>1</v>
      </c>
      <c r="D1931">
        <v>6</v>
      </c>
      <c r="E1931" t="s">
        <v>1923</v>
      </c>
    </row>
    <row r="1932" spans="1:5">
      <c r="A1932">
        <f>HYPERLINK("http://www.twitter.com/nycoem/status/605815141746089985", "605815141746089985")</f>
        <v>0</v>
      </c>
      <c r="B1932" s="2">
        <v>42157.8027662037</v>
      </c>
      <c r="C1932">
        <v>0</v>
      </c>
      <c r="D1932">
        <v>4</v>
      </c>
      <c r="E1932" t="s">
        <v>1924</v>
      </c>
    </row>
    <row r="1933" spans="1:5">
      <c r="A1933">
        <f>HYPERLINK("http://www.twitter.com/nycoem/status/605765772451835904", "605765772451835904")</f>
        <v>0</v>
      </c>
      <c r="B1933" s="2">
        <v>42157.6665393518</v>
      </c>
      <c r="C1933">
        <v>0</v>
      </c>
      <c r="D1933">
        <v>2</v>
      </c>
      <c r="E1933" t="s">
        <v>1925</v>
      </c>
    </row>
    <row r="1934" spans="1:5">
      <c r="A1934">
        <f>HYPERLINK("http://www.twitter.com/nycoem/status/605462526759944194", "605462526759944194")</f>
        <v>0</v>
      </c>
      <c r="B1934" s="2">
        <v>42156.8297337963</v>
      </c>
      <c r="C1934">
        <v>0</v>
      </c>
      <c r="D1934">
        <v>3</v>
      </c>
      <c r="E1934" t="s">
        <v>1926</v>
      </c>
    </row>
    <row r="1935" spans="1:5">
      <c r="A1935">
        <f>HYPERLINK("http://www.twitter.com/nycoem/status/605402337532870656", "605402337532870656")</f>
        <v>0</v>
      </c>
      <c r="B1935" s="2">
        <v>42156.6636458333</v>
      </c>
      <c r="C1935">
        <v>2</v>
      </c>
      <c r="D1935">
        <v>3</v>
      </c>
      <c r="E1935" t="s">
        <v>1927</v>
      </c>
    </row>
    <row r="1936" spans="1:5">
      <c r="A1936">
        <f>HYPERLINK("http://www.twitter.com/nycoem/status/605387494520201218", "605387494520201218")</f>
        <v>0</v>
      </c>
      <c r="B1936" s="2">
        <v>42156.6226851852</v>
      </c>
      <c r="C1936">
        <v>0</v>
      </c>
      <c r="D1936">
        <v>664</v>
      </c>
      <c r="E1936" t="s">
        <v>1928</v>
      </c>
    </row>
    <row r="1937" spans="1:5">
      <c r="A1937">
        <f>HYPERLINK("http://www.twitter.com/nycoem/status/605126903054397440", "605126903054397440")</f>
        <v>0</v>
      </c>
      <c r="B1937" s="2">
        <v>42155.903599537</v>
      </c>
      <c r="C1937">
        <v>1</v>
      </c>
      <c r="D1937">
        <v>12</v>
      </c>
      <c r="E1937" t="s">
        <v>1929</v>
      </c>
    </row>
    <row r="1938" spans="1:5">
      <c r="A1938">
        <f>HYPERLINK("http://www.twitter.com/nycoem/status/605124762545876993", "605124762545876993")</f>
        <v>0</v>
      </c>
      <c r="B1938" s="2">
        <v>42155.8976851852</v>
      </c>
      <c r="C1938">
        <v>1</v>
      </c>
      <c r="D1938">
        <v>6</v>
      </c>
      <c r="E1938" t="s">
        <v>1930</v>
      </c>
    </row>
    <row r="1939" spans="1:5">
      <c r="A1939">
        <f>HYPERLINK("http://www.twitter.com/nycoem/status/605111134430076928", "605111134430076928")</f>
        <v>0</v>
      </c>
      <c r="B1939" s="2">
        <v>42155.8600810185</v>
      </c>
      <c r="C1939">
        <v>3</v>
      </c>
      <c r="D1939">
        <v>8</v>
      </c>
      <c r="E1939" t="s">
        <v>1931</v>
      </c>
    </row>
    <row r="1940" spans="1:5">
      <c r="A1940">
        <f>HYPERLINK("http://www.twitter.com/nycoem/status/605109963585896448", "605109963585896448")</f>
        <v>0</v>
      </c>
      <c r="B1940" s="2">
        <v>42155.8568518519</v>
      </c>
      <c r="C1940">
        <v>33</v>
      </c>
      <c r="D1940">
        <v>46</v>
      </c>
      <c r="E1940" t="s">
        <v>1932</v>
      </c>
    </row>
    <row r="1941" spans="1:5">
      <c r="A1941">
        <f>HYPERLINK("http://www.twitter.com/nycoem/status/604364335591374849", "604364335591374849")</f>
        <v>0</v>
      </c>
      <c r="B1941" s="2">
        <v>42153.7993055556</v>
      </c>
      <c r="C1941">
        <v>0</v>
      </c>
      <c r="D1941">
        <v>3</v>
      </c>
      <c r="E1941" t="s">
        <v>1933</v>
      </c>
    </row>
    <row r="1942" spans="1:5">
      <c r="A1942">
        <f>HYPERLINK("http://www.twitter.com/nycoem/status/604312696801136640", "604312696801136640")</f>
        <v>0</v>
      </c>
      <c r="B1942" s="2">
        <v>42153.6568171296</v>
      </c>
      <c r="C1942">
        <v>2</v>
      </c>
      <c r="D1942">
        <v>4</v>
      </c>
      <c r="E1942" t="s">
        <v>1934</v>
      </c>
    </row>
    <row r="1943" spans="1:5">
      <c r="A1943">
        <f>HYPERLINK("http://www.twitter.com/nycoem/status/604291756344135680", "604291756344135680")</f>
        <v>0</v>
      </c>
      <c r="B1943" s="2">
        <v>42153.5990277778</v>
      </c>
      <c r="C1943">
        <v>2</v>
      </c>
      <c r="D1943">
        <v>8</v>
      </c>
      <c r="E1943" t="s">
        <v>1935</v>
      </c>
    </row>
    <row r="1944" spans="1:5">
      <c r="A1944">
        <f>HYPERLINK("http://www.twitter.com/nycoem/status/604291462616981504", "604291462616981504")</f>
        <v>0</v>
      </c>
      <c r="B1944" s="2">
        <v>42153.5982175926</v>
      </c>
      <c r="C1944">
        <v>0</v>
      </c>
      <c r="D1944">
        <v>68</v>
      </c>
      <c r="E1944" t="s">
        <v>1936</v>
      </c>
    </row>
    <row r="1945" spans="1:5">
      <c r="A1945">
        <f>HYPERLINK("http://www.twitter.com/nycoem/status/604046987089043457", "604046987089043457")</f>
        <v>0</v>
      </c>
      <c r="B1945" s="2">
        <v>42152.923599537</v>
      </c>
      <c r="C1945">
        <v>0</v>
      </c>
      <c r="D1945">
        <v>4</v>
      </c>
      <c r="E1945" t="s">
        <v>1937</v>
      </c>
    </row>
    <row r="1946" spans="1:5">
      <c r="A1946">
        <f>HYPERLINK("http://www.twitter.com/nycoem/status/604008692602793984", "604008692602793984")</f>
        <v>0</v>
      </c>
      <c r="B1946" s="2">
        <v>42152.8179166667</v>
      </c>
      <c r="C1946">
        <v>2</v>
      </c>
      <c r="D1946">
        <v>1</v>
      </c>
      <c r="E1946" t="s">
        <v>1938</v>
      </c>
    </row>
    <row r="1947" spans="1:5">
      <c r="A1947">
        <f>HYPERLINK("http://www.twitter.com/nycoem/status/603998054853812226", "603998054853812226")</f>
        <v>0</v>
      </c>
      <c r="B1947" s="2">
        <v>42152.7885648148</v>
      </c>
      <c r="C1947">
        <v>5</v>
      </c>
      <c r="D1947">
        <v>6</v>
      </c>
      <c r="E1947" t="s">
        <v>1939</v>
      </c>
    </row>
    <row r="1948" spans="1:5">
      <c r="A1948">
        <f>HYPERLINK("http://www.twitter.com/nycoem/status/603976966123950080", "603976966123950080")</f>
        <v>0</v>
      </c>
      <c r="B1948" s="2">
        <v>42152.7303703704</v>
      </c>
      <c r="C1948">
        <v>0</v>
      </c>
      <c r="D1948">
        <v>19</v>
      </c>
      <c r="E1948" t="s">
        <v>1940</v>
      </c>
    </row>
    <row r="1949" spans="1:5">
      <c r="A1949">
        <f>HYPERLINK("http://www.twitter.com/nycoem/status/603952683737833472", "603952683737833472")</f>
        <v>0</v>
      </c>
      <c r="B1949" s="2">
        <v>42152.6633680556</v>
      </c>
      <c r="C1949">
        <v>0</v>
      </c>
      <c r="D1949">
        <v>1</v>
      </c>
      <c r="E1949" t="s">
        <v>1941</v>
      </c>
    </row>
    <row r="1950" spans="1:5">
      <c r="A1950">
        <f>HYPERLINK("http://www.twitter.com/nycoem/status/603916128121937920", "603916128121937920")</f>
        <v>0</v>
      </c>
      <c r="B1950" s="2">
        <v>42152.5624884259</v>
      </c>
      <c r="C1950">
        <v>2</v>
      </c>
      <c r="D1950">
        <v>8</v>
      </c>
      <c r="E1950" t="s">
        <v>1942</v>
      </c>
    </row>
    <row r="1951" spans="1:5">
      <c r="A1951">
        <f>HYPERLINK("http://www.twitter.com/nycoem/status/603703203373416448", "603703203373416448")</f>
        <v>0</v>
      </c>
      <c r="B1951" s="2">
        <v>42151.9749305556</v>
      </c>
      <c r="C1951">
        <v>2</v>
      </c>
      <c r="D1951">
        <v>6</v>
      </c>
      <c r="E1951" t="s">
        <v>1943</v>
      </c>
    </row>
    <row r="1952" spans="1:5">
      <c r="A1952">
        <f>HYPERLINK("http://www.twitter.com/nycoem/status/603650743485276160", "603650743485276160")</f>
        <v>0</v>
      </c>
      <c r="B1952" s="2">
        <v>42151.8301736111</v>
      </c>
      <c r="C1952">
        <v>0</v>
      </c>
      <c r="D1952">
        <v>2</v>
      </c>
      <c r="E1952" t="s">
        <v>1944</v>
      </c>
    </row>
    <row r="1953" spans="1:5">
      <c r="A1953">
        <f>HYPERLINK("http://www.twitter.com/nycoem/status/603649707206942721", "603649707206942721")</f>
        <v>0</v>
      </c>
      <c r="B1953" s="2">
        <v>42151.8273148148</v>
      </c>
      <c r="C1953">
        <v>4</v>
      </c>
      <c r="D1953">
        <v>4</v>
      </c>
      <c r="E1953" t="s">
        <v>1945</v>
      </c>
    </row>
    <row r="1954" spans="1:5">
      <c r="A1954">
        <f>HYPERLINK("http://www.twitter.com/nycoem/status/603648549746810880", "603648549746810880")</f>
        <v>0</v>
      </c>
      <c r="B1954" s="2">
        <v>42151.8241203704</v>
      </c>
      <c r="C1954">
        <v>0</v>
      </c>
      <c r="D1954">
        <v>1</v>
      </c>
      <c r="E1954" t="s">
        <v>1946</v>
      </c>
    </row>
    <row r="1955" spans="1:5">
      <c r="A1955">
        <f>HYPERLINK("http://www.twitter.com/nycoem/status/603648012125077504", "603648012125077504")</f>
        <v>0</v>
      </c>
      <c r="B1955" s="2">
        <v>42151.8226273148</v>
      </c>
      <c r="C1955">
        <v>0</v>
      </c>
      <c r="D1955">
        <v>5</v>
      </c>
      <c r="E1955" t="s">
        <v>1947</v>
      </c>
    </row>
    <row r="1956" spans="1:5">
      <c r="A1956">
        <f>HYPERLINK("http://www.twitter.com/nycoem/status/603647383134720000", "603647383134720000")</f>
        <v>0</v>
      </c>
      <c r="B1956" s="2">
        <v>42151.8209027778</v>
      </c>
      <c r="C1956">
        <v>0</v>
      </c>
      <c r="D1956">
        <v>1</v>
      </c>
      <c r="E1956" t="s">
        <v>1948</v>
      </c>
    </row>
    <row r="1957" spans="1:5">
      <c r="A1957">
        <f>HYPERLINK("http://www.twitter.com/nycoem/status/603646825204166656", "603646825204166656")</f>
        <v>0</v>
      </c>
      <c r="B1957" s="2">
        <v>42151.8193634259</v>
      </c>
      <c r="C1957">
        <v>0</v>
      </c>
      <c r="D1957">
        <v>2</v>
      </c>
      <c r="E1957" t="s">
        <v>1949</v>
      </c>
    </row>
    <row r="1958" spans="1:5">
      <c r="A1958">
        <f>HYPERLINK("http://www.twitter.com/nycoem/status/603646594983026688", "603646594983026688")</f>
        <v>0</v>
      </c>
      <c r="B1958" s="2">
        <v>42151.8187268519</v>
      </c>
      <c r="C1958">
        <v>2</v>
      </c>
      <c r="D1958">
        <v>8</v>
      </c>
      <c r="E1958" t="s">
        <v>1950</v>
      </c>
    </row>
    <row r="1959" spans="1:5">
      <c r="A1959">
        <f>HYPERLINK("http://www.twitter.com/nycoem/status/603646304137441283", "603646304137441283")</f>
        <v>0</v>
      </c>
      <c r="B1959" s="2">
        <v>42151.8179166667</v>
      </c>
      <c r="C1959">
        <v>0</v>
      </c>
      <c r="D1959">
        <v>4</v>
      </c>
      <c r="E1959" t="s">
        <v>1951</v>
      </c>
    </row>
    <row r="1960" spans="1:5">
      <c r="A1960">
        <f>HYPERLINK("http://www.twitter.com/nycoem/status/603646062306406400", "603646062306406400")</f>
        <v>0</v>
      </c>
      <c r="B1960" s="2">
        <v>42151.8172569444</v>
      </c>
      <c r="C1960">
        <v>2</v>
      </c>
      <c r="D1960">
        <v>4</v>
      </c>
      <c r="E1960" t="s">
        <v>1952</v>
      </c>
    </row>
    <row r="1961" spans="1:5">
      <c r="A1961">
        <f>HYPERLINK("http://www.twitter.com/nycoem/status/603645667769196544", "603645667769196544")</f>
        <v>0</v>
      </c>
      <c r="B1961" s="2">
        <v>42151.8161689815</v>
      </c>
      <c r="C1961">
        <v>0</v>
      </c>
      <c r="D1961">
        <v>2</v>
      </c>
      <c r="E1961" t="s">
        <v>1953</v>
      </c>
    </row>
    <row r="1962" spans="1:5">
      <c r="A1962">
        <f>HYPERLINK("http://www.twitter.com/nycoem/status/603645215342211073", "603645215342211073")</f>
        <v>0</v>
      </c>
      <c r="B1962" s="2">
        <v>42151.8149189815</v>
      </c>
      <c r="C1962">
        <v>0</v>
      </c>
      <c r="D1962">
        <v>0</v>
      </c>
      <c r="E1962" t="s">
        <v>1954</v>
      </c>
    </row>
    <row r="1963" spans="1:5">
      <c r="A1963">
        <f>HYPERLINK("http://www.twitter.com/nycoem/status/603635056079437824", "603635056079437824")</f>
        <v>0</v>
      </c>
      <c r="B1963" s="2">
        <v>42151.7868865741</v>
      </c>
      <c r="C1963">
        <v>1</v>
      </c>
      <c r="D1963">
        <v>4</v>
      </c>
      <c r="E1963" t="s">
        <v>1955</v>
      </c>
    </row>
    <row r="1964" spans="1:5">
      <c r="A1964">
        <f>HYPERLINK("http://www.twitter.com/nycoem/status/603590415980306433", "603590415980306433")</f>
        <v>0</v>
      </c>
      <c r="B1964" s="2">
        <v>42151.6636921296</v>
      </c>
      <c r="C1964">
        <v>0</v>
      </c>
      <c r="D1964">
        <v>0</v>
      </c>
      <c r="E1964" t="s">
        <v>1956</v>
      </c>
    </row>
    <row r="1965" spans="1:5">
      <c r="A1965">
        <f>HYPERLINK("http://www.twitter.com/nycoem/status/603321118771019776", "603321118771019776")</f>
        <v>0</v>
      </c>
      <c r="B1965" s="2">
        <v>42150.9205787037</v>
      </c>
      <c r="C1965">
        <v>0</v>
      </c>
      <c r="D1965">
        <v>4</v>
      </c>
      <c r="E1965" t="s">
        <v>1957</v>
      </c>
    </row>
    <row r="1966" spans="1:5">
      <c r="A1966">
        <f>HYPERLINK("http://www.twitter.com/nycoem/status/603272093149560832", "603272093149560832")</f>
        <v>0</v>
      </c>
      <c r="B1966" s="2">
        <v>42150.7852893519</v>
      </c>
      <c r="C1966">
        <v>1</v>
      </c>
      <c r="D1966">
        <v>2</v>
      </c>
      <c r="E1966" t="s">
        <v>1958</v>
      </c>
    </row>
    <row r="1967" spans="1:5">
      <c r="A1967">
        <f>HYPERLINK("http://www.twitter.com/nycoem/status/603248234534932481", "603248234534932481")</f>
        <v>0</v>
      </c>
      <c r="B1967" s="2">
        <v>42150.7194560185</v>
      </c>
      <c r="C1967">
        <v>7</v>
      </c>
      <c r="D1967">
        <v>10</v>
      </c>
      <c r="E1967" t="s">
        <v>1959</v>
      </c>
    </row>
    <row r="1968" spans="1:5">
      <c r="A1968">
        <f>HYPERLINK("http://www.twitter.com/nycoem/status/603226775565500418", "603226775565500418")</f>
        <v>0</v>
      </c>
      <c r="B1968" s="2">
        <v>42150.6602430556</v>
      </c>
      <c r="C1968">
        <v>3</v>
      </c>
      <c r="D1968">
        <v>13</v>
      </c>
      <c r="E1968" t="s">
        <v>1960</v>
      </c>
    </row>
    <row r="1969" spans="1:5">
      <c r="A1969">
        <f>HYPERLINK("http://www.twitter.com/nycoem/status/603195018396958720", "603195018396958720")</f>
        <v>0</v>
      </c>
      <c r="B1969" s="2">
        <v>42150.5726041667</v>
      </c>
      <c r="C1969">
        <v>0</v>
      </c>
      <c r="D1969">
        <v>2</v>
      </c>
      <c r="E1969" t="s">
        <v>1961</v>
      </c>
    </row>
    <row r="1970" spans="1:5">
      <c r="A1970">
        <f>HYPERLINK("http://www.twitter.com/nycoem/status/602856835654230016", "602856835654230016")</f>
        <v>0</v>
      </c>
      <c r="B1970" s="2">
        <v>42149.6393981481</v>
      </c>
      <c r="C1970">
        <v>11</v>
      </c>
      <c r="D1970">
        <v>9</v>
      </c>
      <c r="E1970" t="s">
        <v>1962</v>
      </c>
    </row>
    <row r="1971" spans="1:5">
      <c r="A1971">
        <f>HYPERLINK("http://www.twitter.com/nycoem/status/601871599998992385", "601871599998992385")</f>
        <v>0</v>
      </c>
      <c r="B1971" s="2">
        <v>42146.9206712963</v>
      </c>
      <c r="C1971">
        <v>1</v>
      </c>
      <c r="D1971">
        <v>1</v>
      </c>
      <c r="E1971" t="s">
        <v>1963</v>
      </c>
    </row>
    <row r="1972" spans="1:5">
      <c r="A1972">
        <f>HYPERLINK("http://www.twitter.com/nycoem/status/601793549655535618", "601793549655535618")</f>
        <v>0</v>
      </c>
      <c r="B1972" s="2">
        <v>42146.7052893518</v>
      </c>
      <c r="C1972">
        <v>0</v>
      </c>
      <c r="D1972">
        <v>4</v>
      </c>
      <c r="E1972" t="s">
        <v>1964</v>
      </c>
    </row>
    <row r="1973" spans="1:5">
      <c r="A1973">
        <f>HYPERLINK("http://www.twitter.com/nycoem/status/601749012740464641", "601749012740464641")</f>
        <v>0</v>
      </c>
      <c r="B1973" s="2">
        <v>42146.5823958333</v>
      </c>
      <c r="C1973">
        <v>1</v>
      </c>
      <c r="D1973">
        <v>0</v>
      </c>
      <c r="E1973" t="s">
        <v>1965</v>
      </c>
    </row>
    <row r="1974" spans="1:5">
      <c r="A1974">
        <f>HYPERLINK("http://www.twitter.com/nycoem/status/601545634169135104", "601545634169135104")</f>
        <v>0</v>
      </c>
      <c r="B1974" s="2">
        <v>42146.0211805556</v>
      </c>
      <c r="C1974">
        <v>2</v>
      </c>
      <c r="D1974">
        <v>2</v>
      </c>
      <c r="E1974" t="s">
        <v>1966</v>
      </c>
    </row>
    <row r="1975" spans="1:5">
      <c r="A1975">
        <f>HYPERLINK("http://www.twitter.com/nycoem/status/601484271887523841", "601484271887523841")</f>
        <v>0</v>
      </c>
      <c r="B1975" s="2">
        <v>42145.8518518519</v>
      </c>
      <c r="C1975">
        <v>1</v>
      </c>
      <c r="D1975">
        <v>0</v>
      </c>
      <c r="E1975" t="s">
        <v>1967</v>
      </c>
    </row>
    <row r="1976" spans="1:5">
      <c r="A1976">
        <f>HYPERLINK("http://www.twitter.com/nycoem/status/601457892944809984", "601457892944809984")</f>
        <v>0</v>
      </c>
      <c r="B1976" s="2">
        <v>42145.7790509259</v>
      </c>
      <c r="C1976">
        <v>2</v>
      </c>
      <c r="D1976">
        <v>5</v>
      </c>
      <c r="E1976" t="s">
        <v>1968</v>
      </c>
    </row>
    <row r="1977" spans="1:5">
      <c r="A1977">
        <f>HYPERLINK("http://www.twitter.com/nycoem/status/601148066801016832", "601148066801016832")</f>
        <v>0</v>
      </c>
      <c r="B1977" s="2">
        <v>42144.9240972222</v>
      </c>
      <c r="C1977">
        <v>0</v>
      </c>
      <c r="D1977">
        <v>1</v>
      </c>
      <c r="E1977" t="s">
        <v>1969</v>
      </c>
    </row>
    <row r="1978" spans="1:5">
      <c r="A1978">
        <f>HYPERLINK("http://www.twitter.com/nycoem/status/601113718034935810", "601113718034935810")</f>
        <v>0</v>
      </c>
      <c r="B1978" s="2">
        <v>42144.8293171296</v>
      </c>
      <c r="C1978">
        <v>6</v>
      </c>
      <c r="D1978">
        <v>6</v>
      </c>
      <c r="E1978" t="s">
        <v>1970</v>
      </c>
    </row>
    <row r="1979" spans="1:5">
      <c r="A1979">
        <f>HYPERLINK("http://www.twitter.com/nycoem/status/601100844323512320", "601100844323512320")</f>
        <v>0</v>
      </c>
      <c r="B1979" s="2">
        <v>42144.7937847222</v>
      </c>
      <c r="C1979">
        <v>0</v>
      </c>
      <c r="D1979">
        <v>0</v>
      </c>
      <c r="E1979" t="s">
        <v>1971</v>
      </c>
    </row>
    <row r="1980" spans="1:5">
      <c r="A1980">
        <f>HYPERLINK("http://www.twitter.com/nycoem/status/600764516356464641", "600764516356464641")</f>
        <v>0</v>
      </c>
      <c r="B1980" s="2">
        <v>42143.8657060185</v>
      </c>
      <c r="C1980">
        <v>2</v>
      </c>
      <c r="D1980">
        <v>6</v>
      </c>
      <c r="E1980" t="s">
        <v>1972</v>
      </c>
    </row>
    <row r="1981" spans="1:5">
      <c r="A1981">
        <f>HYPERLINK("http://www.twitter.com/nycoem/status/600741663829536768", "600741663829536768")</f>
        <v>0</v>
      </c>
      <c r="B1981" s="2">
        <v>42143.8026388889</v>
      </c>
      <c r="C1981">
        <v>2</v>
      </c>
      <c r="D1981">
        <v>3</v>
      </c>
      <c r="E1981" t="s">
        <v>1973</v>
      </c>
    </row>
    <row r="1982" spans="1:5">
      <c r="A1982">
        <f>HYPERLINK("http://www.twitter.com/nycoem/status/600692985295147008", "600692985295147008")</f>
        <v>0</v>
      </c>
      <c r="B1982" s="2">
        <v>42143.6683101852</v>
      </c>
      <c r="C1982">
        <v>0</v>
      </c>
      <c r="D1982">
        <v>2</v>
      </c>
      <c r="E1982" t="s">
        <v>1974</v>
      </c>
    </row>
    <row r="1983" spans="1:5">
      <c r="A1983">
        <f>HYPERLINK("http://www.twitter.com/nycoem/status/600646119111143424", "600646119111143424")</f>
        <v>0</v>
      </c>
      <c r="B1983" s="2">
        <v>42143.5389814815</v>
      </c>
      <c r="C1983">
        <v>1</v>
      </c>
      <c r="D1983">
        <v>2</v>
      </c>
      <c r="E1983" t="s">
        <v>1975</v>
      </c>
    </row>
    <row r="1984" spans="1:5">
      <c r="A1984">
        <f>HYPERLINK("http://www.twitter.com/nycoem/status/600644743815688192", "600644743815688192")</f>
        <v>0</v>
      </c>
      <c r="B1984" s="2">
        <v>42143.5351967593</v>
      </c>
      <c r="C1984">
        <v>0</v>
      </c>
      <c r="D1984">
        <v>2</v>
      </c>
      <c r="E1984" t="s">
        <v>1976</v>
      </c>
    </row>
    <row r="1985" spans="1:5">
      <c r="A1985">
        <f>HYPERLINK("http://www.twitter.com/nycoem/status/600418232365879297", "600418232365879297")</f>
        <v>0</v>
      </c>
      <c r="B1985" s="2">
        <v>42142.9101388889</v>
      </c>
      <c r="C1985">
        <v>1</v>
      </c>
      <c r="D1985">
        <v>7</v>
      </c>
      <c r="E1985" t="s">
        <v>1977</v>
      </c>
    </row>
    <row r="1986" spans="1:5">
      <c r="A1986">
        <f>HYPERLINK("http://www.twitter.com/nycoem/status/600374166647402496", "600374166647402496")</f>
        <v>0</v>
      </c>
      <c r="B1986" s="2">
        <v>42142.7885416667</v>
      </c>
      <c r="C1986">
        <v>1</v>
      </c>
      <c r="D1986">
        <v>3</v>
      </c>
      <c r="E1986" t="s">
        <v>1978</v>
      </c>
    </row>
    <row r="1987" spans="1:5">
      <c r="A1987">
        <f>HYPERLINK("http://www.twitter.com/nycoem/status/600332733487915008", "600332733487915008")</f>
        <v>0</v>
      </c>
      <c r="B1987" s="2">
        <v>42142.6742013889</v>
      </c>
      <c r="C1987">
        <v>2</v>
      </c>
      <c r="D1987">
        <v>4</v>
      </c>
      <c r="E1987" t="s">
        <v>1979</v>
      </c>
    </row>
    <row r="1988" spans="1:5">
      <c r="A1988">
        <f>HYPERLINK("http://www.twitter.com/nycoem/status/600069033845751808", "600069033845751808")</f>
        <v>0</v>
      </c>
      <c r="B1988" s="2">
        <v>42141.9465393519</v>
      </c>
      <c r="C1988">
        <v>1</v>
      </c>
      <c r="D1988">
        <v>6</v>
      </c>
      <c r="E1988" t="s">
        <v>1980</v>
      </c>
    </row>
    <row r="1989" spans="1:5">
      <c r="A1989">
        <f>HYPERLINK("http://www.twitter.com/nycoem/status/599286972180537345", "599286972180537345")</f>
        <v>0</v>
      </c>
      <c r="B1989" s="2">
        <v>42139.7884606481</v>
      </c>
      <c r="C1989">
        <v>1</v>
      </c>
      <c r="D1989">
        <v>6</v>
      </c>
      <c r="E1989" t="s">
        <v>1981</v>
      </c>
    </row>
    <row r="1990" spans="1:5">
      <c r="A1990">
        <f>HYPERLINK("http://www.twitter.com/nycoem/status/599243300273553408", "599243300273553408")</f>
        <v>0</v>
      </c>
      <c r="B1990" s="2">
        <v>42139.6679398148</v>
      </c>
      <c r="C1990">
        <v>2</v>
      </c>
      <c r="D1990">
        <v>2</v>
      </c>
      <c r="E1990" t="s">
        <v>1982</v>
      </c>
    </row>
    <row r="1991" spans="1:5">
      <c r="A1991">
        <f>HYPERLINK("http://www.twitter.com/nycoem/status/598987926958112768", "598987926958112768")</f>
        <v>0</v>
      </c>
      <c r="B1991" s="2">
        <v>42138.9632523148</v>
      </c>
      <c r="C1991">
        <v>2</v>
      </c>
      <c r="D1991">
        <v>2</v>
      </c>
      <c r="E1991" t="s">
        <v>1983</v>
      </c>
    </row>
    <row r="1992" spans="1:5">
      <c r="A1992">
        <f>HYPERLINK("http://www.twitter.com/nycoem/status/598878230699974656", "598878230699974656")</f>
        <v>0</v>
      </c>
      <c r="B1992" s="2">
        <v>42138.6605439815</v>
      </c>
      <c r="C1992">
        <v>4</v>
      </c>
      <c r="D1992">
        <v>0</v>
      </c>
      <c r="E1992" t="s">
        <v>1984</v>
      </c>
    </row>
    <row r="1993" spans="1:5">
      <c r="A1993">
        <f>HYPERLINK("http://www.twitter.com/nycoem/status/598849079796436992", "598849079796436992")</f>
        <v>0</v>
      </c>
      <c r="B1993" s="2">
        <v>42138.5801041667</v>
      </c>
      <c r="C1993">
        <v>2</v>
      </c>
      <c r="D1993">
        <v>9</v>
      </c>
      <c r="E1993" t="s">
        <v>1985</v>
      </c>
    </row>
    <row r="1994" spans="1:5">
      <c r="A1994">
        <f>HYPERLINK("http://www.twitter.com/nycoem/status/598561002859450368", "598561002859450368")</f>
        <v>0</v>
      </c>
      <c r="B1994" s="2">
        <v>42137.785162037</v>
      </c>
      <c r="C1994">
        <v>2</v>
      </c>
      <c r="D1994">
        <v>7</v>
      </c>
      <c r="E1994" t="s">
        <v>1986</v>
      </c>
    </row>
    <row r="1995" spans="1:5">
      <c r="A1995">
        <f>HYPERLINK("http://www.twitter.com/nycoem/status/598522079575678976", "598522079575678976")</f>
        <v>0</v>
      </c>
      <c r="B1995" s="2">
        <v>42137.6777546296</v>
      </c>
      <c r="C1995">
        <v>0</v>
      </c>
      <c r="D1995">
        <v>0</v>
      </c>
      <c r="E1995" t="s">
        <v>1987</v>
      </c>
    </row>
    <row r="1996" spans="1:5">
      <c r="A1996">
        <f>HYPERLINK("http://www.twitter.com/nycoem/status/598514611000889345", "598514611000889345")</f>
        <v>0</v>
      </c>
      <c r="B1996" s="2">
        <v>42137.6571412037</v>
      </c>
      <c r="C1996">
        <v>0</v>
      </c>
      <c r="D1996">
        <v>4</v>
      </c>
      <c r="E1996" t="s">
        <v>1988</v>
      </c>
    </row>
    <row r="1997" spans="1:5">
      <c r="A1997">
        <f>HYPERLINK("http://www.twitter.com/nycoem/status/598342392341766145", "598342392341766145")</f>
        <v>0</v>
      </c>
      <c r="B1997" s="2">
        <v>42137.1819097222</v>
      </c>
      <c r="C1997">
        <v>11</v>
      </c>
      <c r="D1997">
        <v>54</v>
      </c>
      <c r="E1997" t="s">
        <v>1989</v>
      </c>
    </row>
    <row r="1998" spans="1:5">
      <c r="A1998">
        <f>HYPERLINK("http://www.twitter.com/nycoem/status/598163429984227328", "598163429984227328")</f>
        <v>0</v>
      </c>
      <c r="B1998" s="2">
        <v>42136.6880671296</v>
      </c>
      <c r="C1998">
        <v>2</v>
      </c>
      <c r="D1998">
        <v>5</v>
      </c>
      <c r="E1998" t="s">
        <v>1990</v>
      </c>
    </row>
    <row r="1999" spans="1:5">
      <c r="A1999">
        <f>HYPERLINK("http://www.twitter.com/nycoem/status/598162454078726144", "598162454078726144")</f>
        <v>0</v>
      </c>
      <c r="B1999" s="2">
        <v>42136.6853819444</v>
      </c>
      <c r="C1999">
        <v>1</v>
      </c>
      <c r="D1999">
        <v>6</v>
      </c>
      <c r="E1999" t="s">
        <v>1991</v>
      </c>
    </row>
    <row r="2000" spans="1:5">
      <c r="A2000">
        <f>HYPERLINK("http://www.twitter.com/nycoem/status/598115160042110976", "598115160042110976")</f>
        <v>0</v>
      </c>
      <c r="B2000" s="2">
        <v>42136.5548726852</v>
      </c>
      <c r="C2000">
        <v>0</v>
      </c>
      <c r="D2000">
        <v>1</v>
      </c>
      <c r="E2000" t="s">
        <v>1992</v>
      </c>
    </row>
    <row r="2001" spans="1:5">
      <c r="A2001">
        <f>HYPERLINK("http://www.twitter.com/nycoem/status/596795580665454592", "596795580665454592")</f>
        <v>0</v>
      </c>
      <c r="B2001" s="2">
        <v>42132.9135300926</v>
      </c>
      <c r="C2001">
        <v>3</v>
      </c>
      <c r="D2001">
        <v>11</v>
      </c>
      <c r="E2001" t="s">
        <v>1993</v>
      </c>
    </row>
    <row r="2002" spans="1:5">
      <c r="A2002">
        <f>HYPERLINK("http://www.twitter.com/nycoem/status/596762946719604736", "596762946719604736")</f>
        <v>0</v>
      </c>
      <c r="B2002" s="2">
        <v>42132.8234722222</v>
      </c>
      <c r="C2002">
        <v>1</v>
      </c>
      <c r="D2002">
        <v>2</v>
      </c>
      <c r="E2002" t="s">
        <v>1994</v>
      </c>
    </row>
    <row r="2003" spans="1:5">
      <c r="A2003">
        <f>HYPERLINK("http://www.twitter.com/nycoem/status/596663556143239169", "596663556143239169")</f>
        <v>0</v>
      </c>
      <c r="B2003" s="2">
        <v>42132.5492013889</v>
      </c>
      <c r="C2003">
        <v>1</v>
      </c>
      <c r="D2003">
        <v>6</v>
      </c>
      <c r="E2003" t="s">
        <v>1995</v>
      </c>
    </row>
    <row r="2004" spans="1:5">
      <c r="A2004">
        <f>HYPERLINK("http://www.twitter.com/nycoem/status/596431949289431040", "596431949289431040")</f>
        <v>0</v>
      </c>
      <c r="B2004" s="2">
        <v>42131.9100925926</v>
      </c>
      <c r="C2004">
        <v>2</v>
      </c>
      <c r="D2004">
        <v>6</v>
      </c>
      <c r="E2004" t="s">
        <v>1996</v>
      </c>
    </row>
    <row r="2005" spans="1:5">
      <c r="A2005">
        <f>HYPERLINK("http://www.twitter.com/nycoem/status/596312553338359808", "596312553338359808")</f>
        <v>0</v>
      </c>
      <c r="B2005" s="2">
        <v>42131.580625</v>
      </c>
      <c r="C2005">
        <v>5</v>
      </c>
      <c r="D2005">
        <v>5</v>
      </c>
      <c r="E2005" t="s">
        <v>1997</v>
      </c>
    </row>
    <row r="2006" spans="1:5">
      <c r="A2006">
        <f>HYPERLINK("http://www.twitter.com/nycoem/status/596085901446483968", "596085901446483968")</f>
        <v>0</v>
      </c>
      <c r="B2006" s="2">
        <v>42130.9551851852</v>
      </c>
      <c r="C2006">
        <v>0</v>
      </c>
      <c r="D2006">
        <v>2</v>
      </c>
      <c r="E2006" t="s">
        <v>1998</v>
      </c>
    </row>
    <row r="2007" spans="1:5">
      <c r="A2007">
        <f>HYPERLINK("http://www.twitter.com/nycoem/status/596033873278033920", "596033873278033920")</f>
        <v>0</v>
      </c>
      <c r="B2007" s="2">
        <v>42130.8116087963</v>
      </c>
      <c r="C2007">
        <v>1</v>
      </c>
      <c r="D2007">
        <v>3</v>
      </c>
      <c r="E2007" t="s">
        <v>1999</v>
      </c>
    </row>
    <row r="2008" spans="1:5">
      <c r="A2008">
        <f>HYPERLINK("http://www.twitter.com/nycoem/status/595987160379039744", "595987160379039744")</f>
        <v>0</v>
      </c>
      <c r="B2008" s="2">
        <v>42130.6827083333</v>
      </c>
      <c r="C2008">
        <v>0</v>
      </c>
      <c r="D2008">
        <v>0</v>
      </c>
      <c r="E2008" t="s">
        <v>2000</v>
      </c>
    </row>
    <row r="2009" spans="1:5">
      <c r="A2009">
        <f>HYPERLINK("http://www.twitter.com/nycoem/status/595953135023222784", "595953135023222784")</f>
        <v>0</v>
      </c>
      <c r="B2009" s="2">
        <v>42130.5888194444</v>
      </c>
      <c r="C2009">
        <v>1</v>
      </c>
      <c r="D2009">
        <v>1</v>
      </c>
      <c r="E2009" t="s">
        <v>2001</v>
      </c>
    </row>
    <row r="2010" spans="1:5">
      <c r="A2010">
        <f>HYPERLINK("http://www.twitter.com/nycoem/status/595921536793649155", "595921536793649155")</f>
        <v>0</v>
      </c>
      <c r="B2010" s="2">
        <v>42130.5016203704</v>
      </c>
      <c r="C2010">
        <v>1</v>
      </c>
      <c r="D2010">
        <v>0</v>
      </c>
      <c r="E2010" t="s">
        <v>1994</v>
      </c>
    </row>
    <row r="2011" spans="1:5">
      <c r="A2011">
        <f>HYPERLINK("http://www.twitter.com/nycoem/status/595666974027427840", "595666974027427840")</f>
        <v>0</v>
      </c>
      <c r="B2011" s="2">
        <v>42129.7991666667</v>
      </c>
      <c r="C2011">
        <v>0</v>
      </c>
      <c r="D2011">
        <v>2</v>
      </c>
      <c r="E2011" t="s">
        <v>2002</v>
      </c>
    </row>
    <row r="2012" spans="1:5">
      <c r="A2012">
        <f>HYPERLINK("http://www.twitter.com/nycoem/status/595662307910356992", "595662307910356992")</f>
        <v>0</v>
      </c>
      <c r="B2012" s="2">
        <v>42129.7862847222</v>
      </c>
      <c r="C2012">
        <v>1</v>
      </c>
      <c r="D2012">
        <v>0</v>
      </c>
      <c r="E2012" t="s">
        <v>2003</v>
      </c>
    </row>
    <row r="2013" spans="1:5">
      <c r="A2013">
        <f>HYPERLINK("http://www.twitter.com/nycoem/status/595593317372579841", "595593317372579841")</f>
        <v>0</v>
      </c>
      <c r="B2013" s="2">
        <v>42129.5959143518</v>
      </c>
      <c r="C2013">
        <v>0</v>
      </c>
      <c r="D2013">
        <v>3</v>
      </c>
      <c r="E2013" t="s">
        <v>2004</v>
      </c>
    </row>
    <row r="2014" spans="1:5">
      <c r="A2014">
        <f>HYPERLINK("http://www.twitter.com/nycoem/status/595340444894142465", "595340444894142465")</f>
        <v>0</v>
      </c>
      <c r="B2014" s="2">
        <v>42128.8981134259</v>
      </c>
      <c r="C2014">
        <v>31</v>
      </c>
      <c r="D2014">
        <v>14</v>
      </c>
      <c r="E2014" t="s">
        <v>2005</v>
      </c>
    </row>
    <row r="2015" spans="1:5">
      <c r="A2015">
        <f>HYPERLINK("http://www.twitter.com/nycoem/status/595241598667075586", "595241598667075586")</f>
        <v>0</v>
      </c>
      <c r="B2015" s="2">
        <v>42128.6253472222</v>
      </c>
      <c r="C2015">
        <v>0</v>
      </c>
      <c r="D2015">
        <v>20</v>
      </c>
      <c r="E2015" t="s">
        <v>2006</v>
      </c>
    </row>
    <row r="2016" spans="1:5">
      <c r="A2016">
        <f>HYPERLINK("http://www.twitter.com/nycoem/status/594254107516530688", "594254107516530688")</f>
        <v>0</v>
      </c>
      <c r="B2016" s="2">
        <v>42125.9003935185</v>
      </c>
      <c r="C2016">
        <v>65</v>
      </c>
      <c r="D2016">
        <v>54</v>
      </c>
      <c r="E2016" t="s">
        <v>2007</v>
      </c>
    </row>
    <row r="2017" spans="1:5">
      <c r="A2017">
        <f>HYPERLINK("http://www.twitter.com/nycoem/status/594200998744305664", "594200998744305664")</f>
        <v>0</v>
      </c>
      <c r="B2017" s="2">
        <v>42125.7538425926</v>
      </c>
      <c r="C2017">
        <v>0</v>
      </c>
      <c r="D2017">
        <v>3</v>
      </c>
      <c r="E2017" t="s">
        <v>2008</v>
      </c>
    </row>
    <row r="2018" spans="1:5">
      <c r="A2018">
        <f>HYPERLINK("http://www.twitter.com/nycoem/status/594197497356132353", "594197497356132353")</f>
        <v>0</v>
      </c>
      <c r="B2018" s="2">
        <v>42125.7441782407</v>
      </c>
      <c r="C2018">
        <v>0</v>
      </c>
      <c r="D2018">
        <v>2</v>
      </c>
      <c r="E2018" t="s">
        <v>2009</v>
      </c>
    </row>
    <row r="2019" spans="1:5">
      <c r="A2019">
        <f>HYPERLINK("http://www.twitter.com/nycoem/status/594141016317366272", "594141016317366272")</f>
        <v>0</v>
      </c>
      <c r="B2019" s="2">
        <v>42125.5883217593</v>
      </c>
      <c r="C2019">
        <v>1</v>
      </c>
      <c r="D2019">
        <v>2</v>
      </c>
      <c r="E2019" t="s">
        <v>2010</v>
      </c>
    </row>
    <row r="2020" spans="1:5">
      <c r="A2020">
        <f>HYPERLINK("http://www.twitter.com/nycoem/status/593849936569049091", "593849936569049091")</f>
        <v>0</v>
      </c>
      <c r="B2020" s="2">
        <v>42124.7850925926</v>
      </c>
      <c r="C2020">
        <v>1</v>
      </c>
      <c r="D2020">
        <v>3</v>
      </c>
      <c r="E2020" t="s">
        <v>2011</v>
      </c>
    </row>
    <row r="2021" spans="1:5">
      <c r="A2021">
        <f>HYPERLINK("http://www.twitter.com/nycoem/status/593810643490349056", "593810643490349056")</f>
        <v>0</v>
      </c>
      <c r="B2021" s="2">
        <v>42124.6766666667</v>
      </c>
      <c r="C2021">
        <v>6</v>
      </c>
      <c r="D2021">
        <v>10</v>
      </c>
      <c r="E2021" t="s">
        <v>2012</v>
      </c>
    </row>
    <row r="2022" spans="1:5">
      <c r="A2022">
        <f>HYPERLINK("http://www.twitter.com/nycoem/status/593803262513545216", "593803262513545216")</f>
        <v>0</v>
      </c>
      <c r="B2022" s="2">
        <v>42124.6562962963</v>
      </c>
      <c r="C2022">
        <v>1</v>
      </c>
      <c r="D2022">
        <v>4</v>
      </c>
      <c r="E2022" t="s">
        <v>2013</v>
      </c>
    </row>
    <row r="2023" spans="1:5">
      <c r="A2023">
        <f>HYPERLINK("http://www.twitter.com/nycoem/status/593760697588305920", "593760697588305920")</f>
        <v>0</v>
      </c>
      <c r="B2023" s="2">
        <v>42124.5388425926</v>
      </c>
      <c r="C2023">
        <v>2</v>
      </c>
      <c r="D2023">
        <v>4</v>
      </c>
      <c r="E2023" t="s">
        <v>2014</v>
      </c>
    </row>
    <row r="2024" spans="1:5">
      <c r="A2024">
        <f>HYPERLINK("http://www.twitter.com/nycoem/status/593543156748165120", "593543156748165120")</f>
        <v>0</v>
      </c>
      <c r="B2024" s="2">
        <v>42123.9385416667</v>
      </c>
      <c r="C2024">
        <v>0</v>
      </c>
      <c r="D2024">
        <v>69</v>
      </c>
      <c r="E2024" t="s">
        <v>2015</v>
      </c>
    </row>
    <row r="2025" spans="1:5">
      <c r="A2025">
        <f>HYPERLINK("http://www.twitter.com/nycoem/status/593512937689468928", "593512937689468928")</f>
        <v>0</v>
      </c>
      <c r="B2025" s="2">
        <v>42123.855150463</v>
      </c>
      <c r="C2025">
        <v>0</v>
      </c>
      <c r="D2025">
        <v>2</v>
      </c>
      <c r="E2025" t="s">
        <v>2016</v>
      </c>
    </row>
    <row r="2026" spans="1:5">
      <c r="A2026">
        <f>HYPERLINK("http://www.twitter.com/nycoem/status/593445477846253568", "593445477846253568")</f>
        <v>0</v>
      </c>
      <c r="B2026" s="2">
        <v>42123.6690046296</v>
      </c>
      <c r="C2026">
        <v>1</v>
      </c>
      <c r="D2026">
        <v>0</v>
      </c>
      <c r="E2026" t="s">
        <v>2017</v>
      </c>
    </row>
    <row r="2027" spans="1:5">
      <c r="A2027">
        <f>HYPERLINK("http://www.twitter.com/nycoem/status/593426823624663041", "593426823624663041")</f>
        <v>0</v>
      </c>
      <c r="B2027" s="2">
        <v>42123.6175231481</v>
      </c>
      <c r="C2027">
        <v>0</v>
      </c>
      <c r="D2027">
        <v>4</v>
      </c>
      <c r="E2027" t="s">
        <v>2018</v>
      </c>
    </row>
    <row r="2028" spans="1:5">
      <c r="A2028">
        <f>HYPERLINK("http://www.twitter.com/nycoem/status/593416422006620160", "593416422006620160")</f>
        <v>0</v>
      </c>
      <c r="B2028" s="2">
        <v>42123.5888194444</v>
      </c>
      <c r="C2028">
        <v>4</v>
      </c>
      <c r="D2028">
        <v>3</v>
      </c>
      <c r="E2028" t="s">
        <v>2019</v>
      </c>
    </row>
    <row r="2029" spans="1:5">
      <c r="A2029">
        <f>HYPERLINK("http://www.twitter.com/nycoem/status/593129262288412672", "593129262288412672")</f>
        <v>0</v>
      </c>
      <c r="B2029" s="2">
        <v>42122.796412037</v>
      </c>
      <c r="C2029">
        <v>0</v>
      </c>
      <c r="D2029">
        <v>2</v>
      </c>
      <c r="E2029" t="s">
        <v>2020</v>
      </c>
    </row>
    <row r="2030" spans="1:5">
      <c r="A2030">
        <f>HYPERLINK("http://www.twitter.com/nycoem/status/593066319412604928", "593066319412604928")</f>
        <v>0</v>
      </c>
      <c r="B2030" s="2">
        <v>42122.6227199074</v>
      </c>
      <c r="C2030">
        <v>0</v>
      </c>
      <c r="D2030">
        <v>2</v>
      </c>
      <c r="E2030" t="s">
        <v>2021</v>
      </c>
    </row>
    <row r="2031" spans="1:5">
      <c r="A2031">
        <f>HYPERLINK("http://www.twitter.com/nycoem/status/593050858859982849", "593050858859982849")</f>
        <v>0</v>
      </c>
      <c r="B2031" s="2">
        <v>42122.5800578704</v>
      </c>
      <c r="C2031">
        <v>0</v>
      </c>
      <c r="D2031">
        <v>5</v>
      </c>
      <c r="E2031" t="s">
        <v>2022</v>
      </c>
    </row>
    <row r="2032" spans="1:5">
      <c r="A2032">
        <f>HYPERLINK("http://www.twitter.com/nycoem/status/593044825949249536", "593044825949249536")</f>
        <v>0</v>
      </c>
      <c r="B2032" s="2">
        <v>42122.5634143519</v>
      </c>
      <c r="C2032">
        <v>1</v>
      </c>
      <c r="D2032">
        <v>0</v>
      </c>
      <c r="E2032" t="s">
        <v>2023</v>
      </c>
    </row>
    <row r="2033" spans="1:5">
      <c r="A2033">
        <f>HYPERLINK("http://www.twitter.com/nycoem/status/592790437087281152", "592790437087281152")</f>
        <v>0</v>
      </c>
      <c r="B2033" s="2">
        <v>42121.8614351852</v>
      </c>
      <c r="C2033">
        <v>2</v>
      </c>
      <c r="D2033">
        <v>0</v>
      </c>
      <c r="E2033" t="s">
        <v>2024</v>
      </c>
    </row>
    <row r="2034" spans="1:5">
      <c r="A2034">
        <f>HYPERLINK("http://www.twitter.com/nycoem/status/592679363113541633", "592679363113541633")</f>
        <v>0</v>
      </c>
      <c r="B2034" s="2">
        <v>42121.5549305556</v>
      </c>
      <c r="C2034">
        <v>1</v>
      </c>
      <c r="D2034">
        <v>10</v>
      </c>
      <c r="E2034" t="s">
        <v>2025</v>
      </c>
    </row>
    <row r="2035" spans="1:5">
      <c r="A2035">
        <f>HYPERLINK("http://www.twitter.com/nycoem/status/592665608602390528", "592665608602390528")</f>
        <v>0</v>
      </c>
      <c r="B2035" s="2">
        <v>42121.5169675926</v>
      </c>
      <c r="C2035">
        <v>1</v>
      </c>
      <c r="D2035">
        <v>1</v>
      </c>
      <c r="E2035" t="s">
        <v>2026</v>
      </c>
    </row>
    <row r="2036" spans="1:5">
      <c r="A2036">
        <f>HYPERLINK("http://www.twitter.com/nycoem/status/591634158650286080", "591634158650286080")</f>
        <v>0</v>
      </c>
      <c r="B2036" s="2">
        <v>42118.6707175926</v>
      </c>
      <c r="C2036">
        <v>4</v>
      </c>
      <c r="D2036">
        <v>0</v>
      </c>
      <c r="E2036" t="s">
        <v>2027</v>
      </c>
    </row>
    <row r="2037" spans="1:5">
      <c r="A2037">
        <f>HYPERLINK("http://www.twitter.com/nycoem/status/591620247234412547", "591620247234412547")</f>
        <v>0</v>
      </c>
      <c r="B2037" s="2">
        <v>42118.6323263889</v>
      </c>
      <c r="C2037">
        <v>0</v>
      </c>
      <c r="D2037">
        <v>0</v>
      </c>
      <c r="E2037" t="s">
        <v>2028</v>
      </c>
    </row>
    <row r="2038" spans="1:5">
      <c r="A2038">
        <f>HYPERLINK("http://www.twitter.com/nycoem/status/591603256222216193", "591603256222216193")</f>
        <v>0</v>
      </c>
      <c r="B2038" s="2">
        <v>42118.5854398148</v>
      </c>
      <c r="C2038">
        <v>0</v>
      </c>
      <c r="D2038">
        <v>2</v>
      </c>
      <c r="E2038" t="s">
        <v>2029</v>
      </c>
    </row>
    <row r="2039" spans="1:5">
      <c r="A2039">
        <f>HYPERLINK("http://www.twitter.com/nycoem/status/591302457684316160", "591302457684316160")</f>
        <v>0</v>
      </c>
      <c r="B2039" s="2">
        <v>42117.7553935185</v>
      </c>
      <c r="C2039">
        <v>2</v>
      </c>
      <c r="D2039">
        <v>0</v>
      </c>
      <c r="E2039" t="s">
        <v>2030</v>
      </c>
    </row>
    <row r="2040" spans="1:5">
      <c r="A2040">
        <f>HYPERLINK("http://www.twitter.com/nycoem/status/591278297088135168", "591278297088135168")</f>
        <v>0</v>
      </c>
      <c r="B2040" s="2">
        <v>42117.6887268519</v>
      </c>
      <c r="C2040">
        <v>0</v>
      </c>
      <c r="D2040">
        <v>2</v>
      </c>
      <c r="E2040" t="s">
        <v>2031</v>
      </c>
    </row>
    <row r="2041" spans="1:5">
      <c r="A2041">
        <f>HYPERLINK("http://www.twitter.com/nycoem/status/590965877283119106", "590965877283119106")</f>
        <v>0</v>
      </c>
      <c r="B2041" s="2">
        <v>42116.8266087963</v>
      </c>
      <c r="C2041">
        <v>1</v>
      </c>
      <c r="D2041">
        <v>7</v>
      </c>
      <c r="E2041" t="s">
        <v>2032</v>
      </c>
    </row>
    <row r="2042" spans="1:5">
      <c r="A2042">
        <f>HYPERLINK("http://www.twitter.com/nycoem/status/590953848266698754", "590953848266698754")</f>
        <v>0</v>
      </c>
      <c r="B2042" s="2">
        <v>42116.7934143519</v>
      </c>
      <c r="C2042">
        <v>2</v>
      </c>
      <c r="D2042">
        <v>3</v>
      </c>
      <c r="E2042" t="s">
        <v>2033</v>
      </c>
    </row>
    <row r="2043" spans="1:5">
      <c r="A2043">
        <f>HYPERLINK("http://www.twitter.com/nycoem/status/590909390489812992", "590909390489812992")</f>
        <v>0</v>
      </c>
      <c r="B2043" s="2">
        <v>42116.6707291667</v>
      </c>
      <c r="C2043">
        <v>1</v>
      </c>
      <c r="D2043">
        <v>2</v>
      </c>
      <c r="E2043" t="s">
        <v>2034</v>
      </c>
    </row>
    <row r="2044" spans="1:5">
      <c r="A2044">
        <f>HYPERLINK("http://www.twitter.com/nycoem/status/590627327245160449", "590627327245160449")</f>
        <v>0</v>
      </c>
      <c r="B2044" s="2">
        <v>42115.8923842593</v>
      </c>
      <c r="C2044">
        <v>1</v>
      </c>
      <c r="D2044">
        <v>5</v>
      </c>
      <c r="E2044" t="s">
        <v>2035</v>
      </c>
    </row>
    <row r="2045" spans="1:5">
      <c r="A2045">
        <f>HYPERLINK("http://www.twitter.com/nycoem/status/590625699070922753", "590625699070922753")</f>
        <v>0</v>
      </c>
      <c r="B2045" s="2">
        <v>42115.8878935185</v>
      </c>
      <c r="C2045">
        <v>0</v>
      </c>
      <c r="D2045">
        <v>4</v>
      </c>
      <c r="E2045" t="s">
        <v>2036</v>
      </c>
    </row>
    <row r="2046" spans="1:5">
      <c r="A2046">
        <f>HYPERLINK("http://www.twitter.com/nycoem/status/590569442490372096", "590569442490372096")</f>
        <v>0</v>
      </c>
      <c r="B2046" s="2">
        <v>42115.732650463</v>
      </c>
      <c r="C2046">
        <v>0</v>
      </c>
      <c r="D2046">
        <v>1</v>
      </c>
      <c r="E2046" t="s">
        <v>2037</v>
      </c>
    </row>
    <row r="2047" spans="1:5">
      <c r="A2047">
        <f>HYPERLINK("http://www.twitter.com/nycoem/status/590502241838178304", "590502241838178304")</f>
        <v>0</v>
      </c>
      <c r="B2047" s="2">
        <v>42115.5472222222</v>
      </c>
      <c r="C2047">
        <v>0</v>
      </c>
      <c r="D2047">
        <v>5</v>
      </c>
      <c r="E2047" t="s">
        <v>2038</v>
      </c>
    </row>
    <row r="2048" spans="1:5">
      <c r="A2048">
        <f>HYPERLINK("http://www.twitter.com/nycoem/status/590230890686611456", "590230890686611456")</f>
        <v>0</v>
      </c>
      <c r="B2048" s="2">
        <v>42114.7984259259</v>
      </c>
      <c r="C2048">
        <v>2</v>
      </c>
      <c r="D2048">
        <v>6</v>
      </c>
      <c r="E2048" t="s">
        <v>2039</v>
      </c>
    </row>
    <row r="2049" spans="1:5">
      <c r="A2049">
        <f>HYPERLINK("http://www.twitter.com/nycoem/status/590171769035759616", "590171769035759616")</f>
        <v>0</v>
      </c>
      <c r="B2049" s="2">
        <v>42114.6352893518</v>
      </c>
      <c r="C2049">
        <v>1</v>
      </c>
      <c r="D2049">
        <v>12</v>
      </c>
      <c r="E2049" t="s">
        <v>2040</v>
      </c>
    </row>
    <row r="2050" spans="1:5">
      <c r="A2050">
        <f>HYPERLINK("http://www.twitter.com/nycoem/status/590166887536979968", "590166887536979968")</f>
        <v>0</v>
      </c>
      <c r="B2050" s="2">
        <v>42114.6218171296</v>
      </c>
      <c r="C2050">
        <v>1</v>
      </c>
      <c r="D2050">
        <v>5</v>
      </c>
      <c r="E2050" t="s">
        <v>2041</v>
      </c>
    </row>
    <row r="2051" spans="1:5">
      <c r="A2051">
        <f>HYPERLINK("http://www.twitter.com/nycoem/status/589458422438891521", "589458422438891521")</f>
        <v>0</v>
      </c>
      <c r="B2051" s="2">
        <v>42112.6668287037</v>
      </c>
      <c r="C2051">
        <v>6</v>
      </c>
      <c r="D2051">
        <v>13</v>
      </c>
      <c r="E2051" t="s">
        <v>2042</v>
      </c>
    </row>
    <row r="2052" spans="1:5">
      <c r="A2052">
        <f>HYPERLINK("http://www.twitter.com/nycoem/status/589174112129548289", "589174112129548289")</f>
        <v>0</v>
      </c>
      <c r="B2052" s="2">
        <v>42111.8822800926</v>
      </c>
      <c r="C2052">
        <v>1</v>
      </c>
      <c r="D2052">
        <v>1</v>
      </c>
      <c r="E2052" t="s">
        <v>2043</v>
      </c>
    </row>
    <row r="2053" spans="1:5">
      <c r="A2053">
        <f>HYPERLINK("http://www.twitter.com/nycoem/status/589096637471006720", "589096637471006720")</f>
        <v>0</v>
      </c>
      <c r="B2053" s="2">
        <v>42111.6684837963</v>
      </c>
      <c r="C2053">
        <v>2</v>
      </c>
      <c r="D2053">
        <v>4</v>
      </c>
      <c r="E2053" t="s">
        <v>2044</v>
      </c>
    </row>
    <row r="2054" spans="1:5">
      <c r="A2054">
        <f>HYPERLINK("http://www.twitter.com/nycoem/status/589069653785346048", "589069653785346048")</f>
        <v>0</v>
      </c>
      <c r="B2054" s="2">
        <v>42111.5940277778</v>
      </c>
      <c r="C2054">
        <v>0</v>
      </c>
      <c r="D2054">
        <v>21</v>
      </c>
      <c r="E2054" t="s">
        <v>2045</v>
      </c>
    </row>
    <row r="2055" spans="1:5">
      <c r="A2055">
        <f>HYPERLINK("http://www.twitter.com/nycoem/status/588736314675220481", "588736314675220481")</f>
        <v>0</v>
      </c>
      <c r="B2055" s="2">
        <v>42110.6741898148</v>
      </c>
      <c r="C2055">
        <v>1</v>
      </c>
      <c r="D2055">
        <v>1</v>
      </c>
      <c r="E2055" t="s">
        <v>2046</v>
      </c>
    </row>
    <row r="2056" spans="1:5">
      <c r="A2056">
        <f>HYPERLINK("http://www.twitter.com/nycoem/status/588686276498427904", "588686276498427904")</f>
        <v>0</v>
      </c>
      <c r="B2056" s="2">
        <v>42110.5361111111</v>
      </c>
      <c r="C2056">
        <v>2</v>
      </c>
      <c r="D2056">
        <v>6</v>
      </c>
      <c r="E2056" t="s">
        <v>2047</v>
      </c>
    </row>
    <row r="2057" spans="1:5">
      <c r="A2057">
        <f>HYPERLINK("http://www.twitter.com/nycoem/status/588370094264344576", "588370094264344576")</f>
        <v>0</v>
      </c>
      <c r="B2057" s="2">
        <v>42109.6636111111</v>
      </c>
      <c r="C2057">
        <v>1</v>
      </c>
      <c r="D2057">
        <v>1</v>
      </c>
      <c r="E2057" t="s">
        <v>2048</v>
      </c>
    </row>
    <row r="2058" spans="1:5">
      <c r="A2058">
        <f>HYPERLINK("http://www.twitter.com/nycoem/status/588355053448212481", "588355053448212481")</f>
        <v>0</v>
      </c>
      <c r="B2058" s="2">
        <v>42109.6221064815</v>
      </c>
      <c r="C2058">
        <v>3</v>
      </c>
      <c r="D2058">
        <v>7</v>
      </c>
      <c r="E2058" t="s">
        <v>2049</v>
      </c>
    </row>
    <row r="2059" spans="1:5">
      <c r="A2059">
        <f>HYPERLINK("http://www.twitter.com/nycoem/status/588089117583527937", "588089117583527937")</f>
        <v>0</v>
      </c>
      <c r="B2059" s="2">
        <v>42108.8882638889</v>
      </c>
      <c r="C2059">
        <v>0</v>
      </c>
      <c r="D2059">
        <v>8</v>
      </c>
      <c r="E2059" t="s">
        <v>2050</v>
      </c>
    </row>
    <row r="2060" spans="1:5">
      <c r="A2060">
        <f>HYPERLINK("http://www.twitter.com/nycoem/status/588044860176916481", "588044860176916481")</f>
        <v>0</v>
      </c>
      <c r="B2060" s="2">
        <v>42108.7661342593</v>
      </c>
      <c r="C2060">
        <v>1</v>
      </c>
      <c r="D2060">
        <v>3</v>
      </c>
      <c r="E2060" t="s">
        <v>2051</v>
      </c>
    </row>
    <row r="2061" spans="1:5">
      <c r="A2061">
        <f>HYPERLINK("http://www.twitter.com/nycoem/status/587964205720084480", "587964205720084480")</f>
        <v>0</v>
      </c>
      <c r="B2061" s="2">
        <v>42108.5435763889</v>
      </c>
      <c r="C2061">
        <v>3</v>
      </c>
      <c r="D2061">
        <v>7</v>
      </c>
      <c r="E2061" t="s">
        <v>2052</v>
      </c>
    </row>
    <row r="2062" spans="1:5">
      <c r="A2062">
        <f>HYPERLINK("http://www.twitter.com/nycoem/status/587697597516754945", "587697597516754945")</f>
        <v>0</v>
      </c>
      <c r="B2062" s="2">
        <v>42107.8078703704</v>
      </c>
      <c r="C2062">
        <v>2</v>
      </c>
      <c r="D2062">
        <v>0</v>
      </c>
      <c r="E2062" t="s">
        <v>2053</v>
      </c>
    </row>
    <row r="2063" spans="1:5">
      <c r="A2063">
        <f>HYPERLINK("http://www.twitter.com/nycoem/status/587696520289525760", "587696520289525760")</f>
        <v>0</v>
      </c>
      <c r="B2063" s="2">
        <v>42107.8048958333</v>
      </c>
      <c r="C2063">
        <v>2</v>
      </c>
      <c r="D2063">
        <v>0</v>
      </c>
      <c r="E2063" t="s">
        <v>2054</v>
      </c>
    </row>
    <row r="2064" spans="1:5">
      <c r="A2064">
        <f>HYPERLINK("http://www.twitter.com/nycoem/status/587606882484879360", "587606882484879360")</f>
        <v>0</v>
      </c>
      <c r="B2064" s="2">
        <v>42107.5575462963</v>
      </c>
      <c r="C2064">
        <v>13</v>
      </c>
      <c r="D2064">
        <v>23</v>
      </c>
      <c r="E2064" t="s">
        <v>2055</v>
      </c>
    </row>
    <row r="2065" spans="1:5">
      <c r="A2065">
        <f>HYPERLINK("http://www.twitter.com/nycoem/status/587007297584504833", "587007297584504833")</f>
        <v>0</v>
      </c>
      <c r="B2065" s="2">
        <v>42105.9030092593</v>
      </c>
      <c r="C2065">
        <v>3</v>
      </c>
      <c r="D2065">
        <v>3</v>
      </c>
      <c r="E2065" t="s">
        <v>2056</v>
      </c>
    </row>
    <row r="2066" spans="1:5">
      <c r="A2066">
        <f>HYPERLINK("http://www.twitter.com/nycoem/status/586945647640715267", "586945647640715267")</f>
        <v>0</v>
      </c>
      <c r="B2066" s="2">
        <v>42105.7328819444</v>
      </c>
      <c r="C2066">
        <v>2</v>
      </c>
      <c r="D2066">
        <v>5</v>
      </c>
      <c r="E2066" t="s">
        <v>2057</v>
      </c>
    </row>
    <row r="2067" spans="1:5">
      <c r="A2067">
        <f>HYPERLINK("http://www.twitter.com/nycoem/status/586612292936151040", "586612292936151040")</f>
        <v>0</v>
      </c>
      <c r="B2067" s="2">
        <v>42104.8130092593</v>
      </c>
      <c r="C2067">
        <v>0</v>
      </c>
      <c r="D2067">
        <v>1</v>
      </c>
      <c r="E2067" t="s">
        <v>2058</v>
      </c>
    </row>
    <row r="2068" spans="1:5">
      <c r="A2068">
        <f>HYPERLINK("http://www.twitter.com/nycoem/status/586577007699480576", "586577007699480576")</f>
        <v>0</v>
      </c>
      <c r="B2068" s="2">
        <v>42104.7156365741</v>
      </c>
      <c r="C2068">
        <v>1</v>
      </c>
      <c r="D2068">
        <v>1</v>
      </c>
      <c r="E2068" t="s">
        <v>2059</v>
      </c>
    </row>
    <row r="2069" spans="1:5">
      <c r="A2069">
        <f>HYPERLINK("http://www.twitter.com/nycoem/status/585895390689525760", "585895390689525760")</f>
        <v>0</v>
      </c>
      <c r="B2069" s="2">
        <v>42102.8347337963</v>
      </c>
      <c r="C2069">
        <v>0</v>
      </c>
      <c r="D2069">
        <v>7</v>
      </c>
      <c r="E2069" t="s">
        <v>2060</v>
      </c>
    </row>
    <row r="2070" spans="1:5">
      <c r="A2070">
        <f>HYPERLINK("http://www.twitter.com/nycoem/status/585878573640187904", "585878573640187904")</f>
        <v>0</v>
      </c>
      <c r="B2070" s="2">
        <v>42102.7883217593</v>
      </c>
      <c r="C2070">
        <v>3</v>
      </c>
      <c r="D2070">
        <v>3</v>
      </c>
      <c r="E2070" t="s">
        <v>2061</v>
      </c>
    </row>
    <row r="2071" spans="1:5">
      <c r="A2071">
        <f>HYPERLINK("http://www.twitter.com/nycoem/status/585830952607293440", "585830952607293440")</f>
        <v>0</v>
      </c>
      <c r="B2071" s="2">
        <v>42102.6569097222</v>
      </c>
      <c r="C2071">
        <v>1</v>
      </c>
      <c r="D2071">
        <v>7</v>
      </c>
      <c r="E2071" t="s">
        <v>2062</v>
      </c>
    </row>
    <row r="2072" spans="1:5">
      <c r="A2072">
        <f>HYPERLINK("http://www.twitter.com/nycoem/status/585560260565475328", "585560260565475328")</f>
        <v>0</v>
      </c>
      <c r="B2072" s="2">
        <v>42101.9099421296</v>
      </c>
      <c r="C2072">
        <v>1</v>
      </c>
      <c r="D2072">
        <v>2</v>
      </c>
      <c r="E2072" t="s">
        <v>2063</v>
      </c>
    </row>
    <row r="2073" spans="1:5">
      <c r="A2073">
        <f>HYPERLINK("http://www.twitter.com/nycoem/status/585470934171185152", "585470934171185152")</f>
        <v>0</v>
      </c>
      <c r="B2073" s="2">
        <v>42101.6634490741</v>
      </c>
      <c r="C2073">
        <v>1</v>
      </c>
      <c r="D2073">
        <v>6</v>
      </c>
      <c r="E2073" t="s">
        <v>2064</v>
      </c>
    </row>
    <row r="2074" spans="1:5">
      <c r="A2074">
        <f>HYPERLINK("http://www.twitter.com/nycoem/status/585434682369671169", "585434682369671169")</f>
        <v>0</v>
      </c>
      <c r="B2074" s="2">
        <v>42101.5634143519</v>
      </c>
      <c r="C2074">
        <v>0</v>
      </c>
      <c r="D2074">
        <v>4</v>
      </c>
      <c r="E2074" t="s">
        <v>2065</v>
      </c>
    </row>
    <row r="2075" spans="1:5">
      <c r="A2075">
        <f>HYPERLINK("http://www.twitter.com/nycoem/status/585170307461283841", "585170307461283841")</f>
        <v>0</v>
      </c>
      <c r="B2075" s="2">
        <v>42100.8338773148</v>
      </c>
      <c r="C2075">
        <v>3</v>
      </c>
      <c r="D2075">
        <v>2</v>
      </c>
      <c r="E2075" t="s">
        <v>2066</v>
      </c>
    </row>
    <row r="2076" spans="1:5">
      <c r="A2076">
        <f>HYPERLINK("http://www.twitter.com/nycoem/status/585153877600776193", "585153877600776193")</f>
        <v>0</v>
      </c>
      <c r="B2076" s="2">
        <v>42100.7885416667</v>
      </c>
      <c r="C2076">
        <v>4</v>
      </c>
      <c r="D2076">
        <v>5</v>
      </c>
      <c r="E2076" t="s">
        <v>2067</v>
      </c>
    </row>
    <row r="2077" spans="1:5">
      <c r="A2077">
        <f>HYPERLINK("http://www.twitter.com/nycoem/status/585132596981555200", "585132596981555200")</f>
        <v>0</v>
      </c>
      <c r="B2077" s="2">
        <v>42100.7298263889</v>
      </c>
      <c r="C2077">
        <v>0</v>
      </c>
      <c r="D2077">
        <v>0</v>
      </c>
      <c r="E2077" t="s">
        <v>2068</v>
      </c>
    </row>
    <row r="2078" spans="1:5">
      <c r="A2078">
        <f>HYPERLINK("http://www.twitter.com/nycoem/status/585108634436292608", "585108634436292608")</f>
        <v>0</v>
      </c>
      <c r="B2078" s="2">
        <v>42100.6636921296</v>
      </c>
      <c r="C2078">
        <v>1</v>
      </c>
      <c r="D2078">
        <v>5</v>
      </c>
      <c r="E2078" t="s">
        <v>2069</v>
      </c>
    </row>
    <row r="2079" spans="1:5">
      <c r="A2079">
        <f>HYPERLINK("http://www.twitter.com/nycoem/status/584726008668037120", "584726008668037120")</f>
        <v>0</v>
      </c>
      <c r="B2079" s="2">
        <v>42099.6078472222</v>
      </c>
      <c r="C2079">
        <v>5</v>
      </c>
      <c r="D2079">
        <v>7</v>
      </c>
      <c r="E2079" t="s">
        <v>2070</v>
      </c>
    </row>
    <row r="2080" spans="1:5">
      <c r="A2080">
        <f>HYPERLINK("http://www.twitter.com/nycoem/status/584371503048880128", "584371503048880128")</f>
        <v>0</v>
      </c>
      <c r="B2080" s="2">
        <v>42098.6296064815</v>
      </c>
      <c r="C2080">
        <v>2</v>
      </c>
      <c r="D2080">
        <v>9</v>
      </c>
      <c r="E2080" t="s">
        <v>2071</v>
      </c>
    </row>
    <row r="2081" spans="1:5">
      <c r="A2081">
        <f>HYPERLINK("http://www.twitter.com/nycoem/status/584134593470717952", "584134593470717952")</f>
        <v>0</v>
      </c>
      <c r="B2081" s="2">
        <v>42097.9758564815</v>
      </c>
      <c r="C2081">
        <v>11</v>
      </c>
      <c r="D2081">
        <v>5</v>
      </c>
      <c r="E2081" t="s">
        <v>2072</v>
      </c>
    </row>
    <row r="2082" spans="1:5">
      <c r="A2082">
        <f>HYPERLINK("http://www.twitter.com/nycoem/status/584029631474438145", "584029631474438145")</f>
        <v>0</v>
      </c>
      <c r="B2082" s="2">
        <v>42097.6862152778</v>
      </c>
      <c r="C2082">
        <v>1</v>
      </c>
      <c r="D2082">
        <v>5</v>
      </c>
      <c r="E2082" t="s">
        <v>2073</v>
      </c>
    </row>
    <row r="2083" spans="1:5">
      <c r="A2083">
        <f>HYPERLINK("http://www.twitter.com/nycoem/status/584020080385724416", "584020080385724416")</f>
        <v>0</v>
      </c>
      <c r="B2083" s="2">
        <v>42097.6598611111</v>
      </c>
      <c r="C2083">
        <v>4</v>
      </c>
      <c r="D2083">
        <v>8</v>
      </c>
      <c r="E2083" t="s">
        <v>2074</v>
      </c>
    </row>
    <row r="2084" spans="1:5">
      <c r="A2084">
        <f>HYPERLINK("http://www.twitter.com/nycoem/status/583780118402850816", "583780118402850816")</f>
        <v>0</v>
      </c>
      <c r="B2084" s="2">
        <v>42096.9976851852</v>
      </c>
      <c r="C2084">
        <v>3</v>
      </c>
      <c r="D2084">
        <v>5</v>
      </c>
      <c r="E2084" t="s">
        <v>2075</v>
      </c>
    </row>
    <row r="2085" spans="1:5">
      <c r="A2085">
        <f>HYPERLINK("http://www.twitter.com/nycoem/status/583675385369460736", "583675385369460736")</f>
        <v>0</v>
      </c>
      <c r="B2085" s="2">
        <v>42096.7086805556</v>
      </c>
      <c r="C2085">
        <v>0</v>
      </c>
      <c r="D2085">
        <v>3</v>
      </c>
      <c r="E2085" t="s">
        <v>2076</v>
      </c>
    </row>
    <row r="2086" spans="1:5">
      <c r="A2086">
        <f>HYPERLINK("http://www.twitter.com/nycoem/status/583656971750002688", "583656971750002688")</f>
        <v>0</v>
      </c>
      <c r="B2086" s="2">
        <v>42096.6578703704</v>
      </c>
      <c r="C2086">
        <v>1</v>
      </c>
      <c r="D2086">
        <v>5</v>
      </c>
      <c r="E2086" t="s">
        <v>2077</v>
      </c>
    </row>
    <row r="2087" spans="1:5">
      <c r="A2087">
        <f>HYPERLINK("http://www.twitter.com/nycoem/status/583433361810661376", "583433361810661376")</f>
        <v>0</v>
      </c>
      <c r="B2087" s="2">
        <v>42096.0408217593</v>
      </c>
      <c r="C2087">
        <v>4</v>
      </c>
      <c r="D2087">
        <v>10</v>
      </c>
      <c r="E2087" t="s">
        <v>2078</v>
      </c>
    </row>
    <row r="2088" spans="1:5">
      <c r="A2088">
        <f>HYPERLINK("http://www.twitter.com/nycoem/status/583320801199415296", "583320801199415296")</f>
        <v>0</v>
      </c>
      <c r="B2088" s="2">
        <v>42095.7302199074</v>
      </c>
      <c r="C2088">
        <v>1</v>
      </c>
      <c r="D2088">
        <v>3</v>
      </c>
      <c r="E2088" t="s">
        <v>2079</v>
      </c>
    </row>
    <row r="2089" spans="1:5">
      <c r="A2089">
        <f>HYPERLINK("http://www.twitter.com/nycoem/status/583282456004075520", "583282456004075520")</f>
        <v>0</v>
      </c>
      <c r="B2089" s="2">
        <v>42095.6244097222</v>
      </c>
      <c r="C2089">
        <v>0</v>
      </c>
      <c r="D2089">
        <v>1</v>
      </c>
      <c r="E2089" t="s">
        <v>2080</v>
      </c>
    </row>
    <row r="2090" spans="1:5">
      <c r="A2090">
        <f>HYPERLINK("http://www.twitter.com/nycoem/status/583282027430043648", "583282027430043648")</f>
        <v>0</v>
      </c>
      <c r="B2090" s="2">
        <v>42095.6232175926</v>
      </c>
      <c r="C2090">
        <v>1</v>
      </c>
      <c r="D2090">
        <v>5</v>
      </c>
      <c r="E2090" t="s">
        <v>2081</v>
      </c>
    </row>
    <row r="2091" spans="1:5">
      <c r="A2091">
        <f>HYPERLINK("http://www.twitter.com/nycoem/status/582962456005337089", "582962456005337089")</f>
        <v>0</v>
      </c>
      <c r="B2091" s="2">
        <v>42094.7413773148</v>
      </c>
      <c r="C2091">
        <v>0</v>
      </c>
      <c r="D2091">
        <v>3</v>
      </c>
      <c r="E2091" t="s">
        <v>2082</v>
      </c>
    </row>
    <row r="2092" spans="1:5">
      <c r="A2092">
        <f>HYPERLINK("http://www.twitter.com/nycoem/status/582960534435311617", "582960534435311617")</f>
        <v>0</v>
      </c>
      <c r="B2092" s="2">
        <v>42094.7360648148</v>
      </c>
      <c r="C2092">
        <v>0</v>
      </c>
      <c r="D2092">
        <v>0</v>
      </c>
      <c r="E2092" t="s">
        <v>2083</v>
      </c>
    </row>
    <row r="2093" spans="1:5">
      <c r="A2093">
        <f>HYPERLINK("http://www.twitter.com/nycoem/status/582904432779767808", "582904432779767808")</f>
        <v>0</v>
      </c>
      <c r="B2093" s="2">
        <v>42094.5812615741</v>
      </c>
      <c r="C2093">
        <v>0</v>
      </c>
      <c r="D2093">
        <v>6</v>
      </c>
      <c r="E2093" t="s">
        <v>2084</v>
      </c>
    </row>
    <row r="2094" spans="1:5">
      <c r="A2094">
        <f>HYPERLINK("http://www.twitter.com/nycoem/status/582656282286530561", "582656282286530561")</f>
        <v>0</v>
      </c>
      <c r="B2094" s="2">
        <v>42093.8964930556</v>
      </c>
      <c r="C2094">
        <v>10</v>
      </c>
      <c r="D2094">
        <v>13</v>
      </c>
      <c r="E2094" t="s">
        <v>2085</v>
      </c>
    </row>
    <row r="2095" spans="1:5">
      <c r="A2095">
        <f>HYPERLINK("http://www.twitter.com/nycoem/status/582620619285663745", "582620619285663745")</f>
        <v>0</v>
      </c>
      <c r="B2095" s="2">
        <v>42093.7980787037</v>
      </c>
      <c r="C2095">
        <v>0</v>
      </c>
      <c r="D2095">
        <v>7</v>
      </c>
      <c r="E2095" t="s">
        <v>2086</v>
      </c>
    </row>
    <row r="2096" spans="1:5">
      <c r="A2096">
        <f>HYPERLINK("http://www.twitter.com/nycoem/status/582620611396145153", "582620611396145153")</f>
        <v>0</v>
      </c>
      <c r="B2096" s="2">
        <v>42093.7980555556</v>
      </c>
      <c r="C2096">
        <v>0</v>
      </c>
      <c r="D2096">
        <v>6</v>
      </c>
      <c r="E2096" t="s">
        <v>2087</v>
      </c>
    </row>
    <row r="2097" spans="1:5">
      <c r="A2097">
        <f>HYPERLINK("http://www.twitter.com/nycoem/status/582620600721661952", "582620600721661952")</f>
        <v>0</v>
      </c>
      <c r="B2097" s="2">
        <v>42093.7980324074</v>
      </c>
      <c r="C2097">
        <v>0</v>
      </c>
      <c r="D2097">
        <v>8</v>
      </c>
      <c r="E2097" t="s">
        <v>2088</v>
      </c>
    </row>
    <row r="2098" spans="1:5">
      <c r="A2098">
        <f>HYPERLINK("http://www.twitter.com/nycoem/status/582620591884267521", "582620591884267521")</f>
        <v>0</v>
      </c>
      <c r="B2098" s="2">
        <v>42093.7980092593</v>
      </c>
      <c r="C2098">
        <v>0</v>
      </c>
      <c r="D2098">
        <v>8</v>
      </c>
      <c r="E2098" t="s">
        <v>2089</v>
      </c>
    </row>
    <row r="2099" spans="1:5">
      <c r="A2099">
        <f>HYPERLINK("http://www.twitter.com/nycoem/status/582610697118433281", "582610697118433281")</f>
        <v>0</v>
      </c>
      <c r="B2099" s="2">
        <v>42093.7707060185</v>
      </c>
      <c r="C2099">
        <v>4</v>
      </c>
      <c r="D2099">
        <v>12</v>
      </c>
      <c r="E2099" t="s">
        <v>2090</v>
      </c>
    </row>
    <row r="2100" spans="1:5">
      <c r="A2100">
        <f>HYPERLINK("http://www.twitter.com/nycoem/status/582542989068767232", "582542989068767232")</f>
        <v>0</v>
      </c>
      <c r="B2100" s="2">
        <v>42093.5838657407</v>
      </c>
      <c r="C2100">
        <v>2</v>
      </c>
      <c r="D2100">
        <v>10</v>
      </c>
      <c r="E2100" t="s">
        <v>2091</v>
      </c>
    </row>
    <row r="2101" spans="1:5">
      <c r="A2101">
        <f>HYPERLINK("http://www.twitter.com/nycoem/status/581906618494902272", "581906618494902272")</f>
        <v>0</v>
      </c>
      <c r="B2101" s="2">
        <v>42091.8278125</v>
      </c>
      <c r="C2101">
        <v>0</v>
      </c>
      <c r="D2101">
        <v>8</v>
      </c>
      <c r="E2101" t="s">
        <v>2092</v>
      </c>
    </row>
    <row r="2102" spans="1:5">
      <c r="A2102">
        <f>HYPERLINK("http://www.twitter.com/nycoem/status/581854405319913472", "581854405319913472")</f>
        <v>0</v>
      </c>
      <c r="B2102" s="2">
        <v>42091.6837384259</v>
      </c>
      <c r="C2102">
        <v>0</v>
      </c>
      <c r="D2102">
        <v>7</v>
      </c>
      <c r="E2102" t="s">
        <v>2093</v>
      </c>
    </row>
    <row r="2103" spans="1:5">
      <c r="A2103">
        <f>HYPERLINK("http://www.twitter.com/nycoem/status/581854286713364480", "581854286713364480")</f>
        <v>0</v>
      </c>
      <c r="B2103" s="2">
        <v>42091.6834027778</v>
      </c>
      <c r="C2103">
        <v>0</v>
      </c>
      <c r="D2103">
        <v>3</v>
      </c>
      <c r="E2103" t="s">
        <v>2094</v>
      </c>
    </row>
    <row r="2104" spans="1:5">
      <c r="A2104">
        <f>HYPERLINK("http://www.twitter.com/nycoem/status/581843285620219904", "581843285620219904")</f>
        <v>0</v>
      </c>
      <c r="B2104" s="2">
        <v>42091.6530555556</v>
      </c>
      <c r="C2104">
        <v>0</v>
      </c>
      <c r="D2104">
        <v>10</v>
      </c>
      <c r="E2104" t="s">
        <v>2095</v>
      </c>
    </row>
    <row r="2105" spans="1:5">
      <c r="A2105">
        <f>HYPERLINK("http://www.twitter.com/nycoem/status/581822846076346368", "581822846076346368")</f>
        <v>0</v>
      </c>
      <c r="B2105" s="2">
        <v>42091.5966435185</v>
      </c>
      <c r="C2105">
        <v>4</v>
      </c>
      <c r="D2105">
        <v>11</v>
      </c>
      <c r="E2105" t="s">
        <v>2096</v>
      </c>
    </row>
    <row r="2106" spans="1:5">
      <c r="A2106">
        <f>HYPERLINK("http://www.twitter.com/nycoem/status/581808550730682369", "581808550730682369")</f>
        <v>0</v>
      </c>
      <c r="B2106" s="2">
        <v>42091.5571990741</v>
      </c>
      <c r="C2106">
        <v>5</v>
      </c>
      <c r="D2106">
        <v>27</v>
      </c>
      <c r="E2106" t="s">
        <v>2097</v>
      </c>
    </row>
    <row r="2107" spans="1:5">
      <c r="A2107">
        <f>HYPERLINK("http://www.twitter.com/nycoem/status/581606741328134144", "581606741328134144")</f>
        <v>0</v>
      </c>
      <c r="B2107" s="2">
        <v>42091.0003125</v>
      </c>
      <c r="C2107">
        <v>0</v>
      </c>
      <c r="D2107">
        <v>3</v>
      </c>
      <c r="E2107" t="s">
        <v>2098</v>
      </c>
    </row>
    <row r="2108" spans="1:5">
      <c r="A2108">
        <f>HYPERLINK("http://www.twitter.com/nycoem/status/581561078250938368", "581561078250938368")</f>
        <v>0</v>
      </c>
      <c r="B2108" s="2">
        <v>42090.8743055556</v>
      </c>
      <c r="C2108">
        <v>0</v>
      </c>
      <c r="D2108">
        <v>13</v>
      </c>
      <c r="E2108" t="s">
        <v>2099</v>
      </c>
    </row>
    <row r="2109" spans="1:5">
      <c r="A2109">
        <f>HYPERLINK("http://www.twitter.com/nycoem/status/581537714165551104", "581537714165551104")</f>
        <v>0</v>
      </c>
      <c r="B2109" s="2">
        <v>42090.809837963</v>
      </c>
      <c r="C2109">
        <v>0</v>
      </c>
      <c r="D2109">
        <v>14</v>
      </c>
      <c r="E2109" t="s">
        <v>2100</v>
      </c>
    </row>
    <row r="2110" spans="1:5">
      <c r="A2110">
        <f>HYPERLINK("http://www.twitter.com/nycoem/status/581531337380753408", "581531337380753408")</f>
        <v>0</v>
      </c>
      <c r="B2110" s="2">
        <v>42090.7922337963</v>
      </c>
      <c r="C2110">
        <v>0</v>
      </c>
      <c r="D2110">
        <v>1</v>
      </c>
      <c r="E2110" t="s">
        <v>2101</v>
      </c>
    </row>
    <row r="2111" spans="1:5">
      <c r="A2111">
        <f>HYPERLINK("http://www.twitter.com/nycoem/status/581531297274851328", "581531297274851328")</f>
        <v>0</v>
      </c>
      <c r="B2111" s="2">
        <v>42090.7921296296</v>
      </c>
      <c r="C2111">
        <v>0</v>
      </c>
      <c r="D2111">
        <v>8</v>
      </c>
      <c r="E2111" t="s">
        <v>2102</v>
      </c>
    </row>
    <row r="2112" spans="1:5">
      <c r="A2112">
        <f>HYPERLINK("http://www.twitter.com/nycoem/status/581527536104050688", "581527536104050688")</f>
        <v>0</v>
      </c>
      <c r="B2112" s="2">
        <v>42090.7817476852</v>
      </c>
      <c r="C2112">
        <v>0</v>
      </c>
      <c r="D2112">
        <v>6</v>
      </c>
      <c r="E2112" t="s">
        <v>2103</v>
      </c>
    </row>
    <row r="2113" spans="1:5">
      <c r="A2113">
        <f>HYPERLINK("http://www.twitter.com/nycoem/status/581526395853135872", "581526395853135872")</f>
        <v>0</v>
      </c>
      <c r="B2113" s="2">
        <v>42090.778599537</v>
      </c>
      <c r="C2113">
        <v>0</v>
      </c>
      <c r="D2113">
        <v>22</v>
      </c>
      <c r="E2113" t="s">
        <v>2104</v>
      </c>
    </row>
    <row r="2114" spans="1:5">
      <c r="A2114">
        <f>HYPERLINK("http://www.twitter.com/nycoem/status/581525943963009025", "581525943963009025")</f>
        <v>0</v>
      </c>
      <c r="B2114" s="2">
        <v>42090.777349537</v>
      </c>
      <c r="C2114">
        <v>0</v>
      </c>
      <c r="D2114">
        <v>17</v>
      </c>
      <c r="E2114" t="s">
        <v>2105</v>
      </c>
    </row>
    <row r="2115" spans="1:5">
      <c r="A2115">
        <f>HYPERLINK("http://www.twitter.com/nycoem/status/581525082297786369", "581525082297786369")</f>
        <v>0</v>
      </c>
      <c r="B2115" s="2">
        <v>42090.7749768519</v>
      </c>
      <c r="C2115">
        <v>0</v>
      </c>
      <c r="D2115">
        <v>2</v>
      </c>
      <c r="E2115" t="s">
        <v>2106</v>
      </c>
    </row>
    <row r="2116" spans="1:5">
      <c r="A2116">
        <f>HYPERLINK("http://www.twitter.com/nycoem/status/581524153074905089", "581524153074905089")</f>
        <v>0</v>
      </c>
      <c r="B2116" s="2">
        <v>42090.7724074074</v>
      </c>
      <c r="C2116">
        <v>0</v>
      </c>
      <c r="D2116">
        <v>8</v>
      </c>
      <c r="E2116" t="s">
        <v>2107</v>
      </c>
    </row>
    <row r="2117" spans="1:5">
      <c r="A2117">
        <f>HYPERLINK("http://www.twitter.com/nycoem/status/581524142249402368", "581524142249402368")</f>
        <v>0</v>
      </c>
      <c r="B2117" s="2">
        <v>42090.7723842593</v>
      </c>
      <c r="C2117">
        <v>0</v>
      </c>
      <c r="D2117">
        <v>3</v>
      </c>
      <c r="E2117" t="s">
        <v>2108</v>
      </c>
    </row>
    <row r="2118" spans="1:5">
      <c r="A2118">
        <f>HYPERLINK("http://www.twitter.com/nycoem/status/581524131428081665", "581524131428081665")</f>
        <v>0</v>
      </c>
      <c r="B2118" s="2">
        <v>42090.772349537</v>
      </c>
      <c r="C2118">
        <v>0</v>
      </c>
      <c r="D2118">
        <v>7</v>
      </c>
      <c r="E2118" t="s">
        <v>2109</v>
      </c>
    </row>
    <row r="2119" spans="1:5">
      <c r="A2119">
        <f>HYPERLINK("http://www.twitter.com/nycoem/status/581522252690300928", "581522252690300928")</f>
        <v>0</v>
      </c>
      <c r="B2119" s="2">
        <v>42090.7671643519</v>
      </c>
      <c r="C2119">
        <v>0</v>
      </c>
      <c r="D2119">
        <v>18</v>
      </c>
      <c r="E2119" t="s">
        <v>2110</v>
      </c>
    </row>
    <row r="2120" spans="1:5">
      <c r="A2120">
        <f>HYPERLINK("http://www.twitter.com/nycoem/status/581522242502303745", "581522242502303745")</f>
        <v>0</v>
      </c>
      <c r="B2120" s="2">
        <v>42090.7671412037</v>
      </c>
      <c r="C2120">
        <v>0</v>
      </c>
      <c r="D2120">
        <v>14</v>
      </c>
      <c r="E2120" t="s">
        <v>2111</v>
      </c>
    </row>
    <row r="2121" spans="1:5">
      <c r="A2121">
        <f>HYPERLINK("http://www.twitter.com/nycoem/status/581522235221012480", "581522235221012480")</f>
        <v>0</v>
      </c>
      <c r="B2121" s="2">
        <v>42090.7671180556</v>
      </c>
      <c r="C2121">
        <v>0</v>
      </c>
      <c r="D2121">
        <v>6</v>
      </c>
      <c r="E2121" t="s">
        <v>2112</v>
      </c>
    </row>
    <row r="2122" spans="1:5">
      <c r="A2122">
        <f>HYPERLINK("http://www.twitter.com/nycoem/status/581522224710053889", "581522224710053889")</f>
        <v>0</v>
      </c>
      <c r="B2122" s="2">
        <v>42090.7670949074</v>
      </c>
      <c r="C2122">
        <v>0</v>
      </c>
      <c r="D2122">
        <v>13</v>
      </c>
      <c r="E2122" t="s">
        <v>2113</v>
      </c>
    </row>
    <row r="2123" spans="1:5">
      <c r="A2123">
        <f>HYPERLINK("http://www.twitter.com/nycoem/status/581521905389309953", "581521905389309953")</f>
        <v>0</v>
      </c>
      <c r="B2123" s="2">
        <v>42090.7662152778</v>
      </c>
      <c r="C2123">
        <v>0</v>
      </c>
      <c r="D2123">
        <v>6</v>
      </c>
      <c r="E2123" t="s">
        <v>2114</v>
      </c>
    </row>
    <row r="2124" spans="1:5">
      <c r="A2124">
        <f>HYPERLINK("http://www.twitter.com/nycoem/status/581521897353035778", "581521897353035778")</f>
        <v>0</v>
      </c>
      <c r="B2124" s="2">
        <v>42090.7661921296</v>
      </c>
      <c r="C2124">
        <v>0</v>
      </c>
      <c r="D2124">
        <v>14</v>
      </c>
      <c r="E2124" t="s">
        <v>2115</v>
      </c>
    </row>
    <row r="2125" spans="1:5">
      <c r="A2125">
        <f>HYPERLINK("http://www.twitter.com/nycoem/status/581521886108131328", "581521886108131328")</f>
        <v>0</v>
      </c>
      <c r="B2125" s="2">
        <v>42090.7661574074</v>
      </c>
      <c r="C2125">
        <v>0</v>
      </c>
      <c r="D2125">
        <v>16</v>
      </c>
      <c r="E2125" t="s">
        <v>2116</v>
      </c>
    </row>
    <row r="2126" spans="1:5">
      <c r="A2126">
        <f>HYPERLINK("http://www.twitter.com/nycoem/status/581521876851232769", "581521876851232769")</f>
        <v>0</v>
      </c>
      <c r="B2126" s="2">
        <v>42090.7661342593</v>
      </c>
      <c r="C2126">
        <v>0</v>
      </c>
      <c r="D2126">
        <v>12</v>
      </c>
      <c r="E2126" t="s">
        <v>2117</v>
      </c>
    </row>
    <row r="2127" spans="1:5">
      <c r="A2127">
        <f>HYPERLINK("http://www.twitter.com/nycoem/status/581521863681130497", "581521863681130497")</f>
        <v>0</v>
      </c>
      <c r="B2127" s="2">
        <v>42090.766099537</v>
      </c>
      <c r="C2127">
        <v>0</v>
      </c>
      <c r="D2127">
        <v>9</v>
      </c>
      <c r="E2127" t="s">
        <v>2118</v>
      </c>
    </row>
    <row r="2128" spans="1:5">
      <c r="A2128">
        <f>HYPERLINK("http://www.twitter.com/nycoem/status/581521851714797568", "581521851714797568")</f>
        <v>0</v>
      </c>
      <c r="B2128" s="2">
        <v>42090.7660648148</v>
      </c>
      <c r="C2128">
        <v>0</v>
      </c>
      <c r="D2128">
        <v>12</v>
      </c>
      <c r="E2128" t="s">
        <v>2119</v>
      </c>
    </row>
    <row r="2129" spans="1:5">
      <c r="A2129">
        <f>HYPERLINK("http://www.twitter.com/nycoem/status/581521841598140416", "581521841598140416")</f>
        <v>0</v>
      </c>
      <c r="B2129" s="2">
        <v>42090.7660300926</v>
      </c>
      <c r="C2129">
        <v>0</v>
      </c>
      <c r="D2129">
        <v>5</v>
      </c>
      <c r="E2129" t="s">
        <v>2120</v>
      </c>
    </row>
    <row r="2130" spans="1:5">
      <c r="A2130">
        <f>HYPERLINK("http://www.twitter.com/nycoem/status/581521799462182912", "581521799462182912")</f>
        <v>0</v>
      </c>
      <c r="B2130" s="2">
        <v>42090.7659143519</v>
      </c>
      <c r="C2130">
        <v>0</v>
      </c>
      <c r="D2130">
        <v>10</v>
      </c>
      <c r="E2130" t="s">
        <v>2121</v>
      </c>
    </row>
    <row r="2131" spans="1:5">
      <c r="A2131">
        <f>HYPERLINK("http://www.twitter.com/nycoem/status/581521760681635840", "581521760681635840")</f>
        <v>0</v>
      </c>
      <c r="B2131" s="2">
        <v>42090.7658101852</v>
      </c>
      <c r="C2131">
        <v>0</v>
      </c>
      <c r="D2131">
        <v>13</v>
      </c>
      <c r="E2131" t="s">
        <v>2122</v>
      </c>
    </row>
    <row r="2132" spans="1:5">
      <c r="A2132">
        <f>HYPERLINK("http://www.twitter.com/nycoem/status/581521752687316993", "581521752687316993")</f>
        <v>0</v>
      </c>
      <c r="B2132" s="2">
        <v>42090.765787037</v>
      </c>
      <c r="C2132">
        <v>0</v>
      </c>
      <c r="D2132">
        <v>38</v>
      </c>
      <c r="E2132" t="s">
        <v>2123</v>
      </c>
    </row>
    <row r="2133" spans="1:5">
      <c r="A2133">
        <f>HYPERLINK("http://www.twitter.com/nycoem/status/581521740972437504", "581521740972437504")</f>
        <v>0</v>
      </c>
      <c r="B2133" s="2">
        <v>42090.7657523148</v>
      </c>
      <c r="C2133">
        <v>0</v>
      </c>
      <c r="D2133">
        <v>17</v>
      </c>
      <c r="E2133" t="s">
        <v>2124</v>
      </c>
    </row>
    <row r="2134" spans="1:5">
      <c r="A2134">
        <f>HYPERLINK("http://www.twitter.com/nycoem/status/581521729232744448", "581521729232744448")</f>
        <v>0</v>
      </c>
      <c r="B2134" s="2">
        <v>42090.7657291667</v>
      </c>
      <c r="C2134">
        <v>0</v>
      </c>
      <c r="D2134">
        <v>9</v>
      </c>
      <c r="E2134" t="s">
        <v>2125</v>
      </c>
    </row>
    <row r="2135" spans="1:5">
      <c r="A2135">
        <f>HYPERLINK("http://www.twitter.com/nycoem/status/581521720500191232", "581521720500191232")</f>
        <v>0</v>
      </c>
      <c r="B2135" s="2">
        <v>42090.7656944444</v>
      </c>
      <c r="C2135">
        <v>0</v>
      </c>
      <c r="D2135">
        <v>13</v>
      </c>
      <c r="E2135" t="s">
        <v>2126</v>
      </c>
    </row>
    <row r="2136" spans="1:5">
      <c r="A2136">
        <f>HYPERLINK("http://www.twitter.com/nycoem/status/581518842268164098", "581518842268164098")</f>
        <v>0</v>
      </c>
      <c r="B2136" s="2">
        <v>42090.7577546296</v>
      </c>
      <c r="C2136">
        <v>2</v>
      </c>
      <c r="D2136">
        <v>4</v>
      </c>
      <c r="E2136" t="s">
        <v>2127</v>
      </c>
    </row>
    <row r="2137" spans="1:5">
      <c r="A2137">
        <f>HYPERLINK("http://www.twitter.com/nycoem/status/581513838916435968", "581513838916435968")</f>
        <v>0</v>
      </c>
      <c r="B2137" s="2">
        <v>42090.7439467593</v>
      </c>
      <c r="C2137">
        <v>1</v>
      </c>
      <c r="D2137">
        <v>4</v>
      </c>
      <c r="E2137" t="s">
        <v>2128</v>
      </c>
    </row>
    <row r="2138" spans="1:5">
      <c r="A2138">
        <f>HYPERLINK("http://www.twitter.com/nycoem/status/581479344658345985", "581479344658345985")</f>
        <v>0</v>
      </c>
      <c r="B2138" s="2">
        <v>42090.6487615741</v>
      </c>
      <c r="C2138">
        <v>6</v>
      </c>
      <c r="D2138">
        <v>20</v>
      </c>
      <c r="E2138" t="s">
        <v>2129</v>
      </c>
    </row>
    <row r="2139" spans="1:5">
      <c r="A2139">
        <f>HYPERLINK("http://www.twitter.com/nycoem/status/581457127094530049", "581457127094530049")</f>
        <v>0</v>
      </c>
      <c r="B2139" s="2">
        <v>42090.5874537037</v>
      </c>
      <c r="C2139">
        <v>1</v>
      </c>
      <c r="D2139">
        <v>5</v>
      </c>
      <c r="E2139" t="s">
        <v>2130</v>
      </c>
    </row>
    <row r="2140" spans="1:5">
      <c r="A2140">
        <f>HYPERLINK("http://www.twitter.com/nycoem/status/581442576588390400", "581442576588390400")</f>
        <v>0</v>
      </c>
      <c r="B2140" s="2">
        <v>42090.5473032407</v>
      </c>
      <c r="C2140">
        <v>3</v>
      </c>
      <c r="D2140">
        <v>14</v>
      </c>
      <c r="E2140" t="s">
        <v>2131</v>
      </c>
    </row>
    <row r="2141" spans="1:5">
      <c r="A2141">
        <f>HYPERLINK("http://www.twitter.com/nycoem/status/581441651001942016", "581441651001942016")</f>
        <v>0</v>
      </c>
      <c r="B2141" s="2">
        <v>42090.5447453704</v>
      </c>
      <c r="C2141">
        <v>0</v>
      </c>
      <c r="D2141">
        <v>2</v>
      </c>
      <c r="E2141" t="s">
        <v>2132</v>
      </c>
    </row>
    <row r="2142" spans="1:5">
      <c r="A2142">
        <f>HYPERLINK("http://www.twitter.com/nycoem/status/581436039262240769", "581436039262240769")</f>
        <v>0</v>
      </c>
      <c r="B2142" s="2">
        <v>42090.5292592593</v>
      </c>
      <c r="C2142">
        <v>15</v>
      </c>
      <c r="D2142">
        <v>62</v>
      </c>
      <c r="E2142" t="s">
        <v>2133</v>
      </c>
    </row>
    <row r="2143" spans="1:5">
      <c r="A2143">
        <f>HYPERLINK("http://www.twitter.com/nycoem/status/581313400619290625", "581313400619290625")</f>
        <v>0</v>
      </c>
      <c r="B2143" s="2">
        <v>42090.1908449074</v>
      </c>
      <c r="C2143">
        <v>0</v>
      </c>
      <c r="D2143">
        <v>52</v>
      </c>
      <c r="E2143" t="s">
        <v>2134</v>
      </c>
    </row>
    <row r="2144" spans="1:5">
      <c r="A2144">
        <f>HYPERLINK("http://www.twitter.com/nycoem/status/581304052706877441", "581304052706877441")</f>
        <v>0</v>
      </c>
      <c r="B2144" s="2">
        <v>42090.1650462963</v>
      </c>
      <c r="C2144">
        <v>5</v>
      </c>
      <c r="D2144">
        <v>13</v>
      </c>
      <c r="E2144" t="s">
        <v>2135</v>
      </c>
    </row>
    <row r="2145" spans="1:5">
      <c r="A2145">
        <f>HYPERLINK("http://www.twitter.com/nycoem/status/581237547713622016", "581237547713622016")</f>
        <v>0</v>
      </c>
      <c r="B2145" s="2">
        <v>42089.9815277778</v>
      </c>
      <c r="C2145">
        <v>0</v>
      </c>
      <c r="D2145">
        <v>6</v>
      </c>
      <c r="E2145" t="s">
        <v>2136</v>
      </c>
    </row>
    <row r="2146" spans="1:5">
      <c r="A2146">
        <f>HYPERLINK("http://www.twitter.com/nycoem/status/581223855181709312", "581223855181709312")</f>
        <v>0</v>
      </c>
      <c r="B2146" s="2">
        <v>42089.94375</v>
      </c>
      <c r="C2146">
        <v>7</v>
      </c>
      <c r="D2146">
        <v>22</v>
      </c>
      <c r="E2146" t="s">
        <v>2137</v>
      </c>
    </row>
    <row r="2147" spans="1:5">
      <c r="A2147">
        <f>HYPERLINK("http://www.twitter.com/nycoem/status/581215149807259648", "581215149807259648")</f>
        <v>0</v>
      </c>
      <c r="B2147" s="2">
        <v>42089.9197222222</v>
      </c>
      <c r="C2147">
        <v>5</v>
      </c>
      <c r="D2147">
        <v>29</v>
      </c>
      <c r="E2147" t="s">
        <v>2138</v>
      </c>
    </row>
    <row r="2148" spans="1:5">
      <c r="A2148">
        <f>HYPERLINK("http://www.twitter.com/nycoem/status/581212849663512576", "581212849663512576")</f>
        <v>0</v>
      </c>
      <c r="B2148" s="2">
        <v>42089.9133796296</v>
      </c>
      <c r="C2148">
        <v>0</v>
      </c>
      <c r="D2148">
        <v>31</v>
      </c>
      <c r="E2148" t="s">
        <v>2139</v>
      </c>
    </row>
    <row r="2149" spans="1:5">
      <c r="A2149">
        <f>HYPERLINK("http://www.twitter.com/nycoem/status/581212842252193792", "581212842252193792")</f>
        <v>0</v>
      </c>
      <c r="B2149" s="2">
        <v>42089.9133564815</v>
      </c>
      <c r="C2149">
        <v>0</v>
      </c>
      <c r="D2149">
        <v>28</v>
      </c>
      <c r="E2149" t="s">
        <v>2140</v>
      </c>
    </row>
    <row r="2150" spans="1:5">
      <c r="A2150">
        <f>HYPERLINK("http://www.twitter.com/nycoem/status/581211442608766976", "581211442608766976")</f>
        <v>0</v>
      </c>
      <c r="B2150" s="2">
        <v>42089.9094907407</v>
      </c>
      <c r="C2150">
        <v>0</v>
      </c>
      <c r="D2150">
        <v>13</v>
      </c>
      <c r="E2150" t="s">
        <v>2141</v>
      </c>
    </row>
    <row r="2151" spans="1:5">
      <c r="A2151">
        <f>HYPERLINK("http://www.twitter.com/nycoem/status/581211432693473281", "581211432693473281")</f>
        <v>0</v>
      </c>
      <c r="B2151" s="2">
        <v>42089.9094675926</v>
      </c>
      <c r="C2151">
        <v>0</v>
      </c>
      <c r="D2151">
        <v>103</v>
      </c>
      <c r="E2151" t="s">
        <v>2142</v>
      </c>
    </row>
    <row r="2152" spans="1:5">
      <c r="A2152">
        <f>HYPERLINK("http://www.twitter.com/nycoem/status/581209982613512192", "581209982613512192")</f>
        <v>0</v>
      </c>
      <c r="B2152" s="2">
        <v>42089.905462963</v>
      </c>
      <c r="C2152">
        <v>0</v>
      </c>
      <c r="D2152">
        <v>43</v>
      </c>
      <c r="E2152" t="s">
        <v>2143</v>
      </c>
    </row>
    <row r="2153" spans="1:5">
      <c r="A2153">
        <f>HYPERLINK("http://www.twitter.com/nycoem/status/581209964313710592", "581209964313710592")</f>
        <v>0</v>
      </c>
      <c r="B2153" s="2">
        <v>42089.9054166667</v>
      </c>
      <c r="C2153">
        <v>0</v>
      </c>
      <c r="D2153">
        <v>30</v>
      </c>
      <c r="E2153" t="s">
        <v>2144</v>
      </c>
    </row>
    <row r="2154" spans="1:5">
      <c r="A2154">
        <f>HYPERLINK("http://www.twitter.com/nycoem/status/581209941438005252", "581209941438005252")</f>
        <v>0</v>
      </c>
      <c r="B2154" s="2">
        <v>42089.9053587963</v>
      </c>
      <c r="C2154">
        <v>0</v>
      </c>
      <c r="D2154">
        <v>14</v>
      </c>
      <c r="E2154" t="s">
        <v>2145</v>
      </c>
    </row>
    <row r="2155" spans="1:5">
      <c r="A2155">
        <f>HYPERLINK("http://www.twitter.com/nycoem/status/581209917438181377", "581209917438181377")</f>
        <v>0</v>
      </c>
      <c r="B2155" s="2">
        <v>42089.9052893519</v>
      </c>
      <c r="C2155">
        <v>0</v>
      </c>
      <c r="D2155">
        <v>15</v>
      </c>
      <c r="E2155" t="s">
        <v>2146</v>
      </c>
    </row>
    <row r="2156" spans="1:5">
      <c r="A2156">
        <f>HYPERLINK("http://www.twitter.com/nycoem/status/581209907707437057", "581209907707437057")</f>
        <v>0</v>
      </c>
      <c r="B2156" s="2">
        <v>42089.9052662037</v>
      </c>
      <c r="C2156">
        <v>0</v>
      </c>
      <c r="D2156">
        <v>19</v>
      </c>
      <c r="E2156" t="s">
        <v>2147</v>
      </c>
    </row>
    <row r="2157" spans="1:5">
      <c r="A2157">
        <f>HYPERLINK("http://www.twitter.com/nycoem/status/581209895422332928", "581209895422332928")</f>
        <v>0</v>
      </c>
      <c r="B2157" s="2">
        <v>42089.9052314815</v>
      </c>
      <c r="C2157">
        <v>0</v>
      </c>
      <c r="D2157">
        <v>44</v>
      </c>
      <c r="E2157" t="s">
        <v>2148</v>
      </c>
    </row>
    <row r="2158" spans="1:5">
      <c r="A2158">
        <f>HYPERLINK("http://www.twitter.com/nycoem/status/581209881182617601", "581209881182617601")</f>
        <v>0</v>
      </c>
      <c r="B2158" s="2">
        <v>42089.9051851852</v>
      </c>
      <c r="C2158">
        <v>0</v>
      </c>
      <c r="D2158">
        <v>32</v>
      </c>
      <c r="E2158" t="s">
        <v>2149</v>
      </c>
    </row>
    <row r="2159" spans="1:5">
      <c r="A2159">
        <f>HYPERLINK("http://www.twitter.com/nycoem/status/581209229618450432", "581209229618450432")</f>
        <v>0</v>
      </c>
      <c r="B2159" s="2">
        <v>42089.9033912037</v>
      </c>
      <c r="C2159">
        <v>0</v>
      </c>
      <c r="D2159">
        <v>25</v>
      </c>
      <c r="E2159" t="s">
        <v>2150</v>
      </c>
    </row>
    <row r="2160" spans="1:5">
      <c r="A2160">
        <f>HYPERLINK("http://www.twitter.com/nycoem/status/581193954256916480", "581193954256916480")</f>
        <v>0</v>
      </c>
      <c r="B2160" s="2">
        <v>42089.8612384259</v>
      </c>
      <c r="C2160">
        <v>0</v>
      </c>
      <c r="D2160">
        <v>55</v>
      </c>
      <c r="E2160" t="s">
        <v>2151</v>
      </c>
    </row>
    <row r="2161" spans="1:5">
      <c r="A2161">
        <f>HYPERLINK("http://www.twitter.com/nycoem/status/581187203902136320", "581187203902136320")</f>
        <v>0</v>
      </c>
      <c r="B2161" s="2">
        <v>42089.8426157407</v>
      </c>
      <c r="C2161">
        <v>1</v>
      </c>
      <c r="D2161">
        <v>9</v>
      </c>
      <c r="E2161" t="s">
        <v>2152</v>
      </c>
    </row>
    <row r="2162" spans="1:5">
      <c r="A2162">
        <f>HYPERLINK("http://www.twitter.com/nycoem/status/581186358972162049", "581186358972162049")</f>
        <v>0</v>
      </c>
      <c r="B2162" s="2">
        <v>42089.8402777778</v>
      </c>
      <c r="C2162">
        <v>0</v>
      </c>
      <c r="D2162">
        <v>5</v>
      </c>
      <c r="E2162" t="s">
        <v>2153</v>
      </c>
    </row>
    <row r="2163" spans="1:5">
      <c r="A2163">
        <f>HYPERLINK("http://www.twitter.com/nycoem/status/581184025001357312", "581184025001357312")</f>
        <v>0</v>
      </c>
      <c r="B2163" s="2">
        <v>42089.8338425926</v>
      </c>
      <c r="C2163">
        <v>0</v>
      </c>
      <c r="D2163">
        <v>136</v>
      </c>
      <c r="E2163" t="s">
        <v>2154</v>
      </c>
    </row>
    <row r="2164" spans="1:5">
      <c r="A2164">
        <f>HYPERLINK("http://www.twitter.com/nycoem/status/581182056211877888", "581182056211877888")</f>
        <v>0</v>
      </c>
      <c r="B2164" s="2">
        <v>42089.8284027778</v>
      </c>
      <c r="C2164">
        <v>19</v>
      </c>
      <c r="D2164">
        <v>114</v>
      </c>
      <c r="E2164" t="s">
        <v>2155</v>
      </c>
    </row>
    <row r="2165" spans="1:5">
      <c r="A2165">
        <f>HYPERLINK("http://www.twitter.com/nycoem/status/581126188757872640", "581126188757872640")</f>
        <v>0</v>
      </c>
      <c r="B2165" s="2">
        <v>42089.6742361111</v>
      </c>
      <c r="C2165">
        <v>2</v>
      </c>
      <c r="D2165">
        <v>7</v>
      </c>
      <c r="E2165" t="s">
        <v>2156</v>
      </c>
    </row>
    <row r="2166" spans="1:5">
      <c r="A2166">
        <f>HYPERLINK("http://www.twitter.com/nycoem/status/581079802767110144", "581079802767110144")</f>
        <v>0</v>
      </c>
      <c r="B2166" s="2">
        <v>42089.5462384259</v>
      </c>
      <c r="C2166">
        <v>0</v>
      </c>
      <c r="D2166">
        <v>0</v>
      </c>
      <c r="E2166" t="s">
        <v>2157</v>
      </c>
    </row>
    <row r="2167" spans="1:5">
      <c r="A2167">
        <f>HYPERLINK("http://www.twitter.com/nycoem/status/580806898817081344", "580806898817081344")</f>
        <v>0</v>
      </c>
      <c r="B2167" s="2">
        <v>42088.7931712963</v>
      </c>
      <c r="C2167">
        <v>1</v>
      </c>
      <c r="D2167">
        <v>3</v>
      </c>
      <c r="E2167" t="s">
        <v>2158</v>
      </c>
    </row>
    <row r="2168" spans="1:5">
      <c r="A2168">
        <f>HYPERLINK("http://www.twitter.com/nycoem/status/580757499806121984", "580757499806121984")</f>
        <v>0</v>
      </c>
      <c r="B2168" s="2">
        <v>42088.6568518519</v>
      </c>
      <c r="C2168">
        <v>2</v>
      </c>
      <c r="D2168">
        <v>4</v>
      </c>
      <c r="E2168" t="s">
        <v>2159</v>
      </c>
    </row>
    <row r="2169" spans="1:5">
      <c r="A2169">
        <f>HYPERLINK("http://www.twitter.com/nycoem/status/580493177481723905", "580493177481723905")</f>
        <v>0</v>
      </c>
      <c r="B2169" s="2">
        <v>42087.9274652778</v>
      </c>
      <c r="C2169">
        <v>0</v>
      </c>
      <c r="D2169">
        <v>2</v>
      </c>
      <c r="E2169" t="s">
        <v>2160</v>
      </c>
    </row>
    <row r="2170" spans="1:5">
      <c r="A2170">
        <f>HYPERLINK("http://www.twitter.com/nycoem/status/580396188815491072", "580396188815491072")</f>
        <v>0</v>
      </c>
      <c r="B2170" s="2">
        <v>42087.6598263889</v>
      </c>
      <c r="C2170">
        <v>1</v>
      </c>
      <c r="D2170">
        <v>1</v>
      </c>
      <c r="E2170" t="s">
        <v>2161</v>
      </c>
    </row>
    <row r="2171" spans="1:5">
      <c r="A2171">
        <f>HYPERLINK("http://www.twitter.com/nycoem/status/580372333296267264", "580372333296267264")</f>
        <v>0</v>
      </c>
      <c r="B2171" s="2">
        <v>42087.5939930556</v>
      </c>
      <c r="C2171">
        <v>1</v>
      </c>
      <c r="D2171">
        <v>5</v>
      </c>
      <c r="E2171" t="s">
        <v>2162</v>
      </c>
    </row>
    <row r="2172" spans="1:5">
      <c r="A2172">
        <f>HYPERLINK("http://www.twitter.com/nycoem/status/580079278865305601", "580079278865305601")</f>
        <v>0</v>
      </c>
      <c r="B2172" s="2">
        <v>42086.7853240741</v>
      </c>
      <c r="C2172">
        <v>1</v>
      </c>
      <c r="D2172">
        <v>3</v>
      </c>
      <c r="E2172" t="s">
        <v>2163</v>
      </c>
    </row>
    <row r="2173" spans="1:5">
      <c r="A2173">
        <f>HYPERLINK("http://www.twitter.com/nycoem/status/580036649226240001", "580036649226240001")</f>
        <v>0</v>
      </c>
      <c r="B2173" s="2">
        <v>42086.6676851852</v>
      </c>
      <c r="C2173">
        <v>2</v>
      </c>
      <c r="D2173">
        <v>3</v>
      </c>
      <c r="E2173" t="s">
        <v>2164</v>
      </c>
    </row>
    <row r="2174" spans="1:5">
      <c r="A2174">
        <f>HYPERLINK("http://www.twitter.com/nycoem/status/579991703446274048", "579991703446274048")</f>
        <v>0</v>
      </c>
      <c r="B2174" s="2">
        <v>42086.5436574074</v>
      </c>
      <c r="C2174">
        <v>0</v>
      </c>
      <c r="D2174">
        <v>0</v>
      </c>
      <c r="E2174" t="s">
        <v>2165</v>
      </c>
    </row>
    <row r="2175" spans="1:5">
      <c r="A2175">
        <f>HYPERLINK("http://www.twitter.com/nycoem/status/579989841724727296", "579989841724727296")</f>
        <v>0</v>
      </c>
      <c r="B2175" s="2">
        <v>42086.5385185185</v>
      </c>
      <c r="C2175">
        <v>1</v>
      </c>
      <c r="D2175">
        <v>4</v>
      </c>
      <c r="E2175" t="s">
        <v>2166</v>
      </c>
    </row>
    <row r="2176" spans="1:5">
      <c r="A2176">
        <f>HYPERLINK("http://www.twitter.com/nycoem/status/579052152011776000", "579052152011776000")</f>
        <v>0</v>
      </c>
      <c r="B2176" s="2">
        <v>42083.9509837963</v>
      </c>
      <c r="C2176">
        <v>2</v>
      </c>
      <c r="D2176">
        <v>7</v>
      </c>
      <c r="E2176" t="s">
        <v>2167</v>
      </c>
    </row>
    <row r="2177" spans="1:5">
      <c r="A2177">
        <f>HYPERLINK("http://www.twitter.com/nycoem/status/578988875856633856", "578988875856633856")</f>
        <v>0</v>
      </c>
      <c r="B2177" s="2">
        <v>42083.7763773148</v>
      </c>
      <c r="C2177">
        <v>1</v>
      </c>
      <c r="D2177">
        <v>2</v>
      </c>
      <c r="E2177" t="s">
        <v>2168</v>
      </c>
    </row>
    <row r="2178" spans="1:5">
      <c r="A2178">
        <f>HYPERLINK("http://www.twitter.com/nycoem/status/578936921105137664", "578936921105137664")</f>
        <v>0</v>
      </c>
      <c r="B2178" s="2">
        <v>42083.6330092593</v>
      </c>
      <c r="C2178">
        <v>0</v>
      </c>
      <c r="D2178">
        <v>9</v>
      </c>
      <c r="E2178" t="s">
        <v>2169</v>
      </c>
    </row>
    <row r="2179" spans="1:5">
      <c r="A2179">
        <f>HYPERLINK("http://www.twitter.com/nycoem/status/578931250385330177", "578931250385330177")</f>
        <v>0</v>
      </c>
      <c r="B2179" s="2">
        <v>42083.6173611111</v>
      </c>
      <c r="C2179">
        <v>0</v>
      </c>
      <c r="D2179">
        <v>16</v>
      </c>
      <c r="E2179" t="s">
        <v>2170</v>
      </c>
    </row>
    <row r="2180" spans="1:5">
      <c r="A2180">
        <f>HYPERLINK("http://www.twitter.com/nycoem/status/578931117191012353", "578931117191012353")</f>
        <v>0</v>
      </c>
      <c r="B2180" s="2">
        <v>42083.6170023148</v>
      </c>
      <c r="C2180">
        <v>0</v>
      </c>
      <c r="D2180">
        <v>3</v>
      </c>
      <c r="E2180" t="s">
        <v>2171</v>
      </c>
    </row>
    <row r="2181" spans="1:5">
      <c r="A2181">
        <f>HYPERLINK("http://www.twitter.com/nycoem/status/578905232412930048", "578905232412930048")</f>
        <v>0</v>
      </c>
      <c r="B2181" s="2">
        <v>42083.5455671296</v>
      </c>
      <c r="C2181">
        <v>0</v>
      </c>
      <c r="D2181">
        <v>1</v>
      </c>
      <c r="E2181" t="s">
        <v>2172</v>
      </c>
    </row>
    <row r="2182" spans="1:5">
      <c r="A2182">
        <f>HYPERLINK("http://www.twitter.com/nycoem/status/578656201543716865", "578656201543716865")</f>
        <v>0</v>
      </c>
      <c r="B2182" s="2">
        <v>42082.8583796296</v>
      </c>
      <c r="C2182">
        <v>1</v>
      </c>
      <c r="D2182">
        <v>4</v>
      </c>
      <c r="E2182" t="s">
        <v>2173</v>
      </c>
    </row>
    <row r="2183" spans="1:5">
      <c r="A2183">
        <f>HYPERLINK("http://www.twitter.com/nycoem/status/578646780969107456", "578646780969107456")</f>
        <v>0</v>
      </c>
      <c r="B2183" s="2">
        <v>42082.8323726852</v>
      </c>
      <c r="C2183">
        <v>4</v>
      </c>
      <c r="D2183">
        <v>10</v>
      </c>
      <c r="E2183" t="s">
        <v>2174</v>
      </c>
    </row>
    <row r="2184" spans="1:5">
      <c r="A2184">
        <f>HYPERLINK("http://www.twitter.com/nycoem/status/578593307141488640", "578593307141488640")</f>
        <v>0</v>
      </c>
      <c r="B2184" s="2">
        <v>42082.6848148148</v>
      </c>
      <c r="C2184">
        <v>0</v>
      </c>
      <c r="D2184">
        <v>19</v>
      </c>
      <c r="E2184" t="s">
        <v>2175</v>
      </c>
    </row>
    <row r="2185" spans="1:5">
      <c r="A2185">
        <f>HYPERLINK("http://www.twitter.com/nycoem/status/578589125890179072", "578589125890179072")</f>
        <v>0</v>
      </c>
      <c r="B2185" s="2">
        <v>42082.673275463</v>
      </c>
      <c r="C2185">
        <v>0</v>
      </c>
      <c r="D2185">
        <v>2</v>
      </c>
      <c r="E2185" t="s">
        <v>2176</v>
      </c>
    </row>
    <row r="2186" spans="1:5">
      <c r="A2186">
        <f>HYPERLINK("http://www.twitter.com/nycoem/status/578588990363799553", "578588990363799553")</f>
        <v>0</v>
      </c>
      <c r="B2186" s="2">
        <v>42082.6729050926</v>
      </c>
      <c r="C2186">
        <v>0</v>
      </c>
      <c r="D2186">
        <v>0</v>
      </c>
      <c r="E2186" t="s">
        <v>2177</v>
      </c>
    </row>
    <row r="2187" spans="1:5">
      <c r="A2187">
        <f>HYPERLINK("http://www.twitter.com/nycoem/status/578547187526799360", "578547187526799360")</f>
        <v>0</v>
      </c>
      <c r="B2187" s="2">
        <v>42082.5575578704</v>
      </c>
      <c r="C2187">
        <v>0</v>
      </c>
      <c r="D2187">
        <v>6</v>
      </c>
      <c r="E2187" t="s">
        <v>2178</v>
      </c>
    </row>
    <row r="2188" spans="1:5">
      <c r="A2188">
        <f>HYPERLINK("http://www.twitter.com/nycoem/status/578329095924281347", "578329095924281347")</f>
        <v>0</v>
      </c>
      <c r="B2188" s="2">
        <v>42081.9557291667</v>
      </c>
      <c r="C2188">
        <v>2</v>
      </c>
      <c r="D2188">
        <v>6</v>
      </c>
      <c r="E2188" t="s">
        <v>2179</v>
      </c>
    </row>
    <row r="2189" spans="1:5">
      <c r="A2189">
        <f>HYPERLINK("http://www.twitter.com/nycoem/status/578316289996906496", "578316289996906496")</f>
        <v>0</v>
      </c>
      <c r="B2189" s="2">
        <v>42081.9203935185</v>
      </c>
      <c r="C2189">
        <v>1</v>
      </c>
      <c r="D2189">
        <v>3</v>
      </c>
      <c r="E2189" t="s">
        <v>2180</v>
      </c>
    </row>
    <row r="2190" spans="1:5">
      <c r="A2190">
        <f>HYPERLINK("http://www.twitter.com/nycoem/status/578244272463454208", "578244272463454208")</f>
        <v>0</v>
      </c>
      <c r="B2190" s="2">
        <v>42081.7216666667</v>
      </c>
      <c r="C2190">
        <v>4</v>
      </c>
      <c r="D2190">
        <v>2</v>
      </c>
      <c r="E2190" t="s">
        <v>2181</v>
      </c>
    </row>
    <row r="2191" spans="1:5">
      <c r="A2191">
        <f>HYPERLINK("http://www.twitter.com/nycoem/status/578237057354588160", "578237057354588160")</f>
        <v>0</v>
      </c>
      <c r="B2191" s="2">
        <v>42081.7017592593</v>
      </c>
      <c r="C2191">
        <v>0</v>
      </c>
      <c r="D2191">
        <v>0</v>
      </c>
      <c r="E2191" t="s">
        <v>2182</v>
      </c>
    </row>
    <row r="2192" spans="1:5">
      <c r="A2192">
        <f>HYPERLINK("http://www.twitter.com/nycoem/status/578225118553497600", "578225118553497600")</f>
        <v>0</v>
      </c>
      <c r="B2192" s="2">
        <v>42081.6688078704</v>
      </c>
      <c r="C2192">
        <v>2</v>
      </c>
      <c r="D2192">
        <v>1</v>
      </c>
      <c r="E2192" t="s">
        <v>2183</v>
      </c>
    </row>
    <row r="2193" spans="1:5">
      <c r="A2193">
        <f>HYPERLINK("http://www.twitter.com/nycoem/status/577909982500360192", "577909982500360192")</f>
        <v>0</v>
      </c>
      <c r="B2193" s="2">
        <v>42080.7992013889</v>
      </c>
      <c r="C2193">
        <v>2</v>
      </c>
      <c r="D2193">
        <v>4</v>
      </c>
      <c r="E2193" t="s">
        <v>2184</v>
      </c>
    </row>
    <row r="2194" spans="1:5">
      <c r="A2194">
        <f>HYPERLINK("http://www.twitter.com/nycoem/status/577863378858827776", "577863378858827776")</f>
        <v>0</v>
      </c>
      <c r="B2194" s="2">
        <v>42080.6706018519</v>
      </c>
      <c r="C2194">
        <v>0</v>
      </c>
      <c r="D2194">
        <v>0</v>
      </c>
      <c r="E2194" t="s">
        <v>2185</v>
      </c>
    </row>
    <row r="2195" spans="1:5">
      <c r="A2195">
        <f>HYPERLINK("http://www.twitter.com/nycoem/status/577827135496302592", "577827135496302592")</f>
        <v>0</v>
      </c>
      <c r="B2195" s="2">
        <v>42080.5705902778</v>
      </c>
      <c r="C2195">
        <v>4</v>
      </c>
      <c r="D2195">
        <v>1</v>
      </c>
      <c r="E2195" t="s">
        <v>2186</v>
      </c>
    </row>
    <row r="2196" spans="1:5">
      <c r="A2196">
        <f>HYPERLINK("http://www.twitter.com/nycoem/status/577818000667049984", "577818000667049984")</f>
        <v>0</v>
      </c>
      <c r="B2196" s="2">
        <v>42080.5453819444</v>
      </c>
      <c r="C2196">
        <v>1</v>
      </c>
      <c r="D2196">
        <v>4</v>
      </c>
      <c r="E2196" t="s">
        <v>2187</v>
      </c>
    </row>
    <row r="2197" spans="1:5">
      <c r="A2197">
        <f>HYPERLINK("http://www.twitter.com/nycoem/status/577575872166776832", "577575872166776832")</f>
        <v>0</v>
      </c>
      <c r="B2197" s="2">
        <v>42079.8772337963</v>
      </c>
      <c r="C2197">
        <v>0</v>
      </c>
      <c r="D2197">
        <v>9</v>
      </c>
      <c r="E2197" t="s">
        <v>2188</v>
      </c>
    </row>
    <row r="2198" spans="1:5">
      <c r="A2198">
        <f>HYPERLINK("http://www.twitter.com/nycoem/status/577543644221214720", "577543644221214720")</f>
        <v>0</v>
      </c>
      <c r="B2198" s="2">
        <v>42079.7882986111</v>
      </c>
      <c r="C2198">
        <v>5</v>
      </c>
      <c r="D2198">
        <v>14</v>
      </c>
      <c r="E2198" t="s">
        <v>2189</v>
      </c>
    </row>
    <row r="2199" spans="1:5">
      <c r="A2199">
        <f>HYPERLINK("http://www.twitter.com/nycoem/status/577541092905783296", "577541092905783296")</f>
        <v>0</v>
      </c>
      <c r="B2199" s="2">
        <v>42079.7812615741</v>
      </c>
      <c r="C2199">
        <v>1</v>
      </c>
      <c r="D2199">
        <v>0</v>
      </c>
      <c r="E2199" t="s">
        <v>2190</v>
      </c>
    </row>
    <row r="2200" spans="1:5">
      <c r="A2200">
        <f>HYPERLINK("http://www.twitter.com/nycoem/status/577498322132430848", "577498322132430848")</f>
        <v>0</v>
      </c>
      <c r="B2200" s="2">
        <v>42079.6632407407</v>
      </c>
      <c r="C2200">
        <v>0</v>
      </c>
      <c r="D2200">
        <v>3</v>
      </c>
      <c r="E2200" t="s">
        <v>2191</v>
      </c>
    </row>
    <row r="2201" spans="1:5">
      <c r="A2201">
        <f>HYPERLINK("http://www.twitter.com/nycoem/status/577457884226805760", "577457884226805760")</f>
        <v>0</v>
      </c>
      <c r="B2201" s="2">
        <v>42079.5516435185</v>
      </c>
      <c r="C2201">
        <v>0</v>
      </c>
      <c r="D2201">
        <v>14</v>
      </c>
      <c r="E2201" t="s">
        <v>2192</v>
      </c>
    </row>
    <row r="2202" spans="1:5">
      <c r="A2202">
        <f>HYPERLINK("http://www.twitter.com/nycoem/status/576460266675769344", "576460266675769344")</f>
        <v>0</v>
      </c>
      <c r="B2202" s="2">
        <v>42076.79875</v>
      </c>
      <c r="C2202">
        <v>1</v>
      </c>
      <c r="D2202">
        <v>1</v>
      </c>
      <c r="E2202" t="s">
        <v>2193</v>
      </c>
    </row>
    <row r="2203" spans="1:5">
      <c r="A2203">
        <f>HYPERLINK("http://www.twitter.com/nycoem/status/576414971724197888", "576414971724197888")</f>
        <v>0</v>
      </c>
      <c r="B2203" s="2">
        <v>42076.6737615741</v>
      </c>
      <c r="C2203">
        <v>2</v>
      </c>
      <c r="D2203">
        <v>4</v>
      </c>
      <c r="E2203" t="s">
        <v>2194</v>
      </c>
    </row>
    <row r="2204" spans="1:5">
      <c r="A2204">
        <f>HYPERLINK("http://www.twitter.com/nycoem/status/576365887336411136", "576365887336411136")</f>
        <v>0</v>
      </c>
      <c r="B2204" s="2">
        <v>42076.5383101852</v>
      </c>
      <c r="C2204">
        <v>1</v>
      </c>
      <c r="D2204">
        <v>1</v>
      </c>
      <c r="E2204" t="s">
        <v>2195</v>
      </c>
    </row>
    <row r="2205" spans="1:5">
      <c r="A2205">
        <f>HYPERLINK("http://www.twitter.com/nycoem/status/576076837127860224", "576076837127860224")</f>
        <v>0</v>
      </c>
      <c r="B2205" s="2">
        <v>42075.7406828704</v>
      </c>
      <c r="C2205">
        <v>0</v>
      </c>
      <c r="D2205">
        <v>8</v>
      </c>
      <c r="E2205" t="s">
        <v>2196</v>
      </c>
    </row>
    <row r="2206" spans="1:5">
      <c r="A2206">
        <f>HYPERLINK("http://www.twitter.com/nycoem/status/576031796162392065", "576031796162392065")</f>
        <v>0</v>
      </c>
      <c r="B2206" s="2">
        <v>42075.616400463</v>
      </c>
      <c r="C2206">
        <v>1</v>
      </c>
      <c r="D2206">
        <v>8</v>
      </c>
      <c r="E2206" t="s">
        <v>2197</v>
      </c>
    </row>
    <row r="2207" spans="1:5">
      <c r="A2207">
        <f>HYPERLINK("http://www.twitter.com/nycoem/status/576016536793669632", "576016536793669632")</f>
        <v>0</v>
      </c>
      <c r="B2207" s="2">
        <v>42075.5742824074</v>
      </c>
      <c r="C2207">
        <v>0</v>
      </c>
      <c r="D2207">
        <v>28</v>
      </c>
      <c r="E2207" t="s">
        <v>2198</v>
      </c>
    </row>
    <row r="2208" spans="1:5">
      <c r="A2208">
        <f>HYPERLINK("http://www.twitter.com/nycoem/status/575731692213825538", "575731692213825538")</f>
        <v>0</v>
      </c>
      <c r="B2208" s="2">
        <v>42074.7882638889</v>
      </c>
      <c r="C2208">
        <v>4</v>
      </c>
      <c r="D2208">
        <v>6</v>
      </c>
      <c r="E2208" t="s">
        <v>2199</v>
      </c>
    </row>
    <row r="2209" spans="1:5">
      <c r="A2209">
        <f>HYPERLINK("http://www.twitter.com/nycoem/status/575690281900773376", "575690281900773376")</f>
        <v>0</v>
      </c>
      <c r="B2209" s="2">
        <v>42074.6739930556</v>
      </c>
      <c r="C2209">
        <v>1</v>
      </c>
      <c r="D2209">
        <v>5</v>
      </c>
      <c r="E2209" t="s">
        <v>2200</v>
      </c>
    </row>
    <row r="2210" spans="1:5">
      <c r="A2210">
        <f>HYPERLINK("http://www.twitter.com/nycoem/status/575646247245254656", "575646247245254656")</f>
        <v>0</v>
      </c>
      <c r="B2210" s="2">
        <v>42074.5524768519</v>
      </c>
      <c r="C2210">
        <v>3</v>
      </c>
      <c r="D2210">
        <v>7</v>
      </c>
      <c r="E2210" t="s">
        <v>2201</v>
      </c>
    </row>
    <row r="2211" spans="1:5">
      <c r="A2211">
        <f>HYPERLINK("http://www.twitter.com/nycoem/status/575326629599264768", "575326629599264768")</f>
        <v>0</v>
      </c>
      <c r="B2211" s="2">
        <v>42073.6705092593</v>
      </c>
      <c r="C2211">
        <v>4</v>
      </c>
      <c r="D2211">
        <v>12</v>
      </c>
      <c r="E2211" t="s">
        <v>2202</v>
      </c>
    </row>
    <row r="2212" spans="1:5">
      <c r="A2212">
        <f>HYPERLINK("http://www.twitter.com/nycoem/status/575279349756207104", "575279349756207104")</f>
        <v>0</v>
      </c>
      <c r="B2212" s="2">
        <v>42073.5400347222</v>
      </c>
      <c r="C2212">
        <v>0</v>
      </c>
      <c r="D2212">
        <v>5</v>
      </c>
      <c r="E2212" t="s">
        <v>2203</v>
      </c>
    </row>
    <row r="2213" spans="1:5">
      <c r="A2213">
        <f>HYPERLINK("http://www.twitter.com/nycoem/status/575010865914724352", "575010865914724352")</f>
        <v>0</v>
      </c>
      <c r="B2213" s="2">
        <v>42072.7991666667</v>
      </c>
      <c r="C2213">
        <v>0</v>
      </c>
      <c r="D2213">
        <v>1</v>
      </c>
      <c r="E2213" t="s">
        <v>2204</v>
      </c>
    </row>
    <row r="2214" spans="1:5">
      <c r="A2214">
        <f>HYPERLINK("http://www.twitter.com/nycoem/status/574966856190201857", "574966856190201857")</f>
        <v>0</v>
      </c>
      <c r="B2214" s="2">
        <v>42072.6777199074</v>
      </c>
      <c r="C2214">
        <v>0</v>
      </c>
      <c r="D2214">
        <v>1</v>
      </c>
      <c r="E2214" t="s">
        <v>2205</v>
      </c>
    </row>
    <row r="2215" spans="1:5">
      <c r="A2215">
        <f>HYPERLINK("http://www.twitter.com/nycoem/status/574583324955537408", "574583324955537408")</f>
        <v>0</v>
      </c>
      <c r="B2215" s="2">
        <v>42071.619375</v>
      </c>
      <c r="C2215">
        <v>10</v>
      </c>
      <c r="D2215">
        <v>9</v>
      </c>
      <c r="E2215" t="s">
        <v>2206</v>
      </c>
    </row>
    <row r="2216" spans="1:5">
      <c r="A2216">
        <f>HYPERLINK("http://www.twitter.com/nycoem/status/574542636876435456", "574542636876435456")</f>
        <v>0</v>
      </c>
      <c r="B2216" s="2">
        <v>42071.5070949074</v>
      </c>
      <c r="C2216">
        <v>3</v>
      </c>
      <c r="D2216">
        <v>7</v>
      </c>
      <c r="E2216" t="s">
        <v>2207</v>
      </c>
    </row>
    <row r="2217" spans="1:5">
      <c r="A2217">
        <f>HYPERLINK("http://www.twitter.com/nycoem/status/573951230252302338", "573951230252302338")</f>
        <v>0</v>
      </c>
      <c r="B2217" s="2">
        <v>42069.8751273148</v>
      </c>
      <c r="C2217">
        <v>1</v>
      </c>
      <c r="D2217">
        <v>3</v>
      </c>
      <c r="E2217" t="s">
        <v>2208</v>
      </c>
    </row>
    <row r="2218" spans="1:5">
      <c r="A2218">
        <f>HYPERLINK("http://www.twitter.com/nycoem/status/573937486084337666", "573937486084337666")</f>
        <v>0</v>
      </c>
      <c r="B2218" s="2">
        <v>42069.8371990741</v>
      </c>
      <c r="C2218">
        <v>4</v>
      </c>
      <c r="D2218">
        <v>16</v>
      </c>
      <c r="E2218" t="s">
        <v>2209</v>
      </c>
    </row>
    <row r="2219" spans="1:5">
      <c r="A2219">
        <f>HYPERLINK("http://www.twitter.com/nycoem/status/573892719879258113", "573892719879258113")</f>
        <v>0</v>
      </c>
      <c r="B2219" s="2">
        <v>42069.7136689815</v>
      </c>
      <c r="C2219">
        <v>1</v>
      </c>
      <c r="D2219">
        <v>4</v>
      </c>
      <c r="E2219" t="s">
        <v>2210</v>
      </c>
    </row>
    <row r="2220" spans="1:5">
      <c r="A2220">
        <f>HYPERLINK("http://www.twitter.com/nycoem/status/573885159331790850", "573885159331790850")</f>
        <v>0</v>
      </c>
      <c r="B2220" s="2">
        <v>42069.6928009259</v>
      </c>
      <c r="C2220">
        <v>0</v>
      </c>
      <c r="D2220">
        <v>1</v>
      </c>
      <c r="E2220" t="s">
        <v>2211</v>
      </c>
    </row>
    <row r="2221" spans="1:5">
      <c r="A2221">
        <f>HYPERLINK("http://www.twitter.com/nycoem/status/573849126842073089", "573849126842073089")</f>
        <v>0</v>
      </c>
      <c r="B2221" s="2">
        <v>42069.5933796296</v>
      </c>
      <c r="C2221">
        <v>1</v>
      </c>
      <c r="D2221">
        <v>2</v>
      </c>
      <c r="E2221" t="s">
        <v>2212</v>
      </c>
    </row>
    <row r="2222" spans="1:5">
      <c r="A2222">
        <f>HYPERLINK("http://www.twitter.com/nycoem/status/573637514990321664", "573637514990321664")</f>
        <v>0</v>
      </c>
      <c r="B2222" s="2">
        <v>42069.0094328704</v>
      </c>
      <c r="C2222">
        <v>0</v>
      </c>
      <c r="D2222">
        <v>25</v>
      </c>
      <c r="E2222" t="s">
        <v>2213</v>
      </c>
    </row>
    <row r="2223" spans="1:5">
      <c r="A2223">
        <f>HYPERLINK("http://www.twitter.com/nycoem/status/573609273441271808", "573609273441271808")</f>
        <v>0</v>
      </c>
      <c r="B2223" s="2">
        <v>42068.9315046296</v>
      </c>
      <c r="C2223">
        <v>2</v>
      </c>
      <c r="D2223">
        <v>5</v>
      </c>
      <c r="E2223" t="s">
        <v>2214</v>
      </c>
    </row>
    <row r="2224" spans="1:5">
      <c r="A2224">
        <f>HYPERLINK("http://www.twitter.com/nycoem/status/573600455638540289", "573600455638540289")</f>
        <v>0</v>
      </c>
      <c r="B2224" s="2">
        <v>42068.9071759259</v>
      </c>
      <c r="C2224">
        <v>2</v>
      </c>
      <c r="D2224">
        <v>5</v>
      </c>
      <c r="E2224" t="s">
        <v>2215</v>
      </c>
    </row>
    <row r="2225" spans="1:5">
      <c r="A2225">
        <f>HYPERLINK("http://www.twitter.com/nycoem/status/573599977424969729", "573599977424969729")</f>
        <v>0</v>
      </c>
      <c r="B2225" s="2">
        <v>42068.9058564815</v>
      </c>
      <c r="C2225">
        <v>1</v>
      </c>
      <c r="D2225">
        <v>5</v>
      </c>
      <c r="E2225" t="s">
        <v>2216</v>
      </c>
    </row>
    <row r="2226" spans="1:5">
      <c r="A2226">
        <f>HYPERLINK("http://www.twitter.com/nycoem/status/573592583995269121", "573592583995269121")</f>
        <v>0</v>
      </c>
      <c r="B2226" s="2">
        <v>42068.8854513889</v>
      </c>
      <c r="C2226">
        <v>6</v>
      </c>
      <c r="D2226">
        <v>7</v>
      </c>
      <c r="E2226" t="s">
        <v>2217</v>
      </c>
    </row>
    <row r="2227" spans="1:5">
      <c r="A2227">
        <f>HYPERLINK("http://www.twitter.com/nycoem/status/573541041770487810", "573541041770487810")</f>
        <v>0</v>
      </c>
      <c r="B2227" s="2">
        <v>42068.7432175926</v>
      </c>
      <c r="C2227">
        <v>3</v>
      </c>
      <c r="D2227">
        <v>6</v>
      </c>
      <c r="E2227" t="s">
        <v>2218</v>
      </c>
    </row>
    <row r="2228" spans="1:5">
      <c r="A2228">
        <f>HYPERLINK("http://www.twitter.com/nycoem/status/573538585372155905", "573538585372155905")</f>
        <v>0</v>
      </c>
      <c r="B2228" s="2">
        <v>42068.7364467593</v>
      </c>
      <c r="C2228">
        <v>4</v>
      </c>
      <c r="D2228">
        <v>6</v>
      </c>
      <c r="E2228" t="s">
        <v>2219</v>
      </c>
    </row>
    <row r="2229" spans="1:5">
      <c r="A2229">
        <f>HYPERLINK("http://www.twitter.com/nycoem/status/573532409263747072", "573532409263747072")</f>
        <v>0</v>
      </c>
      <c r="B2229" s="2">
        <v>42068.7193981481</v>
      </c>
      <c r="C2229">
        <v>6</v>
      </c>
      <c r="D2229">
        <v>1</v>
      </c>
      <c r="E2229" t="s">
        <v>2220</v>
      </c>
    </row>
    <row r="2230" spans="1:5">
      <c r="A2230">
        <f>HYPERLINK("http://www.twitter.com/nycoem/status/573512756214820864", "573512756214820864")</f>
        <v>0</v>
      </c>
      <c r="B2230" s="2">
        <v>42068.6651736111</v>
      </c>
      <c r="C2230">
        <v>4</v>
      </c>
      <c r="D2230">
        <v>3</v>
      </c>
      <c r="E2230" t="s">
        <v>2221</v>
      </c>
    </row>
    <row r="2231" spans="1:5">
      <c r="A2231">
        <f>HYPERLINK("http://www.twitter.com/nycoem/status/573500292769144832", "573500292769144832")</f>
        <v>0</v>
      </c>
      <c r="B2231" s="2">
        <v>42068.630775463</v>
      </c>
      <c r="C2231">
        <v>2</v>
      </c>
      <c r="D2231">
        <v>21</v>
      </c>
      <c r="E2231" t="s">
        <v>2222</v>
      </c>
    </row>
    <row r="2232" spans="1:5">
      <c r="A2232">
        <f>HYPERLINK("http://www.twitter.com/nycoem/status/573341335975026689", "573341335975026689")</f>
        <v>0</v>
      </c>
      <c r="B2232" s="2">
        <v>42068.1921412037</v>
      </c>
      <c r="C2232">
        <v>3</v>
      </c>
      <c r="D2232">
        <v>19</v>
      </c>
      <c r="E2232" t="s">
        <v>2223</v>
      </c>
    </row>
    <row r="2233" spans="1:5">
      <c r="A2233">
        <f>HYPERLINK("http://www.twitter.com/nycoem/status/573241224410357760", "573241224410357760")</f>
        <v>0</v>
      </c>
      <c r="B2233" s="2">
        <v>42067.9158796296</v>
      </c>
      <c r="C2233">
        <v>2</v>
      </c>
      <c r="D2233">
        <v>4</v>
      </c>
      <c r="E2233" t="s">
        <v>2224</v>
      </c>
    </row>
    <row r="2234" spans="1:5">
      <c r="A2234">
        <f>HYPERLINK("http://www.twitter.com/nycoem/status/573227370867519490", "573227370867519490")</f>
        <v>0</v>
      </c>
      <c r="B2234" s="2">
        <v>42067.877650463</v>
      </c>
      <c r="C2234">
        <v>3</v>
      </c>
      <c r="D2234">
        <v>11</v>
      </c>
      <c r="E2234" t="s">
        <v>2225</v>
      </c>
    </row>
    <row r="2235" spans="1:5">
      <c r="A2235">
        <f>HYPERLINK("http://www.twitter.com/nycoem/status/573116213557133314", "573116213557133314")</f>
        <v>0</v>
      </c>
      <c r="B2235" s="2">
        <v>42067.5709143519</v>
      </c>
      <c r="C2235">
        <v>0</v>
      </c>
      <c r="D2235">
        <v>0</v>
      </c>
      <c r="E2235" t="s">
        <v>2226</v>
      </c>
    </row>
    <row r="2236" spans="1:5">
      <c r="A2236">
        <f>HYPERLINK("http://www.twitter.com/nycoem/status/573115897117847552", "573115897117847552")</f>
        <v>0</v>
      </c>
      <c r="B2236" s="2">
        <v>42067.5700462963</v>
      </c>
      <c r="C2236">
        <v>2</v>
      </c>
      <c r="D2236">
        <v>16</v>
      </c>
      <c r="E2236" t="s">
        <v>2227</v>
      </c>
    </row>
    <row r="2237" spans="1:5">
      <c r="A2237">
        <f>HYPERLINK("http://www.twitter.com/nycoem/status/572833523071094785", "572833523071094785")</f>
        <v>0</v>
      </c>
      <c r="B2237" s="2">
        <v>42066.7908449074</v>
      </c>
      <c r="C2237">
        <v>0</v>
      </c>
      <c r="D2237">
        <v>22</v>
      </c>
      <c r="E2237" t="s">
        <v>2228</v>
      </c>
    </row>
    <row r="2238" spans="1:5">
      <c r="A2238">
        <f>HYPERLINK("http://www.twitter.com/nycoem/status/572776523293442048", "572776523293442048")</f>
        <v>0</v>
      </c>
      <c r="B2238" s="2">
        <v>42066.6335532407</v>
      </c>
      <c r="C2238">
        <v>6</v>
      </c>
      <c r="D2238">
        <v>13</v>
      </c>
      <c r="E2238" t="s">
        <v>2229</v>
      </c>
    </row>
    <row r="2239" spans="1:5">
      <c r="A2239">
        <f>HYPERLINK("http://www.twitter.com/nycoem/status/572590896782299136", "572590896782299136")</f>
        <v>0</v>
      </c>
      <c r="B2239" s="2">
        <v>42066.1213194444</v>
      </c>
      <c r="C2239">
        <v>4</v>
      </c>
      <c r="D2239">
        <v>11</v>
      </c>
      <c r="E2239" t="s">
        <v>2230</v>
      </c>
    </row>
    <row r="2240" spans="1:5">
      <c r="A2240">
        <f>HYPERLINK("http://www.twitter.com/nycoem/status/572517267369566208", "572517267369566208")</f>
        <v>0</v>
      </c>
      <c r="B2240" s="2">
        <v>42065.9181481482</v>
      </c>
      <c r="C2240">
        <v>6</v>
      </c>
      <c r="D2240">
        <v>7</v>
      </c>
      <c r="E2240" t="s">
        <v>2231</v>
      </c>
    </row>
    <row r="2241" spans="1:5">
      <c r="A2241">
        <f>HYPERLINK("http://www.twitter.com/nycoem/status/572475877520506880", "572475877520506880")</f>
        <v>0</v>
      </c>
      <c r="B2241" s="2">
        <v>42065.8039236111</v>
      </c>
      <c r="C2241">
        <v>3</v>
      </c>
      <c r="D2241">
        <v>3</v>
      </c>
      <c r="E2241" t="s">
        <v>2232</v>
      </c>
    </row>
    <row r="2242" spans="1:5">
      <c r="A2242">
        <f>HYPERLINK("http://www.twitter.com/nycoem/status/572398484076302336", "572398484076302336")</f>
        <v>0</v>
      </c>
      <c r="B2242" s="2">
        <v>42065.5903587963</v>
      </c>
      <c r="C2242">
        <v>0</v>
      </c>
      <c r="D2242">
        <v>5</v>
      </c>
      <c r="E2242" t="s">
        <v>2233</v>
      </c>
    </row>
    <row r="2243" spans="1:5">
      <c r="A2243">
        <f>HYPERLINK("http://www.twitter.com/nycoem/status/572056547079131136", "572056547079131136")</f>
        <v>0</v>
      </c>
      <c r="B2243" s="2">
        <v>42064.6467939815</v>
      </c>
      <c r="C2243">
        <v>0</v>
      </c>
      <c r="D2243">
        <v>49</v>
      </c>
      <c r="E2243" t="s">
        <v>2234</v>
      </c>
    </row>
    <row r="2244" spans="1:5">
      <c r="A2244">
        <f>HYPERLINK("http://www.twitter.com/nycoem/status/571859184213491712", "571859184213491712")</f>
        <v>0</v>
      </c>
      <c r="B2244" s="2">
        <v>42064.1021759259</v>
      </c>
      <c r="C2244">
        <v>8</v>
      </c>
      <c r="D2244">
        <v>29</v>
      </c>
      <c r="E2244" t="s">
        <v>2235</v>
      </c>
    </row>
    <row r="2245" spans="1:5">
      <c r="A2245">
        <f>HYPERLINK("http://www.twitter.com/nycoem/status/571702860204908544", "571702860204908544")</f>
        <v>0</v>
      </c>
      <c r="B2245" s="2">
        <v>42063.6708101852</v>
      </c>
      <c r="C2245">
        <v>0</v>
      </c>
      <c r="D2245">
        <v>16</v>
      </c>
      <c r="E2245" t="s">
        <v>2236</v>
      </c>
    </row>
    <row r="2246" spans="1:5">
      <c r="A2246">
        <f>HYPERLINK("http://www.twitter.com/nycoem/status/571352945536724992", "571352945536724992")</f>
        <v>0</v>
      </c>
      <c r="B2246" s="2">
        <v>42062.7052314815</v>
      </c>
      <c r="C2246">
        <v>1</v>
      </c>
      <c r="D2246">
        <v>6</v>
      </c>
      <c r="E2246" t="s">
        <v>2237</v>
      </c>
    </row>
    <row r="2247" spans="1:5">
      <c r="A2247">
        <f>HYPERLINK("http://www.twitter.com/nycoem/status/571319312042070016", "571319312042070016")</f>
        <v>0</v>
      </c>
      <c r="B2247" s="2">
        <v>42062.6124189815</v>
      </c>
      <c r="C2247">
        <v>0</v>
      </c>
      <c r="D2247">
        <v>20</v>
      </c>
      <c r="E2247" t="s">
        <v>2238</v>
      </c>
    </row>
    <row r="2248" spans="1:5">
      <c r="A2248">
        <f>HYPERLINK("http://www.twitter.com/nycoem/status/571311759329533952", "571311759329533952")</f>
        <v>0</v>
      </c>
      <c r="B2248" s="2">
        <v>42062.5915740741</v>
      </c>
      <c r="C2248">
        <v>2</v>
      </c>
      <c r="D2248">
        <v>5</v>
      </c>
      <c r="E2248" t="s">
        <v>2239</v>
      </c>
    </row>
    <row r="2249" spans="1:5">
      <c r="A2249">
        <f>HYPERLINK("http://www.twitter.com/nycoem/status/571117126381129728", "571117126381129728")</f>
        <v>0</v>
      </c>
      <c r="B2249" s="2">
        <v>42062.0544907407</v>
      </c>
      <c r="C2249">
        <v>1</v>
      </c>
      <c r="D2249">
        <v>2</v>
      </c>
      <c r="E2249" t="s">
        <v>2240</v>
      </c>
    </row>
    <row r="2250" spans="1:5">
      <c r="A2250">
        <f>HYPERLINK("http://www.twitter.com/nycoem/status/571061211581825026", "571061211581825026")</f>
        <v>0</v>
      </c>
      <c r="B2250" s="2">
        <v>42061.9001967593</v>
      </c>
      <c r="C2250">
        <v>3</v>
      </c>
      <c r="D2250">
        <v>4</v>
      </c>
      <c r="E2250" t="s">
        <v>2241</v>
      </c>
    </row>
    <row r="2251" spans="1:5">
      <c r="A2251">
        <f>HYPERLINK("http://www.twitter.com/nycoem/status/571033321796476928", "571033321796476928")</f>
        <v>0</v>
      </c>
      <c r="B2251" s="2">
        <v>42061.8232291667</v>
      </c>
      <c r="C2251">
        <v>2</v>
      </c>
      <c r="D2251">
        <v>0</v>
      </c>
      <c r="E2251" t="s">
        <v>2242</v>
      </c>
    </row>
    <row r="2252" spans="1:5">
      <c r="A2252">
        <f>HYPERLINK("http://www.twitter.com/nycoem/status/571030619746123777", "571030619746123777")</f>
        <v>0</v>
      </c>
      <c r="B2252" s="2">
        <v>42061.815775463</v>
      </c>
      <c r="C2252">
        <v>5</v>
      </c>
      <c r="D2252">
        <v>4</v>
      </c>
      <c r="E2252" t="s">
        <v>2243</v>
      </c>
    </row>
    <row r="2253" spans="1:5">
      <c r="A2253">
        <f>HYPERLINK("http://www.twitter.com/nycoem/status/571029558029357057", "571029558029357057")</f>
        <v>0</v>
      </c>
      <c r="B2253" s="2">
        <v>42061.8128472222</v>
      </c>
      <c r="C2253">
        <v>1</v>
      </c>
      <c r="D2253">
        <v>0</v>
      </c>
      <c r="E2253" t="s">
        <v>2244</v>
      </c>
    </row>
    <row r="2254" spans="1:5">
      <c r="A2254">
        <f>HYPERLINK("http://www.twitter.com/nycoem/status/571028881534275584", "571028881534275584")</f>
        <v>0</v>
      </c>
      <c r="B2254" s="2">
        <v>42061.8109837963</v>
      </c>
      <c r="C2254">
        <v>0</v>
      </c>
      <c r="D2254">
        <v>16</v>
      </c>
      <c r="E2254" t="s">
        <v>2245</v>
      </c>
    </row>
    <row r="2255" spans="1:5">
      <c r="A2255">
        <f>HYPERLINK("http://www.twitter.com/nycoem/status/571028815851479040", "571028815851479040")</f>
        <v>0</v>
      </c>
      <c r="B2255" s="2">
        <v>42061.8107986111</v>
      </c>
      <c r="C2255">
        <v>1</v>
      </c>
      <c r="D2255">
        <v>2</v>
      </c>
      <c r="E2255" t="s">
        <v>2246</v>
      </c>
    </row>
    <row r="2256" spans="1:5">
      <c r="A2256">
        <f>HYPERLINK("http://www.twitter.com/nycoem/status/571028604123021312", "571028604123021312")</f>
        <v>0</v>
      </c>
      <c r="B2256" s="2">
        <v>42061.8102199074</v>
      </c>
      <c r="C2256">
        <v>0</v>
      </c>
      <c r="D2256">
        <v>4</v>
      </c>
      <c r="E2256" t="s">
        <v>2247</v>
      </c>
    </row>
    <row r="2257" spans="1:5">
      <c r="A2257">
        <f>HYPERLINK("http://www.twitter.com/nycoem/status/571027465897975809", "571027465897975809")</f>
        <v>0</v>
      </c>
      <c r="B2257" s="2">
        <v>42061.8070717593</v>
      </c>
      <c r="C2257">
        <v>1</v>
      </c>
      <c r="D2257">
        <v>0</v>
      </c>
      <c r="E2257" t="s">
        <v>2248</v>
      </c>
    </row>
    <row r="2258" spans="1:5">
      <c r="A2258">
        <f>HYPERLINK("http://www.twitter.com/nycoem/status/571027161110482944", "571027161110482944")</f>
        <v>0</v>
      </c>
      <c r="B2258" s="2">
        <v>42061.8062384259</v>
      </c>
      <c r="C2258">
        <v>1</v>
      </c>
      <c r="D2258">
        <v>1</v>
      </c>
      <c r="E2258" t="s">
        <v>2249</v>
      </c>
    </row>
    <row r="2259" spans="1:5">
      <c r="A2259">
        <f>HYPERLINK("http://www.twitter.com/nycoem/status/571026991291469824", "571026991291469824")</f>
        <v>0</v>
      </c>
      <c r="B2259" s="2">
        <v>42061.8057638889</v>
      </c>
      <c r="C2259">
        <v>1</v>
      </c>
      <c r="D2259">
        <v>0</v>
      </c>
      <c r="E2259" t="s">
        <v>2250</v>
      </c>
    </row>
    <row r="2260" spans="1:5">
      <c r="A2260">
        <f>HYPERLINK("http://www.twitter.com/nycoem/status/571025764080078848", "571025764080078848")</f>
        <v>0</v>
      </c>
      <c r="B2260" s="2">
        <v>42061.8023726852</v>
      </c>
      <c r="C2260">
        <v>4</v>
      </c>
      <c r="D2260">
        <v>4</v>
      </c>
      <c r="E2260" t="s">
        <v>2251</v>
      </c>
    </row>
    <row r="2261" spans="1:5">
      <c r="A2261">
        <f>HYPERLINK("http://www.twitter.com/nycoem/status/571024750455197696", "571024750455197696")</f>
        <v>0</v>
      </c>
      <c r="B2261" s="2">
        <v>42061.7995833333</v>
      </c>
      <c r="C2261">
        <v>1</v>
      </c>
      <c r="D2261">
        <v>2</v>
      </c>
      <c r="E2261" t="s">
        <v>2252</v>
      </c>
    </row>
    <row r="2262" spans="1:5">
      <c r="A2262">
        <f>HYPERLINK("http://www.twitter.com/nycoem/status/571024203991932928", "571024203991932928")</f>
        <v>0</v>
      </c>
      <c r="B2262" s="2">
        <v>42061.7980787037</v>
      </c>
      <c r="C2262">
        <v>3</v>
      </c>
      <c r="D2262">
        <v>2</v>
      </c>
      <c r="E2262" t="s">
        <v>2253</v>
      </c>
    </row>
    <row r="2263" spans="1:5">
      <c r="A2263">
        <f>HYPERLINK("http://www.twitter.com/nycoem/status/571023713027690496", "571023713027690496")</f>
        <v>0</v>
      </c>
      <c r="B2263" s="2">
        <v>42061.796712963</v>
      </c>
      <c r="C2263">
        <v>2</v>
      </c>
      <c r="D2263">
        <v>2</v>
      </c>
      <c r="E2263" t="s">
        <v>2254</v>
      </c>
    </row>
    <row r="2264" spans="1:5">
      <c r="A2264">
        <f>HYPERLINK("http://www.twitter.com/nycoem/status/571021948815351808", "571021948815351808")</f>
        <v>0</v>
      </c>
      <c r="B2264" s="2">
        <v>42061.7918518518</v>
      </c>
      <c r="C2264">
        <v>3</v>
      </c>
      <c r="D2264">
        <v>5</v>
      </c>
      <c r="E2264" t="s">
        <v>2255</v>
      </c>
    </row>
    <row r="2265" spans="1:5">
      <c r="A2265">
        <f>HYPERLINK("http://www.twitter.com/nycoem/status/570987989406486529", "570987989406486529")</f>
        <v>0</v>
      </c>
      <c r="B2265" s="2">
        <v>42061.6981365741</v>
      </c>
      <c r="C2265">
        <v>1</v>
      </c>
      <c r="D2265">
        <v>4</v>
      </c>
      <c r="E2265" t="s">
        <v>2256</v>
      </c>
    </row>
    <row r="2266" spans="1:5">
      <c r="A2266">
        <f>HYPERLINK("http://www.twitter.com/nycoem/status/570974436301676544", "570974436301676544")</f>
        <v>0</v>
      </c>
      <c r="B2266" s="2">
        <v>42061.6607407407</v>
      </c>
      <c r="C2266">
        <v>2</v>
      </c>
      <c r="D2266">
        <v>4</v>
      </c>
      <c r="E2266" t="s">
        <v>2257</v>
      </c>
    </row>
    <row r="2267" spans="1:5">
      <c r="A2267">
        <f>HYPERLINK("http://www.twitter.com/nycoem/status/570964346857230337", "570964346857230337")</f>
        <v>0</v>
      </c>
      <c r="B2267" s="2">
        <v>42061.6328935185</v>
      </c>
      <c r="C2267">
        <v>6</v>
      </c>
      <c r="D2267">
        <v>9</v>
      </c>
      <c r="E2267" t="s">
        <v>2258</v>
      </c>
    </row>
    <row r="2268" spans="1:5">
      <c r="A2268">
        <f>HYPERLINK("http://www.twitter.com/nycoem/status/570723260003958784", "570723260003958784")</f>
        <v>0</v>
      </c>
      <c r="B2268" s="2">
        <v>42060.9676273148</v>
      </c>
      <c r="C2268">
        <v>0</v>
      </c>
      <c r="D2268">
        <v>6</v>
      </c>
      <c r="E2268" t="s">
        <v>2259</v>
      </c>
    </row>
    <row r="2269" spans="1:5">
      <c r="A2269">
        <f>HYPERLINK("http://www.twitter.com/nycoem/status/570672123641012227", "570672123641012227")</f>
        <v>0</v>
      </c>
      <c r="B2269" s="2">
        <v>42060.8265162037</v>
      </c>
      <c r="C2269">
        <v>0</v>
      </c>
      <c r="D2269">
        <v>4</v>
      </c>
      <c r="E2269" t="s">
        <v>2260</v>
      </c>
    </row>
    <row r="2270" spans="1:5">
      <c r="A2270">
        <f>HYPERLINK("http://www.twitter.com/nycoem/status/570655550872154113", "570655550872154113")</f>
        <v>0</v>
      </c>
      <c r="B2270" s="2">
        <v>42060.780787037</v>
      </c>
      <c r="C2270">
        <v>6</v>
      </c>
      <c r="D2270">
        <v>5</v>
      </c>
      <c r="E2270" t="s">
        <v>2261</v>
      </c>
    </row>
    <row r="2271" spans="1:5">
      <c r="A2271">
        <f>HYPERLINK("http://www.twitter.com/nycoem/status/570631902543122432", "570631902543122432")</f>
        <v>0</v>
      </c>
      <c r="B2271" s="2">
        <v>42060.7155324074</v>
      </c>
      <c r="C2271">
        <v>1</v>
      </c>
      <c r="D2271">
        <v>2</v>
      </c>
      <c r="E2271" t="s">
        <v>2262</v>
      </c>
    </row>
    <row r="2272" spans="1:5">
      <c r="A2272">
        <f>HYPERLINK("http://www.twitter.com/nycoem/status/570602158984462336", "570602158984462336")</f>
        <v>0</v>
      </c>
      <c r="B2272" s="2">
        <v>42060.6334490741</v>
      </c>
      <c r="C2272">
        <v>1</v>
      </c>
      <c r="D2272">
        <v>3</v>
      </c>
      <c r="E2272" t="s">
        <v>2263</v>
      </c>
    </row>
    <row r="2273" spans="1:5">
      <c r="A2273">
        <f>HYPERLINK("http://www.twitter.com/nycoem/status/570598045244661761", "570598045244661761")</f>
        <v>0</v>
      </c>
      <c r="B2273" s="2">
        <v>42060.6220949074</v>
      </c>
      <c r="C2273">
        <v>0</v>
      </c>
      <c r="D2273">
        <v>0</v>
      </c>
      <c r="E2273" t="s">
        <v>2264</v>
      </c>
    </row>
    <row r="2274" spans="1:5">
      <c r="A2274">
        <f>HYPERLINK("http://www.twitter.com/nycoem/status/570269120014503936", "570269120014503936")</f>
        <v>0</v>
      </c>
      <c r="B2274" s="2">
        <v>42059.7144328704</v>
      </c>
      <c r="C2274">
        <v>0</v>
      </c>
      <c r="D2274">
        <v>15</v>
      </c>
      <c r="E2274" t="s">
        <v>2265</v>
      </c>
    </row>
    <row r="2275" spans="1:5">
      <c r="A2275">
        <f>HYPERLINK("http://www.twitter.com/nycoem/status/570220359590539265", "570220359590539265")</f>
        <v>0</v>
      </c>
      <c r="B2275" s="2">
        <v>42059.5798842593</v>
      </c>
      <c r="C2275">
        <v>4</v>
      </c>
      <c r="D2275">
        <v>4</v>
      </c>
      <c r="E2275" t="s">
        <v>2266</v>
      </c>
    </row>
    <row r="2276" spans="1:5">
      <c r="A2276">
        <f>HYPERLINK("http://www.twitter.com/nycoem/status/570218034528460800", "570218034528460800")</f>
        <v>0</v>
      </c>
      <c r="B2276" s="2">
        <v>42059.5734722222</v>
      </c>
      <c r="C2276">
        <v>2</v>
      </c>
      <c r="D2276">
        <v>6</v>
      </c>
      <c r="E2276" t="s">
        <v>2267</v>
      </c>
    </row>
    <row r="2277" spans="1:5">
      <c r="A2277">
        <f>HYPERLINK("http://www.twitter.com/nycoem/status/570217693321797632", "570217693321797632")</f>
        <v>0</v>
      </c>
      <c r="B2277" s="2">
        <v>42059.5725231481</v>
      </c>
      <c r="C2277">
        <v>5</v>
      </c>
      <c r="D2277">
        <v>11</v>
      </c>
      <c r="E2277" t="s">
        <v>2268</v>
      </c>
    </row>
    <row r="2278" spans="1:5">
      <c r="A2278">
        <f>HYPERLINK("http://www.twitter.com/nycoem/status/570217624157741056", "570217624157741056")</f>
        <v>0</v>
      </c>
      <c r="B2278" s="2">
        <v>42059.572337963</v>
      </c>
      <c r="C2278">
        <v>4</v>
      </c>
      <c r="D2278">
        <v>3</v>
      </c>
      <c r="E2278" t="s">
        <v>2269</v>
      </c>
    </row>
    <row r="2279" spans="1:5">
      <c r="A2279">
        <f>HYPERLINK("http://www.twitter.com/nycoem/status/569965224159289344", "569965224159289344")</f>
        <v>0</v>
      </c>
      <c r="B2279" s="2">
        <v>42058.8758449074</v>
      </c>
      <c r="C2279">
        <v>2</v>
      </c>
      <c r="D2279">
        <v>25</v>
      </c>
      <c r="E2279" t="s">
        <v>2270</v>
      </c>
    </row>
    <row r="2280" spans="1:5">
      <c r="A2280">
        <f>HYPERLINK("http://www.twitter.com/nycoem/status/569957365795164160", "569957365795164160")</f>
        <v>0</v>
      </c>
      <c r="B2280" s="2">
        <v>42058.8541550926</v>
      </c>
      <c r="C2280">
        <v>0</v>
      </c>
      <c r="D2280">
        <v>8</v>
      </c>
      <c r="E2280" t="s">
        <v>2271</v>
      </c>
    </row>
    <row r="2281" spans="1:5">
      <c r="A2281">
        <f>HYPERLINK("http://www.twitter.com/nycoem/status/569902080502181890", "569902080502181890")</f>
        <v>0</v>
      </c>
      <c r="B2281" s="2">
        <v>42058.7015972222</v>
      </c>
      <c r="C2281">
        <v>4</v>
      </c>
      <c r="D2281">
        <v>4</v>
      </c>
      <c r="E2281" t="s">
        <v>2272</v>
      </c>
    </row>
    <row r="2282" spans="1:5">
      <c r="A2282">
        <f>HYPERLINK("http://www.twitter.com/nycoem/status/569872797352271872", "569872797352271872")</f>
        <v>0</v>
      </c>
      <c r="B2282" s="2">
        <v>42058.6207986111</v>
      </c>
      <c r="C2282">
        <v>6</v>
      </c>
      <c r="D2282">
        <v>6</v>
      </c>
      <c r="E2282" t="s">
        <v>2273</v>
      </c>
    </row>
    <row r="2283" spans="1:5">
      <c r="A2283">
        <f>HYPERLINK("http://www.twitter.com/nycoem/status/569159525498011649", "569159525498011649")</f>
        <v>0</v>
      </c>
      <c r="B2283" s="2">
        <v>42056.6525462963</v>
      </c>
      <c r="C2283">
        <v>0</v>
      </c>
      <c r="D2283">
        <v>32</v>
      </c>
      <c r="E2283" t="s">
        <v>2274</v>
      </c>
    </row>
    <row r="2284" spans="1:5">
      <c r="A2284">
        <f>HYPERLINK("http://www.twitter.com/nycoem/status/568831515859283969", "568831515859283969")</f>
        <v>0</v>
      </c>
      <c r="B2284" s="2">
        <v>42055.7474074074</v>
      </c>
      <c r="C2284">
        <v>29</v>
      </c>
      <c r="D2284">
        <v>110</v>
      </c>
      <c r="E2284" t="s">
        <v>2275</v>
      </c>
    </row>
    <row r="2285" spans="1:5">
      <c r="A2285">
        <f>HYPERLINK("http://www.twitter.com/nycoem/status/568802033798684672", "568802033798684672")</f>
        <v>0</v>
      </c>
      <c r="B2285" s="2">
        <v>42055.6660532407</v>
      </c>
      <c r="C2285">
        <v>5</v>
      </c>
      <c r="D2285">
        <v>1</v>
      </c>
      <c r="E2285" t="s">
        <v>2276</v>
      </c>
    </row>
    <row r="2286" spans="1:5">
      <c r="A2286">
        <f>HYPERLINK("http://www.twitter.com/nycoem/status/568800602626633729", "568800602626633729")</f>
        <v>0</v>
      </c>
      <c r="B2286" s="2">
        <v>42055.6621064815</v>
      </c>
      <c r="C2286">
        <v>0</v>
      </c>
      <c r="D2286">
        <v>17</v>
      </c>
      <c r="E2286" t="s">
        <v>2277</v>
      </c>
    </row>
    <row r="2287" spans="1:5">
      <c r="A2287">
        <f>HYPERLINK("http://www.twitter.com/nycoem/status/568772105690587136", "568772105690587136")</f>
        <v>0</v>
      </c>
      <c r="B2287" s="2">
        <v>42055.5834606482</v>
      </c>
      <c r="C2287">
        <v>2</v>
      </c>
      <c r="D2287">
        <v>3</v>
      </c>
      <c r="E2287" t="s">
        <v>2278</v>
      </c>
    </row>
    <row r="2288" spans="1:5">
      <c r="A2288">
        <f>HYPERLINK("http://www.twitter.com/nycoem/status/568768914487955456", "568768914487955456")</f>
        <v>0</v>
      </c>
      <c r="B2288" s="2">
        <v>42055.5746643519</v>
      </c>
      <c r="C2288">
        <v>1</v>
      </c>
      <c r="D2288">
        <v>4</v>
      </c>
      <c r="E2288" t="s">
        <v>2279</v>
      </c>
    </row>
    <row r="2289" spans="1:5">
      <c r="A2289">
        <f>HYPERLINK("http://www.twitter.com/nycoem/status/568545823992233984", "568545823992233984")</f>
        <v>0</v>
      </c>
      <c r="B2289" s="2">
        <v>42054.9590509259</v>
      </c>
      <c r="C2289">
        <v>3</v>
      </c>
      <c r="D2289">
        <v>3</v>
      </c>
      <c r="E2289" t="s">
        <v>2280</v>
      </c>
    </row>
    <row r="2290" spans="1:5">
      <c r="A2290">
        <f>HYPERLINK("http://www.twitter.com/nycoem/status/568520042796548096", "568520042796548096")</f>
        <v>0</v>
      </c>
      <c r="B2290" s="2">
        <v>42054.8879050926</v>
      </c>
      <c r="C2290">
        <v>0</v>
      </c>
      <c r="D2290">
        <v>8</v>
      </c>
      <c r="E2290" t="s">
        <v>2281</v>
      </c>
    </row>
    <row r="2291" spans="1:5">
      <c r="A2291">
        <f>HYPERLINK("http://www.twitter.com/nycoem/status/568478093821796353", "568478093821796353")</f>
        <v>0</v>
      </c>
      <c r="B2291" s="2">
        <v>42054.7721527778</v>
      </c>
      <c r="C2291">
        <v>0</v>
      </c>
      <c r="D2291">
        <v>1</v>
      </c>
      <c r="E2291" t="s">
        <v>2282</v>
      </c>
    </row>
    <row r="2292" spans="1:5">
      <c r="A2292">
        <f>HYPERLINK("http://www.twitter.com/nycoem/status/568477910660718592", "568477910660718592")</f>
        <v>0</v>
      </c>
      <c r="B2292" s="2">
        <v>42054.7716435185</v>
      </c>
      <c r="C2292">
        <v>2</v>
      </c>
      <c r="D2292">
        <v>1</v>
      </c>
      <c r="E2292" t="s">
        <v>2283</v>
      </c>
    </row>
    <row r="2293" spans="1:5">
      <c r="A2293">
        <f>HYPERLINK("http://www.twitter.com/nycoem/status/568458761855217664", "568458761855217664")</f>
        <v>0</v>
      </c>
      <c r="B2293" s="2">
        <v>42054.7187962963</v>
      </c>
      <c r="C2293">
        <v>1</v>
      </c>
      <c r="D2293">
        <v>1</v>
      </c>
      <c r="E2293" t="s">
        <v>2284</v>
      </c>
    </row>
    <row r="2294" spans="1:5">
      <c r="A2294">
        <f>HYPERLINK("http://www.twitter.com/nycoem/status/568419475885834240", "568419475885834240")</f>
        <v>0</v>
      </c>
      <c r="B2294" s="2">
        <v>42054.6103935185</v>
      </c>
      <c r="C2294">
        <v>1</v>
      </c>
      <c r="D2294">
        <v>8</v>
      </c>
      <c r="E2294" t="s">
        <v>2285</v>
      </c>
    </row>
    <row r="2295" spans="1:5">
      <c r="A2295">
        <f>HYPERLINK("http://www.twitter.com/nycoem/status/568192394979631104", "568192394979631104")</f>
        <v>0</v>
      </c>
      <c r="B2295" s="2">
        <v>42053.9837731481</v>
      </c>
      <c r="C2295">
        <v>1</v>
      </c>
      <c r="D2295">
        <v>9</v>
      </c>
      <c r="E2295" t="s">
        <v>2286</v>
      </c>
    </row>
    <row r="2296" spans="1:5">
      <c r="A2296">
        <f>HYPERLINK("http://www.twitter.com/nycoem/status/568175603528171520", "568175603528171520")</f>
        <v>0</v>
      </c>
      <c r="B2296" s="2">
        <v>42053.9374305556</v>
      </c>
      <c r="C2296">
        <v>0</v>
      </c>
      <c r="D2296">
        <v>9</v>
      </c>
      <c r="E2296" t="s">
        <v>2287</v>
      </c>
    </row>
    <row r="2297" spans="1:5">
      <c r="A2297">
        <f>HYPERLINK("http://www.twitter.com/nycoem/status/568163384543346688", "568163384543346688")</f>
        <v>0</v>
      </c>
      <c r="B2297" s="2">
        <v>42053.9037152778</v>
      </c>
      <c r="C2297">
        <v>4</v>
      </c>
      <c r="D2297">
        <v>11</v>
      </c>
      <c r="E2297" t="s">
        <v>2288</v>
      </c>
    </row>
    <row r="2298" spans="1:5">
      <c r="A2298">
        <f>HYPERLINK("http://www.twitter.com/nycoem/status/568157796136554498", "568157796136554498")</f>
        <v>0</v>
      </c>
      <c r="B2298" s="2">
        <v>42053.8882986111</v>
      </c>
      <c r="C2298">
        <v>0</v>
      </c>
      <c r="D2298">
        <v>12</v>
      </c>
      <c r="E2298" t="s">
        <v>2289</v>
      </c>
    </row>
    <row r="2299" spans="1:5">
      <c r="A2299">
        <f>HYPERLINK("http://www.twitter.com/nycoem/status/568095156538380288", "568095156538380288")</f>
        <v>0</v>
      </c>
      <c r="B2299" s="2">
        <v>42053.7154398148</v>
      </c>
      <c r="C2299">
        <v>1</v>
      </c>
      <c r="D2299">
        <v>1</v>
      </c>
      <c r="E2299" t="s">
        <v>2290</v>
      </c>
    </row>
    <row r="2300" spans="1:5">
      <c r="A2300">
        <f>HYPERLINK("http://www.twitter.com/nycoem/status/568084844414177281", "568084844414177281")</f>
        <v>0</v>
      </c>
      <c r="B2300" s="2">
        <v>42053.6869907407</v>
      </c>
      <c r="C2300">
        <v>0</v>
      </c>
      <c r="D2300">
        <v>2</v>
      </c>
      <c r="E2300" t="s">
        <v>2291</v>
      </c>
    </row>
    <row r="2301" spans="1:5">
      <c r="A2301">
        <f>HYPERLINK("http://www.twitter.com/nycoem/status/568074543765561344", "568074543765561344")</f>
        <v>0</v>
      </c>
      <c r="B2301" s="2">
        <v>42053.6585648148</v>
      </c>
      <c r="C2301">
        <v>1</v>
      </c>
      <c r="D2301">
        <v>3</v>
      </c>
      <c r="E2301" t="s">
        <v>2292</v>
      </c>
    </row>
    <row r="2302" spans="1:5">
      <c r="A2302">
        <f>HYPERLINK("http://www.twitter.com/nycoem/status/567732839454887938", "567732839454887938")</f>
        <v>0</v>
      </c>
      <c r="B2302" s="2">
        <v>42052.7156365741</v>
      </c>
      <c r="C2302">
        <v>13</v>
      </c>
      <c r="D2302">
        <v>14</v>
      </c>
      <c r="E2302" t="s">
        <v>2293</v>
      </c>
    </row>
    <row r="2303" spans="1:5">
      <c r="A2303">
        <f>HYPERLINK("http://www.twitter.com/nycoem/status/567687446310436864", "567687446310436864")</f>
        <v>0</v>
      </c>
      <c r="B2303" s="2">
        <v>42052.5903703704</v>
      </c>
      <c r="C2303">
        <v>4</v>
      </c>
      <c r="D2303">
        <v>5</v>
      </c>
      <c r="E2303" t="s">
        <v>2294</v>
      </c>
    </row>
    <row r="2304" spans="1:5">
      <c r="A2304">
        <f>HYPERLINK("http://www.twitter.com/nycoem/status/567684436201074688", "567684436201074688")</f>
        <v>0</v>
      </c>
      <c r="B2304" s="2">
        <v>42052.5820717593</v>
      </c>
      <c r="C2304">
        <v>7</v>
      </c>
      <c r="D2304">
        <v>4</v>
      </c>
      <c r="E2304" t="s">
        <v>2295</v>
      </c>
    </row>
    <row r="2305" spans="1:5">
      <c r="A2305">
        <f>HYPERLINK("http://www.twitter.com/nycoem/status/567478222427009024", "567478222427009024")</f>
        <v>0</v>
      </c>
      <c r="B2305" s="2">
        <v>42052.0130324074</v>
      </c>
      <c r="C2305">
        <v>11</v>
      </c>
      <c r="D2305">
        <v>39</v>
      </c>
      <c r="E2305" t="s">
        <v>2296</v>
      </c>
    </row>
    <row r="2306" spans="1:5">
      <c r="A2306">
        <f>HYPERLINK("http://www.twitter.com/nycoem/status/567377564986273793", "567377564986273793")</f>
        <v>0</v>
      </c>
      <c r="B2306" s="2">
        <v>42051.7352662037</v>
      </c>
      <c r="C2306">
        <v>0</v>
      </c>
      <c r="D2306">
        <v>16</v>
      </c>
      <c r="E2306" t="s">
        <v>2297</v>
      </c>
    </row>
    <row r="2307" spans="1:5">
      <c r="A2307">
        <f>HYPERLINK("http://www.twitter.com/nycoem/status/566934559959576576", "566934559959576576")</f>
        <v>0</v>
      </c>
      <c r="B2307" s="2">
        <v>42050.5128009259</v>
      </c>
      <c r="C2307">
        <v>0</v>
      </c>
      <c r="D2307">
        <v>40</v>
      </c>
      <c r="E2307" t="s">
        <v>2298</v>
      </c>
    </row>
    <row r="2308" spans="1:5">
      <c r="A2308">
        <f>HYPERLINK("http://www.twitter.com/nycoem/status/566776673144963073", "566776673144963073")</f>
        <v>0</v>
      </c>
      <c r="B2308" s="2">
        <v>42050.0771180556</v>
      </c>
      <c r="C2308">
        <v>0</v>
      </c>
      <c r="D2308">
        <v>31</v>
      </c>
      <c r="E2308" t="s">
        <v>2299</v>
      </c>
    </row>
    <row r="2309" spans="1:5">
      <c r="A2309">
        <f>HYPERLINK("http://www.twitter.com/nycoem/status/566776654593527809", "566776654593527809")</f>
        <v>0</v>
      </c>
      <c r="B2309" s="2">
        <v>42050.0770717593</v>
      </c>
      <c r="C2309">
        <v>0</v>
      </c>
      <c r="D2309">
        <v>34</v>
      </c>
      <c r="E2309" t="s">
        <v>2300</v>
      </c>
    </row>
    <row r="2310" spans="1:5">
      <c r="A2310">
        <f>HYPERLINK("http://www.twitter.com/nycoem/status/566714984940703744", "566714984940703744")</f>
        <v>0</v>
      </c>
      <c r="B2310" s="2">
        <v>42049.9068981481</v>
      </c>
      <c r="C2310">
        <v>0</v>
      </c>
      <c r="D2310">
        <v>29</v>
      </c>
      <c r="E2310" t="s">
        <v>2301</v>
      </c>
    </row>
    <row r="2311" spans="1:5">
      <c r="A2311">
        <f>HYPERLINK("http://www.twitter.com/nycoem/status/566645422794764288", "566645422794764288")</f>
        <v>0</v>
      </c>
      <c r="B2311" s="2">
        <v>42049.7149421296</v>
      </c>
      <c r="C2311">
        <v>5</v>
      </c>
      <c r="D2311">
        <v>9</v>
      </c>
      <c r="E2311" t="s">
        <v>2302</v>
      </c>
    </row>
    <row r="2312" spans="1:5">
      <c r="A2312">
        <f>HYPERLINK("http://www.twitter.com/nycoem/status/566612452100820992", "566612452100820992")</f>
        <v>0</v>
      </c>
      <c r="B2312" s="2">
        <v>42049.6239583333</v>
      </c>
      <c r="C2312">
        <v>0</v>
      </c>
      <c r="D2312">
        <v>27</v>
      </c>
      <c r="E2312" t="s">
        <v>2303</v>
      </c>
    </row>
    <row r="2313" spans="1:5">
      <c r="A2313">
        <f>HYPERLINK("http://www.twitter.com/nycoem/status/566373930563567616", "566373930563567616")</f>
        <v>0</v>
      </c>
      <c r="B2313" s="2">
        <v>42048.9657638889</v>
      </c>
      <c r="C2313">
        <v>2</v>
      </c>
      <c r="D2313">
        <v>11</v>
      </c>
      <c r="E2313" t="s">
        <v>2304</v>
      </c>
    </row>
    <row r="2314" spans="1:5">
      <c r="A2314">
        <f>HYPERLINK("http://www.twitter.com/nycoem/status/566354861034577922", "566354861034577922")</f>
        <v>0</v>
      </c>
      <c r="B2314" s="2">
        <v>42048.9131365741</v>
      </c>
      <c r="C2314">
        <v>1</v>
      </c>
      <c r="D2314">
        <v>5</v>
      </c>
      <c r="E2314" t="s">
        <v>2305</v>
      </c>
    </row>
    <row r="2315" spans="1:5">
      <c r="A2315">
        <f>HYPERLINK("http://www.twitter.com/nycoem/status/566351759191588864", "566351759191588864")</f>
        <v>0</v>
      </c>
      <c r="B2315" s="2">
        <v>42048.9045833333</v>
      </c>
      <c r="C2315">
        <v>2</v>
      </c>
      <c r="D2315">
        <v>0</v>
      </c>
      <c r="E2315" t="s">
        <v>2306</v>
      </c>
    </row>
    <row r="2316" spans="1:5">
      <c r="A2316">
        <f>HYPERLINK("http://www.twitter.com/nycoem/status/566346084415721472", "566346084415721472")</f>
        <v>0</v>
      </c>
      <c r="B2316" s="2">
        <v>42048.8889236111</v>
      </c>
      <c r="C2316">
        <v>2</v>
      </c>
      <c r="D2316">
        <v>0</v>
      </c>
      <c r="E2316" t="s">
        <v>2307</v>
      </c>
    </row>
    <row r="2317" spans="1:5">
      <c r="A2317">
        <f>HYPERLINK("http://www.twitter.com/nycoem/status/566345471934070785", "566345471934070785")</f>
        <v>0</v>
      </c>
      <c r="B2317" s="2">
        <v>42048.8872337963</v>
      </c>
      <c r="C2317">
        <v>1</v>
      </c>
      <c r="D2317">
        <v>0</v>
      </c>
      <c r="E2317" t="s">
        <v>2308</v>
      </c>
    </row>
    <row r="2318" spans="1:5">
      <c r="A2318">
        <f>HYPERLINK("http://www.twitter.com/nycoem/status/566344733128421376", "566344733128421376")</f>
        <v>0</v>
      </c>
      <c r="B2318" s="2">
        <v>42048.8851967593</v>
      </c>
      <c r="C2318">
        <v>2</v>
      </c>
      <c r="D2318">
        <v>6</v>
      </c>
      <c r="E2318" t="s">
        <v>2309</v>
      </c>
    </row>
    <row r="2319" spans="1:5">
      <c r="A2319">
        <f>HYPERLINK("http://www.twitter.com/nycoem/status/566344268982530049", "566344268982530049")</f>
        <v>0</v>
      </c>
      <c r="B2319" s="2">
        <v>42048.883912037</v>
      </c>
      <c r="C2319">
        <v>2</v>
      </c>
      <c r="D2319">
        <v>7</v>
      </c>
      <c r="E2319" t="s">
        <v>2310</v>
      </c>
    </row>
    <row r="2320" spans="1:5">
      <c r="A2320">
        <f>HYPERLINK("http://www.twitter.com/nycoem/status/566343854841163776", "566343854841163776")</f>
        <v>0</v>
      </c>
      <c r="B2320" s="2">
        <v>42048.8827662037</v>
      </c>
      <c r="C2320">
        <v>2</v>
      </c>
      <c r="D2320">
        <v>3</v>
      </c>
      <c r="E2320" t="s">
        <v>2311</v>
      </c>
    </row>
    <row r="2321" spans="1:5">
      <c r="A2321">
        <f>HYPERLINK("http://www.twitter.com/nycoem/status/566343544714301441", "566343544714301441")</f>
        <v>0</v>
      </c>
      <c r="B2321" s="2">
        <v>42048.8819097222</v>
      </c>
      <c r="C2321">
        <v>2</v>
      </c>
      <c r="D2321">
        <v>2</v>
      </c>
      <c r="E2321" t="s">
        <v>2312</v>
      </c>
    </row>
    <row r="2322" spans="1:5">
      <c r="A2322">
        <f>HYPERLINK("http://www.twitter.com/nycoem/status/566343177200992256", "566343177200992256")</f>
        <v>0</v>
      </c>
      <c r="B2322" s="2">
        <v>42048.8809027778</v>
      </c>
      <c r="C2322">
        <v>1</v>
      </c>
      <c r="D2322">
        <v>1</v>
      </c>
      <c r="E2322" t="s">
        <v>2313</v>
      </c>
    </row>
    <row r="2323" spans="1:5">
      <c r="A2323">
        <f>HYPERLINK("http://www.twitter.com/nycoem/status/566342999043751936", "566342999043751936")</f>
        <v>0</v>
      </c>
      <c r="B2323" s="2">
        <v>42048.8804050926</v>
      </c>
      <c r="C2323">
        <v>1</v>
      </c>
      <c r="D2323">
        <v>1</v>
      </c>
      <c r="E2323" t="s">
        <v>2314</v>
      </c>
    </row>
    <row r="2324" spans="1:5">
      <c r="A2324">
        <f>HYPERLINK("http://www.twitter.com/nycoem/status/566342693128011776", "566342693128011776")</f>
        <v>0</v>
      </c>
      <c r="B2324" s="2">
        <v>42048.8795601852</v>
      </c>
      <c r="C2324">
        <v>1</v>
      </c>
      <c r="D2324">
        <v>8</v>
      </c>
      <c r="E2324" t="s">
        <v>2315</v>
      </c>
    </row>
    <row r="2325" spans="1:5">
      <c r="A2325">
        <f>HYPERLINK("http://www.twitter.com/nycoem/status/566342241246269440", "566342241246269440")</f>
        <v>0</v>
      </c>
      <c r="B2325" s="2">
        <v>42048.8783217593</v>
      </c>
      <c r="C2325">
        <v>0</v>
      </c>
      <c r="D2325">
        <v>2</v>
      </c>
      <c r="E2325" t="s">
        <v>2316</v>
      </c>
    </row>
    <row r="2326" spans="1:5">
      <c r="A2326">
        <f>HYPERLINK("http://www.twitter.com/nycoem/status/566342005832548352", "566342005832548352")</f>
        <v>0</v>
      </c>
      <c r="B2326" s="2">
        <v>42048.877662037</v>
      </c>
      <c r="C2326">
        <v>1</v>
      </c>
      <c r="D2326">
        <v>3</v>
      </c>
      <c r="E2326" t="s">
        <v>2317</v>
      </c>
    </row>
    <row r="2327" spans="1:5">
      <c r="A2327">
        <f>HYPERLINK("http://www.twitter.com/nycoem/status/566341653133533185", "566341653133533185")</f>
        <v>0</v>
      </c>
      <c r="B2327" s="2">
        <v>42048.8766898148</v>
      </c>
      <c r="C2327">
        <v>3</v>
      </c>
      <c r="D2327">
        <v>6</v>
      </c>
      <c r="E2327" t="s">
        <v>2318</v>
      </c>
    </row>
    <row r="2328" spans="1:5">
      <c r="A2328">
        <f>HYPERLINK("http://www.twitter.com/nycoem/status/566341313747226624", "566341313747226624")</f>
        <v>0</v>
      </c>
      <c r="B2328" s="2">
        <v>42048.8757523148</v>
      </c>
      <c r="C2328">
        <v>0</v>
      </c>
      <c r="D2328">
        <v>4</v>
      </c>
      <c r="E2328" t="s">
        <v>2319</v>
      </c>
    </row>
    <row r="2329" spans="1:5">
      <c r="A2329">
        <f>HYPERLINK("http://www.twitter.com/nycoem/status/566340878558838785", "566340878558838785")</f>
        <v>0</v>
      </c>
      <c r="B2329" s="2">
        <v>42048.8745601852</v>
      </c>
      <c r="C2329">
        <v>2</v>
      </c>
      <c r="D2329">
        <v>6</v>
      </c>
      <c r="E2329" t="s">
        <v>2320</v>
      </c>
    </row>
    <row r="2330" spans="1:5">
      <c r="A2330">
        <f>HYPERLINK("http://www.twitter.com/nycoem/status/566340672136183808", "566340672136183808")</f>
        <v>0</v>
      </c>
      <c r="B2330" s="2">
        <v>42048.8739814815</v>
      </c>
      <c r="C2330">
        <v>1</v>
      </c>
      <c r="D2330">
        <v>5</v>
      </c>
      <c r="E2330" t="s">
        <v>2321</v>
      </c>
    </row>
    <row r="2331" spans="1:5">
      <c r="A2331">
        <f>HYPERLINK("http://www.twitter.com/nycoem/status/566309709914046465", "566309709914046465")</f>
        <v>0</v>
      </c>
      <c r="B2331" s="2">
        <v>42048.7885532407</v>
      </c>
      <c r="C2331">
        <v>0</v>
      </c>
      <c r="D2331">
        <v>1</v>
      </c>
      <c r="E2331" t="s">
        <v>2322</v>
      </c>
    </row>
    <row r="2332" spans="1:5">
      <c r="A2332">
        <f>HYPERLINK("http://www.twitter.com/nycoem/status/566309495379607552", "566309495379607552")</f>
        <v>0</v>
      </c>
      <c r="B2332" s="2">
        <v>42048.7879513889</v>
      </c>
      <c r="C2332">
        <v>0</v>
      </c>
      <c r="D2332">
        <v>20</v>
      </c>
      <c r="E2332" t="s">
        <v>2323</v>
      </c>
    </row>
    <row r="2333" spans="1:5">
      <c r="A2333">
        <f>HYPERLINK("http://www.twitter.com/nycoem/status/566309486240210944", "566309486240210944")</f>
        <v>0</v>
      </c>
      <c r="B2333" s="2">
        <v>42048.7879282407</v>
      </c>
      <c r="C2333">
        <v>0</v>
      </c>
      <c r="D2333">
        <v>14</v>
      </c>
      <c r="E2333" t="s">
        <v>2324</v>
      </c>
    </row>
    <row r="2334" spans="1:5">
      <c r="A2334">
        <f>HYPERLINK("http://www.twitter.com/nycoem/status/566248040017973248", "566248040017973248")</f>
        <v>0</v>
      </c>
      <c r="B2334" s="2">
        <v>42048.6183680556</v>
      </c>
      <c r="C2334">
        <v>0</v>
      </c>
      <c r="D2334">
        <v>0</v>
      </c>
      <c r="E2334" t="s">
        <v>2325</v>
      </c>
    </row>
    <row r="2335" spans="1:5">
      <c r="A2335">
        <f>HYPERLINK("http://www.twitter.com/nycoem/status/566037237146877952", "566037237146877952")</f>
        <v>0</v>
      </c>
      <c r="B2335" s="2">
        <v>42048.0366666667</v>
      </c>
      <c r="C2335">
        <v>0</v>
      </c>
      <c r="D2335">
        <v>16</v>
      </c>
      <c r="E2335" t="s">
        <v>2326</v>
      </c>
    </row>
    <row r="2336" spans="1:5">
      <c r="A2336">
        <f>HYPERLINK("http://www.twitter.com/nycoem/status/565965481220513792", "565965481220513792")</f>
        <v>0</v>
      </c>
      <c r="B2336" s="2">
        <v>42047.8386574074</v>
      </c>
      <c r="C2336">
        <v>6</v>
      </c>
      <c r="D2336">
        <v>10</v>
      </c>
      <c r="E2336" t="s">
        <v>2327</v>
      </c>
    </row>
    <row r="2337" spans="1:5">
      <c r="A2337">
        <f>HYPERLINK("http://www.twitter.com/nycoem/status/565948563893792769", "565948563893792769")</f>
        <v>0</v>
      </c>
      <c r="B2337" s="2">
        <v>42047.7919791667</v>
      </c>
      <c r="C2337">
        <v>0</v>
      </c>
      <c r="D2337">
        <v>22</v>
      </c>
      <c r="E2337" t="s">
        <v>2328</v>
      </c>
    </row>
    <row r="2338" spans="1:5">
      <c r="A2338">
        <f>HYPERLINK("http://www.twitter.com/nycoem/status/565948550765613058", "565948550765613058")</f>
        <v>0</v>
      </c>
      <c r="B2338" s="2">
        <v>42047.7919328704</v>
      </c>
      <c r="C2338">
        <v>0</v>
      </c>
      <c r="D2338">
        <v>7</v>
      </c>
      <c r="E2338" t="s">
        <v>2329</v>
      </c>
    </row>
    <row r="2339" spans="1:5">
      <c r="A2339">
        <f>HYPERLINK("http://www.twitter.com/nycoem/status/565945448960364544", "565945448960364544")</f>
        <v>0</v>
      </c>
      <c r="B2339" s="2">
        <v>42047.7833796296</v>
      </c>
      <c r="C2339">
        <v>0</v>
      </c>
      <c r="D2339">
        <v>12</v>
      </c>
      <c r="E2339" t="s">
        <v>2330</v>
      </c>
    </row>
    <row r="2340" spans="1:5">
      <c r="A2340">
        <f>HYPERLINK("http://www.twitter.com/nycoem/status/565945434800398337", "565945434800398337")</f>
        <v>0</v>
      </c>
      <c r="B2340" s="2">
        <v>42047.7833449074</v>
      </c>
      <c r="C2340">
        <v>0</v>
      </c>
      <c r="D2340">
        <v>4</v>
      </c>
      <c r="E2340" t="s">
        <v>2331</v>
      </c>
    </row>
    <row r="2341" spans="1:5">
      <c r="A2341">
        <f>HYPERLINK("http://www.twitter.com/nycoem/status/565939739908665344", "565939739908665344")</f>
        <v>0</v>
      </c>
      <c r="B2341" s="2">
        <v>42047.7676273148</v>
      </c>
      <c r="C2341">
        <v>2</v>
      </c>
      <c r="D2341">
        <v>3</v>
      </c>
      <c r="E2341" t="s">
        <v>2332</v>
      </c>
    </row>
    <row r="2342" spans="1:5">
      <c r="A2342">
        <f>HYPERLINK("http://www.twitter.com/nycoem/status/565883338263904256", "565883338263904256")</f>
        <v>0</v>
      </c>
      <c r="B2342" s="2">
        <v>42047.6119907407</v>
      </c>
      <c r="C2342">
        <v>63</v>
      </c>
      <c r="D2342">
        <v>67</v>
      </c>
      <c r="E2342" t="s">
        <v>2333</v>
      </c>
    </row>
    <row r="2343" spans="1:5">
      <c r="A2343">
        <f>HYPERLINK("http://www.twitter.com/nycoem/status/565665483790512129", "565665483790512129")</f>
        <v>0</v>
      </c>
      <c r="B2343" s="2">
        <v>42047.0108217593</v>
      </c>
      <c r="C2343">
        <v>0</v>
      </c>
      <c r="D2343">
        <v>19</v>
      </c>
      <c r="E2343" t="s">
        <v>2334</v>
      </c>
    </row>
    <row r="2344" spans="1:5">
      <c r="A2344">
        <f>HYPERLINK("http://www.twitter.com/nycoem/status/565602114676981761", "565602114676981761")</f>
        <v>0</v>
      </c>
      <c r="B2344" s="2">
        <v>42046.8359606481</v>
      </c>
      <c r="C2344">
        <v>3</v>
      </c>
      <c r="D2344">
        <v>3</v>
      </c>
      <c r="E2344" t="s">
        <v>2335</v>
      </c>
    </row>
    <row r="2345" spans="1:5">
      <c r="A2345">
        <f>HYPERLINK("http://www.twitter.com/nycoem/status/565566239364628481", "565566239364628481")</f>
        <v>0</v>
      </c>
      <c r="B2345" s="2">
        <v>42046.7369560185</v>
      </c>
      <c r="C2345">
        <v>0</v>
      </c>
      <c r="D2345">
        <v>0</v>
      </c>
      <c r="E2345" t="s">
        <v>2336</v>
      </c>
    </row>
    <row r="2346" spans="1:5">
      <c r="A2346">
        <f>HYPERLINK("http://www.twitter.com/nycoem/status/565206189622194176", "565206189622194176")</f>
        <v>0</v>
      </c>
      <c r="B2346" s="2">
        <v>42045.7434143519</v>
      </c>
      <c r="C2346">
        <v>0</v>
      </c>
      <c r="D2346">
        <v>0</v>
      </c>
      <c r="E2346" t="s">
        <v>2337</v>
      </c>
    </row>
    <row r="2347" spans="1:5">
      <c r="A2347">
        <f>HYPERLINK("http://www.twitter.com/nycoem/status/565190851824209921", "565190851824209921")</f>
        <v>0</v>
      </c>
      <c r="B2347" s="2">
        <v>42045.701087963</v>
      </c>
      <c r="C2347">
        <v>2</v>
      </c>
      <c r="D2347">
        <v>2</v>
      </c>
      <c r="E2347" t="s">
        <v>2338</v>
      </c>
    </row>
    <row r="2348" spans="1:5">
      <c r="A2348">
        <f>HYPERLINK("http://www.twitter.com/nycoem/status/564874014880194560", "564874014880194560")</f>
        <v>0</v>
      </c>
      <c r="B2348" s="2">
        <v>42044.8267824074</v>
      </c>
      <c r="C2348">
        <v>0</v>
      </c>
      <c r="D2348">
        <v>0</v>
      </c>
      <c r="E2348" t="s">
        <v>2339</v>
      </c>
    </row>
    <row r="2349" spans="1:5">
      <c r="A2349">
        <f>HYPERLINK("http://www.twitter.com/nycoem/status/564854296211357696", "564854296211357696")</f>
        <v>0</v>
      </c>
      <c r="B2349" s="2">
        <v>42044.7723726852</v>
      </c>
      <c r="C2349">
        <v>0</v>
      </c>
      <c r="D2349">
        <v>17</v>
      </c>
      <c r="E2349" t="s">
        <v>2340</v>
      </c>
    </row>
    <row r="2350" spans="1:5">
      <c r="A2350">
        <f>HYPERLINK("http://www.twitter.com/nycoem/status/564833710907072514", "564833710907072514")</f>
        <v>0</v>
      </c>
      <c r="B2350" s="2">
        <v>42044.7155671296</v>
      </c>
      <c r="C2350">
        <v>2</v>
      </c>
      <c r="D2350">
        <v>5</v>
      </c>
      <c r="E2350" t="s">
        <v>2341</v>
      </c>
    </row>
    <row r="2351" spans="1:5">
      <c r="A2351">
        <f>HYPERLINK("http://www.twitter.com/nycoem/status/564806021349396481", "564806021349396481")</f>
        <v>0</v>
      </c>
      <c r="B2351" s="2">
        <v>42044.6391550926</v>
      </c>
      <c r="C2351">
        <v>1</v>
      </c>
      <c r="D2351">
        <v>0</v>
      </c>
      <c r="E2351" t="s">
        <v>2342</v>
      </c>
    </row>
    <row r="2352" spans="1:5">
      <c r="A2352">
        <f>HYPERLINK("http://www.twitter.com/nycoem/status/564768764479410176", "564768764479410176")</f>
        <v>0</v>
      </c>
      <c r="B2352" s="2">
        <v>42044.5363541667</v>
      </c>
      <c r="C2352">
        <v>0</v>
      </c>
      <c r="D2352">
        <v>25</v>
      </c>
      <c r="E2352" t="s">
        <v>2343</v>
      </c>
    </row>
    <row r="2353" spans="1:5">
      <c r="A2353">
        <f>HYPERLINK("http://www.twitter.com/nycoem/status/564534841312804864", "564534841312804864")</f>
        <v>0</v>
      </c>
      <c r="B2353" s="2">
        <v>42043.8908449074</v>
      </c>
      <c r="C2353">
        <v>2</v>
      </c>
      <c r="D2353">
        <v>18</v>
      </c>
      <c r="E2353" t="s">
        <v>2344</v>
      </c>
    </row>
    <row r="2354" spans="1:5">
      <c r="A2354">
        <f>HYPERLINK("http://www.twitter.com/nycoem/status/564526358874054656", "564526358874054656")</f>
        <v>0</v>
      </c>
      <c r="B2354" s="2">
        <v>42043.8674421296</v>
      </c>
      <c r="C2354">
        <v>0</v>
      </c>
      <c r="D2354">
        <v>38</v>
      </c>
      <c r="E2354" t="s">
        <v>2345</v>
      </c>
    </row>
    <row r="2355" spans="1:5">
      <c r="A2355">
        <f>HYPERLINK("http://www.twitter.com/nycoem/status/564525921781432320", "564525921781432320")</f>
        <v>0</v>
      </c>
      <c r="B2355" s="2">
        <v>42043.8662268519</v>
      </c>
      <c r="C2355">
        <v>0</v>
      </c>
      <c r="D2355">
        <v>11</v>
      </c>
      <c r="E2355" t="s">
        <v>2346</v>
      </c>
    </row>
    <row r="2356" spans="1:5">
      <c r="A2356">
        <f>HYPERLINK("http://www.twitter.com/nycoem/status/564516595067006976", "564516595067006976")</f>
        <v>0</v>
      </c>
      <c r="B2356" s="2">
        <v>42043.8404976852</v>
      </c>
      <c r="C2356">
        <v>1</v>
      </c>
      <c r="D2356">
        <v>2</v>
      </c>
      <c r="E2356" t="s">
        <v>2347</v>
      </c>
    </row>
    <row r="2357" spans="1:5">
      <c r="A2357">
        <f>HYPERLINK("http://www.twitter.com/nycoem/status/564467861801168896", "564467861801168896")</f>
        <v>0</v>
      </c>
      <c r="B2357" s="2">
        <v>42043.7060185185</v>
      </c>
      <c r="C2357">
        <v>0</v>
      </c>
      <c r="D2357">
        <v>45</v>
      </c>
      <c r="E2357" t="s">
        <v>2348</v>
      </c>
    </row>
    <row r="2358" spans="1:5">
      <c r="A2358">
        <f>HYPERLINK("http://www.twitter.com/nycoem/status/564446112355192835", "564446112355192835")</f>
        <v>0</v>
      </c>
      <c r="B2358" s="2">
        <v>42043.6459953704</v>
      </c>
      <c r="C2358">
        <v>2</v>
      </c>
      <c r="D2358">
        <v>4</v>
      </c>
      <c r="E2358" t="s">
        <v>2349</v>
      </c>
    </row>
    <row r="2359" spans="1:5">
      <c r="A2359">
        <f>HYPERLINK("http://www.twitter.com/nycoem/status/564248708490223616", "564248708490223616")</f>
        <v>0</v>
      </c>
      <c r="B2359" s="2">
        <v>42043.1012615741</v>
      </c>
      <c r="C2359">
        <v>0</v>
      </c>
      <c r="D2359">
        <v>40</v>
      </c>
      <c r="E2359" t="s">
        <v>2350</v>
      </c>
    </row>
    <row r="2360" spans="1:5">
      <c r="A2360">
        <f>HYPERLINK("http://www.twitter.com/nycoem/status/564089042321833984", "564089042321833984")</f>
        <v>0</v>
      </c>
      <c r="B2360" s="2">
        <v>42042.6606712963</v>
      </c>
      <c r="C2360">
        <v>0</v>
      </c>
      <c r="D2360">
        <v>17</v>
      </c>
      <c r="E2360" t="s">
        <v>2351</v>
      </c>
    </row>
    <row r="2361" spans="1:5">
      <c r="A2361">
        <f>HYPERLINK("http://www.twitter.com/nycoem/status/564066120781795328", "564066120781795328")</f>
        <v>0</v>
      </c>
      <c r="B2361" s="2">
        <v>42042.5974189815</v>
      </c>
      <c r="C2361">
        <v>0</v>
      </c>
      <c r="D2361">
        <v>4</v>
      </c>
      <c r="E2361" t="s">
        <v>2352</v>
      </c>
    </row>
    <row r="2362" spans="1:5">
      <c r="A2362">
        <f>HYPERLINK("http://www.twitter.com/nycoem/status/563823110571700224", "563823110571700224")</f>
        <v>0</v>
      </c>
      <c r="B2362" s="2">
        <v>42041.9268402778</v>
      </c>
      <c r="C2362">
        <v>0</v>
      </c>
      <c r="D2362">
        <v>23</v>
      </c>
      <c r="E2362" t="s">
        <v>2353</v>
      </c>
    </row>
    <row r="2363" spans="1:5">
      <c r="A2363">
        <f>HYPERLINK("http://www.twitter.com/nycoem/status/563741470344376320", "563741470344376320")</f>
        <v>0</v>
      </c>
      <c r="B2363" s="2">
        <v>42041.7015509259</v>
      </c>
      <c r="C2363">
        <v>2</v>
      </c>
      <c r="D2363">
        <v>6</v>
      </c>
      <c r="E2363" t="s">
        <v>2354</v>
      </c>
    </row>
    <row r="2364" spans="1:5">
      <c r="A2364">
        <f>HYPERLINK("http://www.twitter.com/nycoem/status/563694973959557120", "563694973959557120")</f>
        <v>0</v>
      </c>
      <c r="B2364" s="2">
        <v>42041.5732523148</v>
      </c>
      <c r="C2364">
        <v>1</v>
      </c>
      <c r="D2364">
        <v>0</v>
      </c>
      <c r="E2364" t="s">
        <v>2355</v>
      </c>
    </row>
    <row r="2365" spans="1:5">
      <c r="A2365">
        <f>HYPERLINK("http://www.twitter.com/nycoem/status/563501356699623424", "563501356699623424")</f>
        <v>0</v>
      </c>
      <c r="B2365" s="2">
        <v>42041.0389699074</v>
      </c>
      <c r="C2365">
        <v>0</v>
      </c>
      <c r="D2365">
        <v>13</v>
      </c>
      <c r="E2365" t="s">
        <v>2356</v>
      </c>
    </row>
    <row r="2366" spans="1:5">
      <c r="A2366">
        <f>HYPERLINK("http://www.twitter.com/nycoem/status/563425639811010562", "563425639811010562")</f>
        <v>0</v>
      </c>
      <c r="B2366" s="2">
        <v>42040.8300347222</v>
      </c>
      <c r="C2366">
        <v>1</v>
      </c>
      <c r="D2366">
        <v>1</v>
      </c>
      <c r="E2366" t="s">
        <v>2357</v>
      </c>
    </row>
    <row r="2367" spans="1:5">
      <c r="A2367">
        <f>HYPERLINK("http://www.twitter.com/nycoem/status/563393553418973184", "563393553418973184")</f>
        <v>0</v>
      </c>
      <c r="B2367" s="2">
        <v>42040.7414930556</v>
      </c>
      <c r="C2367">
        <v>0</v>
      </c>
      <c r="D2367">
        <v>0</v>
      </c>
      <c r="E2367" t="s">
        <v>2358</v>
      </c>
    </row>
    <row r="2368" spans="1:5">
      <c r="A2368">
        <f>HYPERLINK("http://www.twitter.com/nycoem/status/563393279900000256", "563393279900000256")</f>
        <v>0</v>
      </c>
      <c r="B2368" s="2">
        <v>42040.7407291667</v>
      </c>
      <c r="C2368">
        <v>2</v>
      </c>
      <c r="D2368">
        <v>2</v>
      </c>
      <c r="E2368" t="s">
        <v>2359</v>
      </c>
    </row>
    <row r="2369" spans="1:5">
      <c r="A2369">
        <f>HYPERLINK("http://www.twitter.com/nycoem/status/563366757256421376", "563366757256421376")</f>
        <v>0</v>
      </c>
      <c r="B2369" s="2">
        <v>42040.6675462963</v>
      </c>
      <c r="C2369">
        <v>0</v>
      </c>
      <c r="D2369">
        <v>0</v>
      </c>
      <c r="E2369" t="s">
        <v>2360</v>
      </c>
    </row>
    <row r="2370" spans="1:5">
      <c r="A2370">
        <f>HYPERLINK("http://www.twitter.com/nycoem/status/563094971449102337", "563094971449102337")</f>
        <v>0</v>
      </c>
      <c r="B2370" s="2">
        <v>42039.9175578704</v>
      </c>
      <c r="C2370">
        <v>0</v>
      </c>
      <c r="D2370">
        <v>38</v>
      </c>
      <c r="E2370" t="s">
        <v>2361</v>
      </c>
    </row>
    <row r="2371" spans="1:5">
      <c r="A2371">
        <f>HYPERLINK("http://www.twitter.com/nycoem/status/563008286640070659", "563008286640070659")</f>
        <v>0</v>
      </c>
      <c r="B2371" s="2">
        <v>42039.6783564815</v>
      </c>
      <c r="C2371">
        <v>3</v>
      </c>
      <c r="D2371">
        <v>5</v>
      </c>
      <c r="E2371" t="s">
        <v>2362</v>
      </c>
    </row>
    <row r="2372" spans="1:5">
      <c r="A2372">
        <f>HYPERLINK("http://www.twitter.com/nycoem/status/562970195506233344", "562970195506233344")</f>
        <v>0</v>
      </c>
      <c r="B2372" s="2">
        <v>42039.5732407407</v>
      </c>
      <c r="C2372">
        <v>0</v>
      </c>
      <c r="D2372">
        <v>2</v>
      </c>
      <c r="E2372" t="s">
        <v>2363</v>
      </c>
    </row>
    <row r="2373" spans="1:5">
      <c r="A2373">
        <f>HYPERLINK("http://www.twitter.com/nycoem/status/562772765053550592", "562772765053550592")</f>
        <v>0</v>
      </c>
      <c r="B2373" s="2">
        <v>42039.0284375</v>
      </c>
      <c r="C2373">
        <v>1</v>
      </c>
      <c r="D2373">
        <v>0</v>
      </c>
      <c r="E2373" t="s">
        <v>2364</v>
      </c>
    </row>
    <row r="2374" spans="1:5">
      <c r="A2374">
        <f>HYPERLINK("http://www.twitter.com/nycoem/status/562771807145832448", "562771807145832448")</f>
        <v>0</v>
      </c>
      <c r="B2374" s="2">
        <v>42039.0257986111</v>
      </c>
      <c r="C2374">
        <v>0</v>
      </c>
      <c r="D2374">
        <v>0</v>
      </c>
      <c r="E2374" t="s">
        <v>2365</v>
      </c>
    </row>
    <row r="2375" spans="1:5">
      <c r="A2375">
        <f>HYPERLINK("http://www.twitter.com/nycoem/status/562769113811283969", "562769113811283969")</f>
        <v>0</v>
      </c>
      <c r="B2375" s="2">
        <v>42039.0183680556</v>
      </c>
      <c r="C2375">
        <v>4</v>
      </c>
      <c r="D2375">
        <v>8</v>
      </c>
      <c r="E2375" t="s">
        <v>2366</v>
      </c>
    </row>
    <row r="2376" spans="1:5">
      <c r="A2376">
        <f>HYPERLINK("http://www.twitter.com/nycoem/status/562739542474891264", "562739542474891264")</f>
        <v>0</v>
      </c>
      <c r="B2376" s="2">
        <v>42038.9367592593</v>
      </c>
      <c r="C2376">
        <v>0</v>
      </c>
      <c r="D2376">
        <v>2</v>
      </c>
      <c r="E2376" t="s">
        <v>2367</v>
      </c>
    </row>
    <row r="2377" spans="1:5">
      <c r="A2377">
        <f>HYPERLINK("http://www.twitter.com/nycoem/status/562733620545466369", "562733620545466369")</f>
        <v>0</v>
      </c>
      <c r="B2377" s="2">
        <v>42038.9204166667</v>
      </c>
      <c r="C2377">
        <v>2</v>
      </c>
      <c r="D2377">
        <v>6</v>
      </c>
      <c r="E2377" t="s">
        <v>2368</v>
      </c>
    </row>
    <row r="2378" spans="1:5">
      <c r="A2378">
        <f>HYPERLINK("http://www.twitter.com/nycoem/status/562716666275307520", "562716666275307520")</f>
        <v>0</v>
      </c>
      <c r="B2378" s="2">
        <v>42038.8736342593</v>
      </c>
      <c r="C2378">
        <v>0</v>
      </c>
      <c r="D2378">
        <v>13</v>
      </c>
      <c r="E2378" t="s">
        <v>2369</v>
      </c>
    </row>
    <row r="2379" spans="1:5">
      <c r="A2379">
        <f>HYPERLINK("http://www.twitter.com/nycoem/status/562673348241784832", "562673348241784832")</f>
        <v>0</v>
      </c>
      <c r="B2379" s="2">
        <v>42038.7540972222</v>
      </c>
      <c r="C2379">
        <v>1</v>
      </c>
      <c r="D2379">
        <v>2</v>
      </c>
      <c r="E2379" t="s">
        <v>2370</v>
      </c>
    </row>
    <row r="2380" spans="1:5">
      <c r="A2380">
        <f>HYPERLINK("http://www.twitter.com/nycoem/status/562633951882534913", "562633951882534913")</f>
        <v>0</v>
      </c>
      <c r="B2380" s="2">
        <v>42038.6453935185</v>
      </c>
      <c r="C2380">
        <v>0</v>
      </c>
      <c r="D2380">
        <v>58</v>
      </c>
      <c r="E2380" t="s">
        <v>2371</v>
      </c>
    </row>
    <row r="2381" spans="1:5">
      <c r="A2381">
        <f>HYPERLINK("http://www.twitter.com/nycoem/status/562431471781412865", "562431471781412865")</f>
        <v>0</v>
      </c>
      <c r="B2381" s="2">
        <v>42038.0866550926</v>
      </c>
      <c r="C2381">
        <v>0</v>
      </c>
      <c r="D2381">
        <v>78</v>
      </c>
      <c r="E2381" t="s">
        <v>2372</v>
      </c>
    </row>
    <row r="2382" spans="1:5">
      <c r="A2382">
        <f>HYPERLINK("http://www.twitter.com/nycoem/status/562396694395228161", "562396694395228161")</f>
        <v>0</v>
      </c>
      <c r="B2382" s="2">
        <v>42037.9906828704</v>
      </c>
      <c r="C2382">
        <v>2</v>
      </c>
      <c r="D2382">
        <v>5</v>
      </c>
      <c r="E2382" t="s">
        <v>2373</v>
      </c>
    </row>
    <row r="2383" spans="1:5">
      <c r="A2383">
        <f>HYPERLINK("http://www.twitter.com/nycoem/status/562371016182484994", "562371016182484994")</f>
        <v>0</v>
      </c>
      <c r="B2383" s="2">
        <v>42037.9198263889</v>
      </c>
      <c r="C2383">
        <v>0</v>
      </c>
      <c r="D2383">
        <v>16</v>
      </c>
      <c r="E2383" t="s">
        <v>2374</v>
      </c>
    </row>
    <row r="2384" spans="1:5">
      <c r="A2384">
        <f>HYPERLINK("http://www.twitter.com/nycoem/status/562350630220865536", "562350630220865536")</f>
        <v>0</v>
      </c>
      <c r="B2384" s="2">
        <v>42037.8635648148</v>
      </c>
      <c r="C2384">
        <v>2</v>
      </c>
      <c r="D2384">
        <v>11</v>
      </c>
      <c r="E2384" t="s">
        <v>2375</v>
      </c>
    </row>
    <row r="2385" spans="1:5">
      <c r="A2385">
        <f>HYPERLINK("http://www.twitter.com/nycoem/status/562344913111891968", "562344913111891968")</f>
        <v>0</v>
      </c>
      <c r="B2385" s="2">
        <v>42037.8477893519</v>
      </c>
      <c r="C2385">
        <v>8</v>
      </c>
      <c r="D2385">
        <v>22</v>
      </c>
      <c r="E2385" t="s">
        <v>2376</v>
      </c>
    </row>
    <row r="2386" spans="1:5">
      <c r="A2386">
        <f>HYPERLINK("http://www.twitter.com/nycoem/status/562334563784204288", "562334563784204288")</f>
        <v>0</v>
      </c>
      <c r="B2386" s="2">
        <v>42037.8192361111</v>
      </c>
      <c r="C2386">
        <v>0</v>
      </c>
      <c r="D2386">
        <v>8</v>
      </c>
      <c r="E2386" t="s">
        <v>2377</v>
      </c>
    </row>
    <row r="2387" spans="1:5">
      <c r="A2387">
        <f>HYPERLINK("http://www.twitter.com/nycoem/status/562324373450022912", "562324373450022912")</f>
        <v>0</v>
      </c>
      <c r="B2387" s="2">
        <v>42037.7911111111</v>
      </c>
      <c r="C2387">
        <v>0</v>
      </c>
      <c r="D2387">
        <v>26</v>
      </c>
      <c r="E2387" t="s">
        <v>2378</v>
      </c>
    </row>
    <row r="2388" spans="1:5">
      <c r="A2388">
        <f>HYPERLINK("http://www.twitter.com/nycoem/status/562285937645072384", "562285937645072384")</f>
        <v>0</v>
      </c>
      <c r="B2388" s="2">
        <v>42037.6850462963</v>
      </c>
      <c r="C2388">
        <v>0</v>
      </c>
      <c r="D2388">
        <v>20</v>
      </c>
      <c r="E2388" t="s">
        <v>2379</v>
      </c>
    </row>
    <row r="2389" spans="1:5">
      <c r="A2389">
        <f>HYPERLINK("http://www.twitter.com/nycoem/status/562285296482779136", "562285296482779136")</f>
        <v>0</v>
      </c>
      <c r="B2389" s="2">
        <v>42037.683287037</v>
      </c>
      <c r="C2389">
        <v>0</v>
      </c>
      <c r="D2389">
        <v>56</v>
      </c>
      <c r="E2389" t="s">
        <v>2380</v>
      </c>
    </row>
    <row r="2390" spans="1:5">
      <c r="A2390">
        <f>HYPERLINK("http://www.twitter.com/nycoem/status/562261559251329024", "562261559251329024")</f>
        <v>0</v>
      </c>
      <c r="B2390" s="2">
        <v>42037.6177777778</v>
      </c>
      <c r="C2390">
        <v>0</v>
      </c>
      <c r="D2390">
        <v>19</v>
      </c>
      <c r="E2390" t="s">
        <v>2381</v>
      </c>
    </row>
    <row r="2391" spans="1:5">
      <c r="A2391">
        <f>HYPERLINK("http://www.twitter.com/nycoem/status/562245423939981312", "562245423939981312")</f>
        <v>0</v>
      </c>
      <c r="B2391" s="2">
        <v>42037.5732523148</v>
      </c>
      <c r="C2391">
        <v>1</v>
      </c>
      <c r="D2391">
        <v>0</v>
      </c>
      <c r="E2391" t="s">
        <v>2382</v>
      </c>
    </row>
    <row r="2392" spans="1:5">
      <c r="A2392">
        <f>HYPERLINK("http://www.twitter.com/nycoem/status/562219527367565312", "562219527367565312")</f>
        <v>0</v>
      </c>
      <c r="B2392" s="2">
        <v>42037.5017939815</v>
      </c>
      <c r="C2392">
        <v>3</v>
      </c>
      <c r="D2392">
        <v>9</v>
      </c>
      <c r="E2392" t="s">
        <v>2383</v>
      </c>
    </row>
    <row r="2393" spans="1:5">
      <c r="A2393">
        <f>HYPERLINK("http://www.twitter.com/nycoem/status/562205601628176384", "562205601628176384")</f>
        <v>0</v>
      </c>
      <c r="B2393" s="2">
        <v>42037.4633680556</v>
      </c>
      <c r="C2393">
        <v>0</v>
      </c>
      <c r="D2393">
        <v>49</v>
      </c>
      <c r="E2393" t="s">
        <v>2384</v>
      </c>
    </row>
    <row r="2394" spans="1:5">
      <c r="A2394">
        <f>HYPERLINK("http://www.twitter.com/nycoem/status/562110042191966208", "562110042191966208")</f>
        <v>0</v>
      </c>
      <c r="B2394" s="2">
        <v>42037.1996759259</v>
      </c>
      <c r="C2394">
        <v>2</v>
      </c>
      <c r="D2394">
        <v>2</v>
      </c>
      <c r="E2394" t="s">
        <v>2385</v>
      </c>
    </row>
    <row r="2395" spans="1:5">
      <c r="A2395">
        <f>HYPERLINK("http://www.twitter.com/nycoem/status/562109908334952448", "562109908334952448")</f>
        <v>0</v>
      </c>
      <c r="B2395" s="2">
        <v>42037.1993055556</v>
      </c>
      <c r="C2395">
        <v>1</v>
      </c>
      <c r="D2395">
        <v>10</v>
      </c>
      <c r="E2395" t="s">
        <v>2386</v>
      </c>
    </row>
    <row r="2396" spans="1:5">
      <c r="A2396">
        <f>HYPERLINK("http://www.twitter.com/nycoem/status/562030997450289152", "562030997450289152")</f>
        <v>0</v>
      </c>
      <c r="B2396" s="2">
        <v>42036.9815509259</v>
      </c>
      <c r="C2396">
        <v>0</v>
      </c>
      <c r="D2396">
        <v>39</v>
      </c>
      <c r="E2396" t="s">
        <v>2387</v>
      </c>
    </row>
    <row r="2397" spans="1:5">
      <c r="A2397">
        <f>HYPERLINK("http://www.twitter.com/nycoem/status/562018479260577792", "562018479260577792")</f>
        <v>0</v>
      </c>
      <c r="B2397" s="2">
        <v>42036.9470023148</v>
      </c>
      <c r="C2397">
        <v>1</v>
      </c>
      <c r="D2397">
        <v>6</v>
      </c>
      <c r="E2397" t="s">
        <v>2388</v>
      </c>
    </row>
    <row r="2398" spans="1:5">
      <c r="A2398">
        <f>HYPERLINK("http://www.twitter.com/nycoem/status/562006818902528001", "562006818902528001")</f>
        <v>0</v>
      </c>
      <c r="B2398" s="2">
        <v>42036.9148263889</v>
      </c>
      <c r="C2398">
        <v>6</v>
      </c>
      <c r="D2398">
        <v>21</v>
      </c>
      <c r="E2398" t="s">
        <v>2389</v>
      </c>
    </row>
    <row r="2399" spans="1:5">
      <c r="A2399">
        <f>HYPERLINK("http://www.twitter.com/nycoem/status/561964729632313345", "561964729632313345")</f>
        <v>0</v>
      </c>
      <c r="B2399" s="2">
        <v>42036.7986921296</v>
      </c>
      <c r="C2399">
        <v>0</v>
      </c>
      <c r="D2399">
        <v>32</v>
      </c>
      <c r="E2399" t="s">
        <v>2390</v>
      </c>
    </row>
    <row r="2400" spans="1:5">
      <c r="A2400">
        <f>HYPERLINK("http://www.twitter.com/nycoem/status/561919820057563136", "561919820057563136")</f>
        <v>0</v>
      </c>
      <c r="B2400" s="2">
        <v>42036.6747569444</v>
      </c>
      <c r="C2400">
        <v>2</v>
      </c>
      <c r="D2400">
        <v>5</v>
      </c>
      <c r="E2400" t="s">
        <v>2391</v>
      </c>
    </row>
    <row r="2401" spans="1:5">
      <c r="A2401">
        <f>HYPERLINK("http://www.twitter.com/nycoem/status/561919769419718657", "561919769419718657")</f>
        <v>0</v>
      </c>
      <c r="B2401" s="2">
        <v>42036.6746180556</v>
      </c>
      <c r="C2401">
        <v>3</v>
      </c>
      <c r="D2401">
        <v>11</v>
      </c>
      <c r="E2401" t="s">
        <v>2392</v>
      </c>
    </row>
    <row r="2402" spans="1:5">
      <c r="A2402">
        <f>HYPERLINK("http://www.twitter.com/nycoem/status/561729930007171072", "561729930007171072")</f>
        <v>0</v>
      </c>
      <c r="B2402" s="2">
        <v>42036.1507638889</v>
      </c>
      <c r="C2402">
        <v>16</v>
      </c>
      <c r="D2402">
        <v>22</v>
      </c>
      <c r="E2402" t="s">
        <v>2393</v>
      </c>
    </row>
    <row r="2403" spans="1:5">
      <c r="A2403">
        <f>HYPERLINK("http://www.twitter.com/nycoem/status/561725771249897473", "561725771249897473")</f>
        <v>0</v>
      </c>
      <c r="B2403" s="2">
        <v>42036.1392824074</v>
      </c>
      <c r="C2403">
        <v>0</v>
      </c>
      <c r="D2403">
        <v>51</v>
      </c>
      <c r="E2403" t="s">
        <v>2394</v>
      </c>
    </row>
    <row r="2404" spans="1:5">
      <c r="A2404">
        <f>HYPERLINK("http://www.twitter.com/nycoem/status/561691052986601473", "561691052986601473")</f>
        <v>0</v>
      </c>
      <c r="B2404" s="2">
        <v>42036.0434837963</v>
      </c>
      <c r="C2404">
        <v>0</v>
      </c>
      <c r="D2404">
        <v>32</v>
      </c>
      <c r="E2404" t="s">
        <v>2395</v>
      </c>
    </row>
    <row r="2405" spans="1:5">
      <c r="A2405">
        <f>HYPERLINK("http://www.twitter.com/nycoem/status/561660663773560832", "561660663773560832")</f>
        <v>0</v>
      </c>
      <c r="B2405" s="2">
        <v>42035.9596296296</v>
      </c>
      <c r="C2405">
        <v>0</v>
      </c>
      <c r="D2405">
        <v>34</v>
      </c>
      <c r="E2405" t="s">
        <v>2396</v>
      </c>
    </row>
    <row r="2406" spans="1:5">
      <c r="A2406">
        <f>HYPERLINK("http://www.twitter.com/nycoem/status/561518861561135104", "561518861561135104")</f>
        <v>0</v>
      </c>
      <c r="B2406" s="2">
        <v>42035.5683217593</v>
      </c>
      <c r="C2406">
        <v>0</v>
      </c>
      <c r="D2406">
        <v>55</v>
      </c>
      <c r="E2406" t="s">
        <v>2397</v>
      </c>
    </row>
    <row r="2407" spans="1:5">
      <c r="A2407">
        <f>HYPERLINK("http://www.twitter.com/nycoem/status/561514115953594368", "561514115953594368")</f>
        <v>0</v>
      </c>
      <c r="B2407" s="2">
        <v>42035.5552314815</v>
      </c>
      <c r="C2407">
        <v>0</v>
      </c>
      <c r="D2407">
        <v>25</v>
      </c>
      <c r="E2407" t="s">
        <v>2398</v>
      </c>
    </row>
    <row r="2408" spans="1:5">
      <c r="A2408">
        <f>HYPERLINK("http://www.twitter.com/nycoem/status/561514070101487616", "561514070101487616")</f>
        <v>0</v>
      </c>
      <c r="B2408" s="2">
        <v>42035.5551041667</v>
      </c>
      <c r="C2408">
        <v>0</v>
      </c>
      <c r="D2408">
        <v>31</v>
      </c>
      <c r="E2408" t="s">
        <v>2399</v>
      </c>
    </row>
    <row r="2409" spans="1:5">
      <c r="A2409">
        <f>HYPERLINK("http://www.twitter.com/nycoem/status/561294603349811200", "561294603349811200")</f>
        <v>0</v>
      </c>
      <c r="B2409" s="2">
        <v>42034.9494907407</v>
      </c>
      <c r="C2409">
        <v>1</v>
      </c>
      <c r="D2409">
        <v>7</v>
      </c>
      <c r="E2409" t="s">
        <v>2400</v>
      </c>
    </row>
    <row r="2410" spans="1:5">
      <c r="A2410">
        <f>HYPERLINK("http://www.twitter.com/nycoem/status/561221446320791553", "561221446320791553")</f>
        <v>0</v>
      </c>
      <c r="B2410" s="2">
        <v>42034.7476157407</v>
      </c>
      <c r="C2410">
        <v>1</v>
      </c>
      <c r="D2410">
        <v>8</v>
      </c>
      <c r="E2410" t="s">
        <v>2401</v>
      </c>
    </row>
    <row r="2411" spans="1:5">
      <c r="A2411">
        <f>HYPERLINK("http://www.twitter.com/nycoem/status/561174347713609728", "561174347713609728")</f>
        <v>0</v>
      </c>
      <c r="B2411" s="2">
        <v>42034.617650463</v>
      </c>
      <c r="C2411">
        <v>1</v>
      </c>
      <c r="D2411">
        <v>7</v>
      </c>
      <c r="E2411" t="s">
        <v>2402</v>
      </c>
    </row>
    <row r="2412" spans="1:5">
      <c r="A2412">
        <f>HYPERLINK("http://www.twitter.com/nycoem/status/561170890353045504", "561170890353045504")</f>
        <v>0</v>
      </c>
      <c r="B2412" s="2">
        <v>42034.6081018519</v>
      </c>
      <c r="C2412">
        <v>2</v>
      </c>
      <c r="D2412">
        <v>7</v>
      </c>
      <c r="E2412" t="s">
        <v>2403</v>
      </c>
    </row>
    <row r="2413" spans="1:5">
      <c r="A2413">
        <f>HYPERLINK("http://www.twitter.com/nycoem/status/560957090622353408", "560957090622353408")</f>
        <v>0</v>
      </c>
      <c r="B2413" s="2">
        <v>42034.0181365741</v>
      </c>
      <c r="C2413">
        <v>3</v>
      </c>
      <c r="D2413">
        <v>7</v>
      </c>
      <c r="E2413" t="s">
        <v>2404</v>
      </c>
    </row>
    <row r="2414" spans="1:5">
      <c r="A2414">
        <f>HYPERLINK("http://www.twitter.com/nycoem/status/560863384632299521", "560863384632299521")</f>
        <v>0</v>
      </c>
      <c r="B2414" s="2">
        <v>42033.7595486111</v>
      </c>
      <c r="C2414">
        <v>3</v>
      </c>
      <c r="D2414">
        <v>21</v>
      </c>
      <c r="E2414" t="s">
        <v>2405</v>
      </c>
    </row>
    <row r="2415" spans="1:5">
      <c r="A2415">
        <f>HYPERLINK("http://www.twitter.com/nycoem/status/560843692517634048", "560843692517634048")</f>
        <v>0</v>
      </c>
      <c r="B2415" s="2">
        <v>42033.7052083333</v>
      </c>
      <c r="C2415">
        <v>7</v>
      </c>
      <c r="D2415">
        <v>15</v>
      </c>
      <c r="E2415" t="s">
        <v>2406</v>
      </c>
    </row>
    <row r="2416" spans="1:5">
      <c r="A2416">
        <f>HYPERLINK("http://www.twitter.com/nycoem/status/560795665757110273", "560795665757110273")</f>
        <v>0</v>
      </c>
      <c r="B2416" s="2">
        <v>42033.5726851852</v>
      </c>
      <c r="C2416">
        <v>5</v>
      </c>
      <c r="D2416">
        <v>15</v>
      </c>
      <c r="E2416" t="s">
        <v>2407</v>
      </c>
    </row>
    <row r="2417" spans="1:5">
      <c r="A2417">
        <f>HYPERLINK("http://www.twitter.com/nycoem/status/560563147032252416", "560563147032252416")</f>
        <v>0</v>
      </c>
      <c r="B2417" s="2">
        <v>42032.9310532407</v>
      </c>
      <c r="C2417">
        <v>1</v>
      </c>
      <c r="D2417">
        <v>9</v>
      </c>
      <c r="E2417" t="s">
        <v>2408</v>
      </c>
    </row>
    <row r="2418" spans="1:5">
      <c r="A2418">
        <f>HYPERLINK("http://www.twitter.com/nycoem/status/560562441701294083", "560562441701294083")</f>
        <v>0</v>
      </c>
      <c r="B2418" s="2">
        <v>42032.9291087963</v>
      </c>
      <c r="C2418">
        <v>0</v>
      </c>
      <c r="D2418">
        <v>1</v>
      </c>
      <c r="E2418" t="s">
        <v>2409</v>
      </c>
    </row>
    <row r="2419" spans="1:5">
      <c r="A2419">
        <f>HYPERLINK("http://www.twitter.com/nycoem/status/560490219456462848", "560490219456462848")</f>
        <v>0</v>
      </c>
      <c r="B2419" s="2">
        <v>42032.7298148148</v>
      </c>
      <c r="C2419">
        <v>0</v>
      </c>
      <c r="D2419">
        <v>7</v>
      </c>
      <c r="E2419" t="s">
        <v>2410</v>
      </c>
    </row>
    <row r="2420" spans="1:5">
      <c r="A2420">
        <f>HYPERLINK("http://www.twitter.com/nycoem/status/560481255650000896", "560481255650000896")</f>
        <v>0</v>
      </c>
      <c r="B2420" s="2">
        <v>42032.7050810185</v>
      </c>
      <c r="C2420">
        <v>2</v>
      </c>
      <c r="D2420">
        <v>2</v>
      </c>
      <c r="E2420" t="s">
        <v>2411</v>
      </c>
    </row>
    <row r="2421" spans="1:5">
      <c r="A2421">
        <f>HYPERLINK("http://www.twitter.com/nycoem/status/560206300588810240", "560206300588810240")</f>
        <v>0</v>
      </c>
      <c r="B2421" s="2">
        <v>42031.9463425926</v>
      </c>
      <c r="C2421">
        <v>10</v>
      </c>
      <c r="D2421">
        <v>15</v>
      </c>
      <c r="E2421" t="s">
        <v>2412</v>
      </c>
    </row>
    <row r="2422" spans="1:5">
      <c r="A2422">
        <f>HYPERLINK("http://www.twitter.com/nycoem/status/560176956621463553", "560176956621463553")</f>
        <v>0</v>
      </c>
      <c r="B2422" s="2">
        <v>42031.8653703704</v>
      </c>
      <c r="C2422">
        <v>18</v>
      </c>
      <c r="D2422">
        <v>111</v>
      </c>
      <c r="E2422" t="s">
        <v>2413</v>
      </c>
    </row>
    <row r="2423" spans="1:5">
      <c r="A2423">
        <f>HYPERLINK("http://www.twitter.com/nycoem/status/560152587216105473", "560152587216105473")</f>
        <v>0</v>
      </c>
      <c r="B2423" s="2">
        <v>42031.798125</v>
      </c>
      <c r="C2423">
        <v>3</v>
      </c>
      <c r="D2423">
        <v>6</v>
      </c>
      <c r="E2423" t="s">
        <v>2414</v>
      </c>
    </row>
    <row r="2424" spans="1:5">
      <c r="A2424">
        <f>HYPERLINK("http://www.twitter.com/nycoem/status/560131204687872000", "560131204687872000")</f>
        <v>0</v>
      </c>
      <c r="B2424" s="2">
        <v>42031.7391203704</v>
      </c>
      <c r="C2424">
        <v>0</v>
      </c>
      <c r="D2424">
        <v>66</v>
      </c>
      <c r="E2424" t="s">
        <v>2415</v>
      </c>
    </row>
    <row r="2425" spans="1:5">
      <c r="A2425">
        <f>HYPERLINK("http://www.twitter.com/nycoem/status/560123929780817920", "560123929780817920")</f>
        <v>0</v>
      </c>
      <c r="B2425" s="2">
        <v>42031.7190509259</v>
      </c>
      <c r="C2425">
        <v>2</v>
      </c>
      <c r="D2425">
        <v>13</v>
      </c>
      <c r="E2425" t="s">
        <v>2416</v>
      </c>
    </row>
    <row r="2426" spans="1:5">
      <c r="A2426">
        <f>HYPERLINK("http://www.twitter.com/nycoem/status/560120394343272449", "560120394343272449")</f>
        <v>0</v>
      </c>
      <c r="B2426" s="2">
        <v>42031.7092939815</v>
      </c>
      <c r="C2426">
        <v>0</v>
      </c>
      <c r="D2426">
        <v>20</v>
      </c>
      <c r="E2426" t="s">
        <v>2417</v>
      </c>
    </row>
    <row r="2427" spans="1:5">
      <c r="A2427">
        <f>HYPERLINK("http://www.twitter.com/nycoem/status/560120382704062464", "560120382704062464")</f>
        <v>0</v>
      </c>
      <c r="B2427" s="2">
        <v>42031.7092592593</v>
      </c>
      <c r="C2427">
        <v>0</v>
      </c>
      <c r="D2427">
        <v>14</v>
      </c>
      <c r="E2427" t="s">
        <v>2418</v>
      </c>
    </row>
    <row r="2428" spans="1:5">
      <c r="A2428">
        <f>HYPERLINK("http://www.twitter.com/nycoem/status/560120370515410946", "560120370515410946")</f>
        <v>0</v>
      </c>
      <c r="B2428" s="2">
        <v>42031.709224537</v>
      </c>
      <c r="C2428">
        <v>0</v>
      </c>
      <c r="D2428">
        <v>36</v>
      </c>
      <c r="E2428" t="s">
        <v>2419</v>
      </c>
    </row>
    <row r="2429" spans="1:5">
      <c r="A2429">
        <f>HYPERLINK("http://www.twitter.com/nycoem/status/560119448091492352", "560119448091492352")</f>
        <v>0</v>
      </c>
      <c r="B2429" s="2">
        <v>42031.7066782407</v>
      </c>
      <c r="C2429">
        <v>0</v>
      </c>
      <c r="D2429">
        <v>17</v>
      </c>
      <c r="E2429" t="s">
        <v>2420</v>
      </c>
    </row>
    <row r="2430" spans="1:5">
      <c r="A2430">
        <f>HYPERLINK("http://www.twitter.com/nycoem/status/560119248241324033", "560119248241324033")</f>
        <v>0</v>
      </c>
      <c r="B2430" s="2">
        <v>42031.7061226852</v>
      </c>
      <c r="C2430">
        <v>0</v>
      </c>
      <c r="D2430">
        <v>11</v>
      </c>
      <c r="E2430" t="s">
        <v>2421</v>
      </c>
    </row>
    <row r="2431" spans="1:5">
      <c r="A2431">
        <f>HYPERLINK("http://www.twitter.com/nycoem/status/560119193513639937", "560119193513639937")</f>
        <v>0</v>
      </c>
      <c r="B2431" s="2">
        <v>42031.7059722222</v>
      </c>
      <c r="C2431">
        <v>0</v>
      </c>
      <c r="D2431">
        <v>19</v>
      </c>
      <c r="E2431" t="s">
        <v>2422</v>
      </c>
    </row>
    <row r="2432" spans="1:5">
      <c r="A2432">
        <f>HYPERLINK("http://www.twitter.com/nycoem/status/560118914383093760", "560118914383093760")</f>
        <v>0</v>
      </c>
      <c r="B2432" s="2">
        <v>42031.7052083333</v>
      </c>
      <c r="C2432">
        <v>0</v>
      </c>
      <c r="D2432">
        <v>14</v>
      </c>
      <c r="E2432" t="s">
        <v>2423</v>
      </c>
    </row>
    <row r="2433" spans="1:5">
      <c r="A2433">
        <f>HYPERLINK("http://www.twitter.com/nycoem/status/560118884662272001", "560118884662272001")</f>
        <v>0</v>
      </c>
      <c r="B2433" s="2">
        <v>42031.7051273148</v>
      </c>
      <c r="C2433">
        <v>0</v>
      </c>
      <c r="D2433">
        <v>7</v>
      </c>
      <c r="E2433" t="s">
        <v>2424</v>
      </c>
    </row>
    <row r="2434" spans="1:5">
      <c r="A2434">
        <f>HYPERLINK("http://www.twitter.com/nycoem/status/560118875988455424", "560118875988455424")</f>
        <v>0</v>
      </c>
      <c r="B2434" s="2">
        <v>42031.7051041667</v>
      </c>
      <c r="C2434">
        <v>0</v>
      </c>
      <c r="D2434">
        <v>11</v>
      </c>
      <c r="E2434" t="s">
        <v>2425</v>
      </c>
    </row>
    <row r="2435" spans="1:5">
      <c r="A2435">
        <f>HYPERLINK("http://www.twitter.com/nycoem/status/560118614213533697", "560118614213533697")</f>
        <v>0</v>
      </c>
      <c r="B2435" s="2">
        <v>42031.704375</v>
      </c>
      <c r="C2435">
        <v>0</v>
      </c>
      <c r="D2435">
        <v>10</v>
      </c>
      <c r="E2435" t="s">
        <v>2426</v>
      </c>
    </row>
    <row r="2436" spans="1:5">
      <c r="A2436">
        <f>HYPERLINK("http://www.twitter.com/nycoem/status/560118322281598976", "560118322281598976")</f>
        <v>0</v>
      </c>
      <c r="B2436" s="2">
        <v>42031.7035763889</v>
      </c>
      <c r="C2436">
        <v>0</v>
      </c>
      <c r="D2436">
        <v>19</v>
      </c>
      <c r="E2436" t="s">
        <v>2427</v>
      </c>
    </row>
    <row r="2437" spans="1:5">
      <c r="A2437">
        <f>HYPERLINK("http://www.twitter.com/nycoem/status/560118314853494784", "560118314853494784")</f>
        <v>0</v>
      </c>
      <c r="B2437" s="2">
        <v>42031.7035532407</v>
      </c>
      <c r="C2437">
        <v>0</v>
      </c>
      <c r="D2437">
        <v>5</v>
      </c>
      <c r="E2437" t="s">
        <v>2428</v>
      </c>
    </row>
    <row r="2438" spans="1:5">
      <c r="A2438">
        <f>HYPERLINK("http://www.twitter.com/nycoem/status/560117203010600961", "560117203010600961")</f>
        <v>0</v>
      </c>
      <c r="B2438" s="2">
        <v>42031.7004861111</v>
      </c>
      <c r="C2438">
        <v>0</v>
      </c>
      <c r="D2438">
        <v>107</v>
      </c>
      <c r="E2438" t="s">
        <v>2429</v>
      </c>
    </row>
    <row r="2439" spans="1:5">
      <c r="A2439">
        <f>HYPERLINK("http://www.twitter.com/nycoem/status/560117194601013248", "560117194601013248")</f>
        <v>0</v>
      </c>
      <c r="B2439" s="2">
        <v>42031.700462963</v>
      </c>
      <c r="C2439">
        <v>0</v>
      </c>
      <c r="D2439">
        <v>12</v>
      </c>
      <c r="E2439" t="s">
        <v>2430</v>
      </c>
    </row>
    <row r="2440" spans="1:5">
      <c r="A2440">
        <f>HYPERLINK("http://www.twitter.com/nycoem/status/560108787005399040", "560108787005399040")</f>
        <v>0</v>
      </c>
      <c r="B2440" s="2">
        <v>42031.6772569444</v>
      </c>
      <c r="C2440">
        <v>5</v>
      </c>
      <c r="D2440">
        <v>6</v>
      </c>
      <c r="E2440" t="s">
        <v>2431</v>
      </c>
    </row>
    <row r="2441" spans="1:5">
      <c r="A2441">
        <f>HYPERLINK("http://www.twitter.com/nycoem/status/560108365800824832", "560108365800824832")</f>
        <v>0</v>
      </c>
      <c r="B2441" s="2">
        <v>42031.676099537</v>
      </c>
      <c r="C2441">
        <v>2</v>
      </c>
      <c r="D2441">
        <v>14</v>
      </c>
      <c r="E2441" t="s">
        <v>2432</v>
      </c>
    </row>
    <row r="2442" spans="1:5">
      <c r="A2442">
        <f>HYPERLINK("http://www.twitter.com/nycoem/status/560100991576834048", "560100991576834048")</f>
        <v>0</v>
      </c>
      <c r="B2442" s="2">
        <v>42031.6557523148</v>
      </c>
      <c r="C2442">
        <v>0</v>
      </c>
      <c r="D2442">
        <v>2</v>
      </c>
      <c r="E2442" t="s">
        <v>2433</v>
      </c>
    </row>
    <row r="2443" spans="1:5">
      <c r="A2443">
        <f>HYPERLINK("http://www.twitter.com/nycoem/status/560075336000745472", "560075336000745472")</f>
        <v>0</v>
      </c>
      <c r="B2443" s="2">
        <v>42031.5849537037</v>
      </c>
      <c r="C2443">
        <v>1</v>
      </c>
      <c r="D2443">
        <v>11</v>
      </c>
      <c r="E2443" t="s">
        <v>2434</v>
      </c>
    </row>
    <row r="2444" spans="1:5">
      <c r="A2444">
        <f>HYPERLINK("http://www.twitter.com/nycoem/status/560068676335173632", "560068676335173632")</f>
        <v>0</v>
      </c>
      <c r="B2444" s="2">
        <v>42031.5665740741</v>
      </c>
      <c r="C2444">
        <v>7</v>
      </c>
      <c r="D2444">
        <v>32</v>
      </c>
      <c r="E2444" t="s">
        <v>2435</v>
      </c>
    </row>
    <row r="2445" spans="1:5">
      <c r="A2445">
        <f>HYPERLINK("http://www.twitter.com/nycoem/status/560065888100311041", "560065888100311041")</f>
        <v>0</v>
      </c>
      <c r="B2445" s="2">
        <v>42031.5588773148</v>
      </c>
      <c r="C2445">
        <v>0</v>
      </c>
      <c r="D2445">
        <v>43</v>
      </c>
      <c r="E2445" t="s">
        <v>2436</v>
      </c>
    </row>
    <row r="2446" spans="1:5">
      <c r="A2446">
        <f>HYPERLINK("http://www.twitter.com/nycoem/status/560054425491103744", "560054425491103744")</f>
        <v>0</v>
      </c>
      <c r="B2446" s="2">
        <v>42031.5272569444</v>
      </c>
      <c r="C2446">
        <v>0</v>
      </c>
      <c r="D2446">
        <v>197</v>
      </c>
      <c r="E2446" t="s">
        <v>2437</v>
      </c>
    </row>
    <row r="2447" spans="1:5">
      <c r="A2447">
        <f>HYPERLINK("http://www.twitter.com/nycoem/status/560028925834059778", "560028925834059778")</f>
        <v>0</v>
      </c>
      <c r="B2447" s="2">
        <v>42031.4568865741</v>
      </c>
      <c r="C2447">
        <v>0</v>
      </c>
      <c r="D2447">
        <v>1</v>
      </c>
      <c r="E2447" t="s">
        <v>2438</v>
      </c>
    </row>
    <row r="2448" spans="1:5">
      <c r="A2448">
        <f>HYPERLINK("http://www.twitter.com/nycoem/status/560028830375899136", "560028830375899136")</f>
        <v>0</v>
      </c>
      <c r="B2448" s="2">
        <v>42031.4566203704</v>
      </c>
      <c r="C2448">
        <v>0</v>
      </c>
      <c r="D2448">
        <v>1</v>
      </c>
      <c r="E2448" t="s">
        <v>2439</v>
      </c>
    </row>
    <row r="2449" spans="1:5">
      <c r="A2449">
        <f>HYPERLINK("http://www.twitter.com/nycoem/status/559980329495457792", "559980329495457792")</f>
        <v>0</v>
      </c>
      <c r="B2449" s="2">
        <v>42031.3227893518</v>
      </c>
      <c r="C2449">
        <v>0</v>
      </c>
      <c r="D2449">
        <v>85</v>
      </c>
      <c r="E2449" t="s">
        <v>2440</v>
      </c>
    </row>
    <row r="2450" spans="1:5">
      <c r="A2450">
        <f>HYPERLINK("http://www.twitter.com/nycoem/status/559966774335373312", "559966774335373312")</f>
        <v>0</v>
      </c>
      <c r="B2450" s="2">
        <v>42031.2853819444</v>
      </c>
      <c r="C2450">
        <v>0</v>
      </c>
      <c r="D2450">
        <v>104</v>
      </c>
      <c r="E2450" t="s">
        <v>2441</v>
      </c>
    </row>
    <row r="2451" spans="1:5">
      <c r="A2451">
        <f>HYPERLINK("http://www.twitter.com/nycoem/status/559924641829892096", "559924641829892096")</f>
        <v>0</v>
      </c>
      <c r="B2451" s="2">
        <v>42031.1691203704</v>
      </c>
      <c r="C2451">
        <v>0</v>
      </c>
      <c r="D2451">
        <v>48</v>
      </c>
      <c r="E2451" t="s">
        <v>2442</v>
      </c>
    </row>
    <row r="2452" spans="1:5">
      <c r="A2452">
        <f>HYPERLINK("http://www.twitter.com/nycoem/status/559904738171711488", "559904738171711488")</f>
        <v>0</v>
      </c>
      <c r="B2452" s="2">
        <v>42031.1141898148</v>
      </c>
      <c r="C2452">
        <v>7</v>
      </c>
      <c r="D2452">
        <v>28</v>
      </c>
      <c r="E2452" t="s">
        <v>2443</v>
      </c>
    </row>
    <row r="2453" spans="1:5">
      <c r="A2453">
        <f>HYPERLINK("http://www.twitter.com/nycoem/status/559863705664774144", "559863705664774144")</f>
        <v>0</v>
      </c>
      <c r="B2453" s="2">
        <v>42031.0009606481</v>
      </c>
      <c r="C2453">
        <v>0</v>
      </c>
      <c r="D2453">
        <v>81</v>
      </c>
      <c r="E2453" t="s">
        <v>2444</v>
      </c>
    </row>
    <row r="2454" spans="1:5">
      <c r="A2454">
        <f>HYPERLINK("http://www.twitter.com/nycoem/status/559840097122926593", "559840097122926593")</f>
        <v>0</v>
      </c>
      <c r="B2454" s="2">
        <v>42030.9358217593</v>
      </c>
      <c r="C2454">
        <v>13</v>
      </c>
      <c r="D2454">
        <v>46</v>
      </c>
      <c r="E2454" t="s">
        <v>2445</v>
      </c>
    </row>
    <row r="2455" spans="1:5">
      <c r="A2455">
        <f>HYPERLINK("http://www.twitter.com/nycoem/status/559830965300637696", "559830965300637696")</f>
        <v>0</v>
      </c>
      <c r="B2455" s="2">
        <v>42030.9106134259</v>
      </c>
      <c r="C2455">
        <v>0</v>
      </c>
      <c r="D2455">
        <v>105</v>
      </c>
      <c r="E2455" t="s">
        <v>2446</v>
      </c>
    </row>
    <row r="2456" spans="1:5">
      <c r="A2456">
        <f>HYPERLINK("http://www.twitter.com/nycoem/status/559808539506786304", "559808539506786304")</f>
        <v>0</v>
      </c>
      <c r="B2456" s="2">
        <v>42030.8487384259</v>
      </c>
      <c r="C2456">
        <v>2</v>
      </c>
      <c r="D2456">
        <v>13</v>
      </c>
      <c r="E2456" t="s">
        <v>2447</v>
      </c>
    </row>
    <row r="2457" spans="1:5">
      <c r="A2457">
        <f>HYPERLINK("http://www.twitter.com/nycoem/status/559787015156539393", "559787015156539393")</f>
        <v>0</v>
      </c>
      <c r="B2457" s="2">
        <v>42030.7893402778</v>
      </c>
      <c r="C2457">
        <v>0</v>
      </c>
      <c r="D2457">
        <v>93</v>
      </c>
      <c r="E2457" t="s">
        <v>2448</v>
      </c>
    </row>
    <row r="2458" spans="1:5">
      <c r="A2458">
        <f>HYPERLINK("http://www.twitter.com/nycoem/status/559786800336896000", "559786800336896000")</f>
        <v>0</v>
      </c>
      <c r="B2458" s="2">
        <v>42030.78875</v>
      </c>
      <c r="C2458">
        <v>6</v>
      </c>
      <c r="D2458">
        <v>15</v>
      </c>
      <c r="E2458" t="s">
        <v>2449</v>
      </c>
    </row>
    <row r="2459" spans="1:5">
      <c r="A2459">
        <f>HYPERLINK("http://www.twitter.com/nycoem/status/559780076217434112", "559780076217434112")</f>
        <v>0</v>
      </c>
      <c r="B2459" s="2">
        <v>42030.7701967593</v>
      </c>
      <c r="C2459">
        <v>1</v>
      </c>
      <c r="D2459">
        <v>7</v>
      </c>
      <c r="E2459" t="s">
        <v>2450</v>
      </c>
    </row>
    <row r="2460" spans="1:5">
      <c r="A2460">
        <f>HYPERLINK("http://www.twitter.com/nycoem/status/559774825896738816", "559774825896738816")</f>
        <v>0</v>
      </c>
      <c r="B2460" s="2">
        <v>42030.7557060185</v>
      </c>
      <c r="C2460">
        <v>0</v>
      </c>
      <c r="D2460">
        <v>71</v>
      </c>
      <c r="E2460" t="s">
        <v>2451</v>
      </c>
    </row>
    <row r="2461" spans="1:5">
      <c r="A2461">
        <f>HYPERLINK("http://www.twitter.com/nycoem/status/559774791839023104", "559774791839023104")</f>
        <v>0</v>
      </c>
      <c r="B2461" s="2">
        <v>42030.7556134259</v>
      </c>
      <c r="C2461">
        <v>0</v>
      </c>
      <c r="D2461">
        <v>696</v>
      </c>
      <c r="E2461" t="s">
        <v>2452</v>
      </c>
    </row>
    <row r="2462" spans="1:5">
      <c r="A2462">
        <f>HYPERLINK("http://www.twitter.com/nycoem/status/559774766744494081", "559774766744494081")</f>
        <v>0</v>
      </c>
      <c r="B2462" s="2">
        <v>42030.7555439815</v>
      </c>
      <c r="C2462">
        <v>0</v>
      </c>
      <c r="D2462">
        <v>61</v>
      </c>
      <c r="E2462" t="s">
        <v>2453</v>
      </c>
    </row>
    <row r="2463" spans="1:5">
      <c r="A2463">
        <f>HYPERLINK("http://www.twitter.com/nycoem/status/559774734968442880", "559774734968442880")</f>
        <v>0</v>
      </c>
      <c r="B2463" s="2">
        <v>42030.7554513889</v>
      </c>
      <c r="C2463">
        <v>0</v>
      </c>
      <c r="D2463">
        <v>19</v>
      </c>
      <c r="E2463" t="s">
        <v>2454</v>
      </c>
    </row>
    <row r="2464" spans="1:5">
      <c r="A2464">
        <f>HYPERLINK("http://www.twitter.com/nycoem/status/559774696728985601", "559774696728985601")</f>
        <v>0</v>
      </c>
      <c r="B2464" s="2">
        <v>42030.7553472222</v>
      </c>
      <c r="C2464">
        <v>0</v>
      </c>
      <c r="D2464">
        <v>201</v>
      </c>
      <c r="E2464" t="s">
        <v>2455</v>
      </c>
    </row>
    <row r="2465" spans="1:5">
      <c r="A2465">
        <f>HYPERLINK("http://www.twitter.com/nycoem/status/559774665204596736", "559774665204596736")</f>
        <v>0</v>
      </c>
      <c r="B2465" s="2">
        <v>42030.7552546296</v>
      </c>
      <c r="C2465">
        <v>0</v>
      </c>
      <c r="D2465">
        <v>70</v>
      </c>
      <c r="E2465" t="s">
        <v>2456</v>
      </c>
    </row>
    <row r="2466" spans="1:5">
      <c r="A2466">
        <f>HYPERLINK("http://www.twitter.com/nycoem/status/559773620168585217", "559773620168585217")</f>
        <v>0</v>
      </c>
      <c r="B2466" s="2">
        <v>42030.7523726852</v>
      </c>
      <c r="C2466">
        <v>0</v>
      </c>
      <c r="D2466">
        <v>32</v>
      </c>
      <c r="E2466" t="s">
        <v>2457</v>
      </c>
    </row>
    <row r="2467" spans="1:5">
      <c r="A2467">
        <f>HYPERLINK("http://www.twitter.com/nycoem/status/559773571380416513", "559773571380416513")</f>
        <v>0</v>
      </c>
      <c r="B2467" s="2">
        <v>42030.7522453704</v>
      </c>
      <c r="C2467">
        <v>0</v>
      </c>
      <c r="D2467">
        <v>28</v>
      </c>
      <c r="E2467" t="s">
        <v>2458</v>
      </c>
    </row>
    <row r="2468" spans="1:5">
      <c r="A2468">
        <f>HYPERLINK("http://www.twitter.com/nycoem/status/559773519786311680", "559773519786311680")</f>
        <v>0</v>
      </c>
      <c r="B2468" s="2">
        <v>42030.7520949074</v>
      </c>
      <c r="C2468">
        <v>0</v>
      </c>
      <c r="D2468">
        <v>19</v>
      </c>
      <c r="E2468" t="s">
        <v>2459</v>
      </c>
    </row>
    <row r="2469" spans="1:5">
      <c r="A2469">
        <f>HYPERLINK("http://www.twitter.com/nycoem/status/559773493483831297", "559773493483831297")</f>
        <v>0</v>
      </c>
      <c r="B2469" s="2">
        <v>42030.752025463</v>
      </c>
      <c r="C2469">
        <v>0</v>
      </c>
      <c r="D2469">
        <v>44</v>
      </c>
      <c r="E2469" t="s">
        <v>2460</v>
      </c>
    </row>
    <row r="2470" spans="1:5">
      <c r="A2470">
        <f>HYPERLINK("http://www.twitter.com/nycoem/status/559773463746211840", "559773463746211840")</f>
        <v>0</v>
      </c>
      <c r="B2470" s="2">
        <v>42030.7519444444</v>
      </c>
      <c r="C2470">
        <v>0</v>
      </c>
      <c r="D2470">
        <v>33</v>
      </c>
      <c r="E2470" t="s">
        <v>2461</v>
      </c>
    </row>
    <row r="2471" spans="1:5">
      <c r="A2471">
        <f>HYPERLINK("http://www.twitter.com/nycoem/status/559773426756632576", "559773426756632576")</f>
        <v>0</v>
      </c>
      <c r="B2471" s="2">
        <v>42030.7518402778</v>
      </c>
      <c r="C2471">
        <v>0</v>
      </c>
      <c r="D2471">
        <v>59</v>
      </c>
      <c r="E2471" t="s">
        <v>2462</v>
      </c>
    </row>
    <row r="2472" spans="1:5">
      <c r="A2472">
        <f>HYPERLINK("http://www.twitter.com/nycoem/status/559773397841108993", "559773397841108993")</f>
        <v>0</v>
      </c>
      <c r="B2472" s="2">
        <v>42030.7517592593</v>
      </c>
      <c r="C2472">
        <v>0</v>
      </c>
      <c r="D2472">
        <v>65</v>
      </c>
      <c r="E2472" t="s">
        <v>2463</v>
      </c>
    </row>
    <row r="2473" spans="1:5">
      <c r="A2473">
        <f>HYPERLINK("http://www.twitter.com/nycoem/status/559773352785874944", "559773352785874944")</f>
        <v>0</v>
      </c>
      <c r="B2473" s="2">
        <v>42030.7516435185</v>
      </c>
      <c r="C2473">
        <v>0</v>
      </c>
      <c r="D2473">
        <v>31</v>
      </c>
      <c r="E2473" t="s">
        <v>2464</v>
      </c>
    </row>
    <row r="2474" spans="1:5">
      <c r="A2474">
        <f>HYPERLINK("http://www.twitter.com/nycoem/status/559756229296553984", "559756229296553984")</f>
        <v>0</v>
      </c>
      <c r="B2474" s="2">
        <v>42030.7043865741</v>
      </c>
      <c r="C2474">
        <v>3</v>
      </c>
      <c r="D2474">
        <v>11</v>
      </c>
      <c r="E2474" t="s">
        <v>2465</v>
      </c>
    </row>
    <row r="2475" spans="1:5">
      <c r="A2475">
        <f>HYPERLINK("http://www.twitter.com/nycoem/status/559751496267362304", "559751496267362304")</f>
        <v>0</v>
      </c>
      <c r="B2475" s="2">
        <v>42030.6913310185</v>
      </c>
      <c r="C2475">
        <v>0</v>
      </c>
      <c r="D2475">
        <v>54</v>
      </c>
      <c r="E2475" t="s">
        <v>2466</v>
      </c>
    </row>
    <row r="2476" spans="1:5">
      <c r="A2476">
        <f>HYPERLINK("http://www.twitter.com/nycoem/status/559738810154885121", "559738810154885121")</f>
        <v>0</v>
      </c>
      <c r="B2476" s="2">
        <v>42030.6563194444</v>
      </c>
      <c r="C2476">
        <v>9</v>
      </c>
      <c r="D2476">
        <v>28</v>
      </c>
      <c r="E2476" t="s">
        <v>2467</v>
      </c>
    </row>
    <row r="2477" spans="1:5">
      <c r="A2477">
        <f>HYPERLINK("http://www.twitter.com/nycoem/status/559732739810017280", "559732739810017280")</f>
        <v>0</v>
      </c>
      <c r="B2477" s="2">
        <v>42030.6395717593</v>
      </c>
      <c r="C2477">
        <v>0</v>
      </c>
      <c r="D2477">
        <v>25</v>
      </c>
      <c r="E2477" t="s">
        <v>2468</v>
      </c>
    </row>
    <row r="2478" spans="1:5">
      <c r="A2478">
        <f>HYPERLINK("http://www.twitter.com/nycoem/status/559713920416776192", "559713920416776192")</f>
        <v>0</v>
      </c>
      <c r="B2478" s="2">
        <v>42030.5876388889</v>
      </c>
      <c r="C2478">
        <v>34</v>
      </c>
      <c r="D2478">
        <v>110</v>
      </c>
      <c r="E2478" t="s">
        <v>2469</v>
      </c>
    </row>
    <row r="2479" spans="1:5">
      <c r="A2479">
        <f>HYPERLINK("http://www.twitter.com/nycoem/status/559499610826506243", "559499610826506243")</f>
        <v>0</v>
      </c>
      <c r="B2479" s="2">
        <v>42029.99625</v>
      </c>
      <c r="C2479">
        <v>12</v>
      </c>
      <c r="D2479">
        <v>36</v>
      </c>
      <c r="E2479" t="s">
        <v>2470</v>
      </c>
    </row>
    <row r="2480" spans="1:5">
      <c r="A2480">
        <f>HYPERLINK("http://www.twitter.com/nycoem/status/559495258141376513", "559495258141376513")</f>
        <v>0</v>
      </c>
      <c r="B2480" s="2">
        <v>42029.9842476852</v>
      </c>
      <c r="C2480">
        <v>3</v>
      </c>
      <c r="D2480">
        <v>25</v>
      </c>
      <c r="E2480" t="s">
        <v>2471</v>
      </c>
    </row>
    <row r="2481" spans="1:5">
      <c r="A2481">
        <f>HYPERLINK("http://www.twitter.com/nycoem/status/559495120807288833", "559495120807288833")</f>
        <v>0</v>
      </c>
      <c r="B2481" s="2">
        <v>42029.9838657407</v>
      </c>
      <c r="C2481">
        <v>1</v>
      </c>
      <c r="D2481">
        <v>1</v>
      </c>
      <c r="E2481" t="s">
        <v>2472</v>
      </c>
    </row>
    <row r="2482" spans="1:5">
      <c r="A2482">
        <f>HYPERLINK("http://www.twitter.com/nycoem/status/559493894715768833", "559493894715768833")</f>
        <v>0</v>
      </c>
      <c r="B2482" s="2">
        <v>42029.9804861111</v>
      </c>
      <c r="C2482">
        <v>3</v>
      </c>
      <c r="D2482">
        <v>11</v>
      </c>
      <c r="E2482" t="s">
        <v>2473</v>
      </c>
    </row>
    <row r="2483" spans="1:5">
      <c r="A2483">
        <f>HYPERLINK("http://www.twitter.com/nycoem/status/559473019136274433", "559473019136274433")</f>
        <v>0</v>
      </c>
      <c r="B2483" s="2">
        <v>42029.9228703704</v>
      </c>
      <c r="C2483">
        <v>4</v>
      </c>
      <c r="D2483">
        <v>17</v>
      </c>
      <c r="E2483" t="s">
        <v>2474</v>
      </c>
    </row>
    <row r="2484" spans="1:5">
      <c r="A2484">
        <f>HYPERLINK("http://www.twitter.com/nycoem/status/559465969220063232", "559465969220063232")</f>
        <v>0</v>
      </c>
      <c r="B2484" s="2">
        <v>42029.9034259259</v>
      </c>
      <c r="C2484">
        <v>0</v>
      </c>
      <c r="D2484">
        <v>92</v>
      </c>
      <c r="E2484" t="s">
        <v>2475</v>
      </c>
    </row>
    <row r="2485" spans="1:5">
      <c r="A2485">
        <f>HYPERLINK("http://www.twitter.com/nycoem/status/559465956905582592", "559465956905582592")</f>
        <v>0</v>
      </c>
      <c r="B2485" s="2">
        <v>42029.9033912037</v>
      </c>
      <c r="C2485">
        <v>0</v>
      </c>
      <c r="D2485">
        <v>50</v>
      </c>
      <c r="E2485" t="s">
        <v>2476</v>
      </c>
    </row>
    <row r="2486" spans="1:5">
      <c r="A2486">
        <f>HYPERLINK("http://www.twitter.com/nycoem/status/559465943773237249", "559465943773237249")</f>
        <v>0</v>
      </c>
      <c r="B2486" s="2">
        <v>42029.9033564815</v>
      </c>
      <c r="C2486">
        <v>0</v>
      </c>
      <c r="D2486">
        <v>35</v>
      </c>
      <c r="E2486" t="s">
        <v>2477</v>
      </c>
    </row>
    <row r="2487" spans="1:5">
      <c r="A2487">
        <f>HYPERLINK("http://www.twitter.com/nycoem/status/559458722410672128", "559458722410672128")</f>
        <v>0</v>
      </c>
      <c r="B2487" s="2">
        <v>42029.8834259259</v>
      </c>
      <c r="C2487">
        <v>4</v>
      </c>
      <c r="D2487">
        <v>6</v>
      </c>
      <c r="E2487" t="s">
        <v>2478</v>
      </c>
    </row>
    <row r="2488" spans="1:5">
      <c r="A2488">
        <f>HYPERLINK("http://www.twitter.com/nycoem/status/559458239239446529", "559458239239446529")</f>
        <v>0</v>
      </c>
      <c r="B2488" s="2">
        <v>42029.8820949074</v>
      </c>
      <c r="C2488">
        <v>0</v>
      </c>
      <c r="D2488">
        <v>122</v>
      </c>
      <c r="E2488" t="s">
        <v>2479</v>
      </c>
    </row>
    <row r="2489" spans="1:5">
      <c r="A2489">
        <f>HYPERLINK("http://www.twitter.com/nycoem/status/559457228479270912", "559457228479270912")</f>
        <v>0</v>
      </c>
      <c r="B2489" s="2">
        <v>42029.8793055556</v>
      </c>
      <c r="C2489">
        <v>0</v>
      </c>
      <c r="D2489">
        <v>17</v>
      </c>
      <c r="E2489" t="s">
        <v>2480</v>
      </c>
    </row>
    <row r="2490" spans="1:5">
      <c r="A2490">
        <f>HYPERLINK("http://www.twitter.com/nycoem/status/559456975688572928", "559456975688572928")</f>
        <v>0</v>
      </c>
      <c r="B2490" s="2">
        <v>42029.878599537</v>
      </c>
      <c r="C2490">
        <v>0</v>
      </c>
      <c r="D2490">
        <v>38</v>
      </c>
      <c r="E2490" t="s">
        <v>2481</v>
      </c>
    </row>
    <row r="2491" spans="1:5">
      <c r="A2491">
        <f>HYPERLINK("http://www.twitter.com/nycoem/status/559456693663191041", "559456693663191041")</f>
        <v>0</v>
      </c>
      <c r="B2491" s="2">
        <v>42029.8778240741</v>
      </c>
      <c r="C2491">
        <v>0</v>
      </c>
      <c r="D2491">
        <v>59</v>
      </c>
      <c r="E2491" t="s">
        <v>2482</v>
      </c>
    </row>
    <row r="2492" spans="1:5">
      <c r="A2492">
        <f>HYPERLINK("http://www.twitter.com/nycoem/status/559456508589912065", "559456508589912065")</f>
        <v>0</v>
      </c>
      <c r="B2492" s="2">
        <v>42029.8773148148</v>
      </c>
      <c r="C2492">
        <v>0</v>
      </c>
      <c r="D2492">
        <v>13</v>
      </c>
      <c r="E2492" t="s">
        <v>2483</v>
      </c>
    </row>
    <row r="2493" spans="1:5">
      <c r="A2493">
        <f>HYPERLINK("http://www.twitter.com/nycoem/status/559456466089025536", "559456466089025536")</f>
        <v>0</v>
      </c>
      <c r="B2493" s="2">
        <v>42029.8771990741</v>
      </c>
      <c r="C2493">
        <v>0</v>
      </c>
      <c r="D2493">
        <v>31</v>
      </c>
      <c r="E2493" t="s">
        <v>2484</v>
      </c>
    </row>
    <row r="2494" spans="1:5">
      <c r="A2494">
        <f>HYPERLINK("http://www.twitter.com/nycoem/status/559456456320491521", "559456456320491521")</f>
        <v>0</v>
      </c>
      <c r="B2494" s="2">
        <v>42029.8771759259</v>
      </c>
      <c r="C2494">
        <v>0</v>
      </c>
      <c r="D2494">
        <v>10</v>
      </c>
      <c r="E2494" t="s">
        <v>2485</v>
      </c>
    </row>
    <row r="2495" spans="1:5">
      <c r="A2495">
        <f>HYPERLINK("http://www.twitter.com/nycoem/status/559455863954751489", "559455863954751489")</f>
        <v>0</v>
      </c>
      <c r="B2495" s="2">
        <v>42029.8755324074</v>
      </c>
      <c r="C2495">
        <v>5</v>
      </c>
      <c r="D2495">
        <v>3</v>
      </c>
      <c r="E2495" t="s">
        <v>2486</v>
      </c>
    </row>
    <row r="2496" spans="1:5">
      <c r="A2496">
        <f>HYPERLINK("http://www.twitter.com/nycoem/status/559455796032208896", "559455796032208896")</f>
        <v>0</v>
      </c>
      <c r="B2496" s="2">
        <v>42029.8753472222</v>
      </c>
      <c r="C2496">
        <v>2</v>
      </c>
      <c r="D2496">
        <v>8</v>
      </c>
      <c r="E2496" t="s">
        <v>2487</v>
      </c>
    </row>
    <row r="2497" spans="1:5">
      <c r="A2497">
        <f>HYPERLINK("http://www.twitter.com/nycoem/status/559455469853757442", "559455469853757442")</f>
        <v>0</v>
      </c>
      <c r="B2497" s="2">
        <v>42029.8744444444</v>
      </c>
      <c r="C2497">
        <v>0</v>
      </c>
      <c r="D2497">
        <v>281</v>
      </c>
      <c r="E2497" t="s">
        <v>2488</v>
      </c>
    </row>
    <row r="2498" spans="1:5">
      <c r="A2498">
        <f>HYPERLINK("http://www.twitter.com/nycoem/status/559454391502393344", "559454391502393344")</f>
        <v>0</v>
      </c>
      <c r="B2498" s="2">
        <v>42029.8714699074</v>
      </c>
      <c r="C2498">
        <v>5</v>
      </c>
      <c r="D2498">
        <v>11</v>
      </c>
      <c r="E2498" t="s">
        <v>2489</v>
      </c>
    </row>
    <row r="2499" spans="1:5">
      <c r="A2499">
        <f>HYPERLINK("http://www.twitter.com/nycoem/status/559453971820326912", "559453971820326912")</f>
        <v>0</v>
      </c>
      <c r="B2499" s="2">
        <v>42029.8703125</v>
      </c>
      <c r="C2499">
        <v>26</v>
      </c>
      <c r="D2499">
        <v>119</v>
      </c>
      <c r="E2499" t="s">
        <v>2490</v>
      </c>
    </row>
    <row r="2500" spans="1:5">
      <c r="A2500">
        <f>HYPERLINK("http://www.twitter.com/nycoem/status/559449199578980353", "559449199578980353")</f>
        <v>0</v>
      </c>
      <c r="B2500" s="2">
        <v>42029.8571412037</v>
      </c>
      <c r="C2500">
        <v>0</v>
      </c>
      <c r="D2500">
        <v>22</v>
      </c>
      <c r="E2500" t="s">
        <v>2491</v>
      </c>
    </row>
    <row r="2501" spans="1:5">
      <c r="A2501">
        <f>HYPERLINK("http://www.twitter.com/nycoem/status/559407283042779136", "559407283042779136")</f>
        <v>0</v>
      </c>
      <c r="B2501" s="2">
        <v>42029.7414814815</v>
      </c>
      <c r="C2501">
        <v>2</v>
      </c>
      <c r="D2501">
        <v>6</v>
      </c>
      <c r="E2501" t="s">
        <v>2492</v>
      </c>
    </row>
    <row r="2502" spans="1:5">
      <c r="A2502">
        <f>HYPERLINK("http://www.twitter.com/nycoem/status/559369223105810433", "559369223105810433")</f>
        <v>0</v>
      </c>
      <c r="B2502" s="2">
        <v>42029.6364583333</v>
      </c>
      <c r="C2502">
        <v>7</v>
      </c>
      <c r="D2502">
        <v>82</v>
      </c>
      <c r="E2502" t="s">
        <v>2493</v>
      </c>
    </row>
    <row r="2503" spans="1:5">
      <c r="A2503">
        <f>HYPERLINK("http://www.twitter.com/nycoem/status/559360626175541248", "559360626175541248")</f>
        <v>0</v>
      </c>
      <c r="B2503" s="2">
        <v>42029.6127314815</v>
      </c>
      <c r="C2503">
        <v>4</v>
      </c>
      <c r="D2503">
        <v>5</v>
      </c>
      <c r="E2503" t="s">
        <v>2494</v>
      </c>
    </row>
    <row r="2504" spans="1:5">
      <c r="A2504">
        <f>HYPERLINK("http://www.twitter.com/nycoem/status/559348594713833473", "559348594713833473")</f>
        <v>0</v>
      </c>
      <c r="B2504" s="2">
        <v>42029.579525463</v>
      </c>
      <c r="C2504">
        <v>3</v>
      </c>
      <c r="D2504">
        <v>7</v>
      </c>
      <c r="E2504" t="s">
        <v>2495</v>
      </c>
    </row>
    <row r="2505" spans="1:5">
      <c r="A2505">
        <f>HYPERLINK("http://www.twitter.com/nycoem/status/559170187824730113", "559170187824730113")</f>
        <v>0</v>
      </c>
      <c r="B2505" s="2">
        <v>42029.0872222222</v>
      </c>
      <c r="C2505">
        <v>3</v>
      </c>
      <c r="D2505">
        <v>4</v>
      </c>
      <c r="E2505" t="s">
        <v>2496</v>
      </c>
    </row>
    <row r="2506" spans="1:5">
      <c r="A2506">
        <f>HYPERLINK("http://www.twitter.com/nycoem/status/559160915988578305", "559160915988578305")</f>
        <v>0</v>
      </c>
      <c r="B2506" s="2">
        <v>42029.0616319444</v>
      </c>
      <c r="C2506">
        <v>3</v>
      </c>
      <c r="D2506">
        <v>19</v>
      </c>
      <c r="E2506" t="s">
        <v>2497</v>
      </c>
    </row>
    <row r="2507" spans="1:5">
      <c r="A2507">
        <f>HYPERLINK("http://www.twitter.com/nycoem/status/559047001921183744", "559047001921183744")</f>
        <v>0</v>
      </c>
      <c r="B2507" s="2">
        <v>42028.7472916667</v>
      </c>
      <c r="C2507">
        <v>0</v>
      </c>
      <c r="D2507">
        <v>24</v>
      </c>
      <c r="E2507" t="s">
        <v>2498</v>
      </c>
    </row>
    <row r="2508" spans="1:5">
      <c r="A2508">
        <f>HYPERLINK("http://www.twitter.com/nycoem/status/559032389285183492", "559032389285183492")</f>
        <v>0</v>
      </c>
      <c r="B2508" s="2">
        <v>42028.7069675926</v>
      </c>
      <c r="C2508">
        <v>0</v>
      </c>
      <c r="D2508">
        <v>20</v>
      </c>
      <c r="E2508" t="s">
        <v>2499</v>
      </c>
    </row>
    <row r="2509" spans="1:5">
      <c r="A2509">
        <f>HYPERLINK("http://www.twitter.com/nycoem/status/559008564279508992", "559008564279508992")</f>
        <v>0</v>
      </c>
      <c r="B2509" s="2">
        <v>42028.6412268519</v>
      </c>
      <c r="C2509">
        <v>6</v>
      </c>
      <c r="D2509">
        <v>10</v>
      </c>
      <c r="E2509" t="s">
        <v>2500</v>
      </c>
    </row>
    <row r="2510" spans="1:5">
      <c r="A2510">
        <f>HYPERLINK("http://www.twitter.com/nycoem/status/558998955766599680", "558998955766599680")</f>
        <v>0</v>
      </c>
      <c r="B2510" s="2">
        <v>42028.6147106482</v>
      </c>
      <c r="C2510">
        <v>0</v>
      </c>
      <c r="D2510">
        <v>11</v>
      </c>
      <c r="E2510" t="s">
        <v>2501</v>
      </c>
    </row>
    <row r="2511" spans="1:5">
      <c r="A2511">
        <f>HYPERLINK("http://www.twitter.com/nycoem/status/558988539611078656", "558988539611078656")</f>
        <v>0</v>
      </c>
      <c r="B2511" s="2">
        <v>42028.5859722222</v>
      </c>
      <c r="C2511">
        <v>0</v>
      </c>
      <c r="D2511">
        <v>20</v>
      </c>
      <c r="E2511" t="s">
        <v>2502</v>
      </c>
    </row>
    <row r="2512" spans="1:5">
      <c r="A2512">
        <f>HYPERLINK("http://www.twitter.com/nycoem/status/558981200392761344", "558981200392761344")</f>
        <v>0</v>
      </c>
      <c r="B2512" s="2">
        <v>42028.5657175926</v>
      </c>
      <c r="C2512">
        <v>0</v>
      </c>
      <c r="D2512">
        <v>10</v>
      </c>
      <c r="E2512" t="s">
        <v>2503</v>
      </c>
    </row>
    <row r="2513" spans="1:5">
      <c r="A2513">
        <f>HYPERLINK("http://www.twitter.com/nycoem/status/558980268531675136", "558980268531675136")</f>
        <v>0</v>
      </c>
      <c r="B2513" s="2">
        <v>42028.5631481481</v>
      </c>
      <c r="C2513">
        <v>0</v>
      </c>
      <c r="D2513">
        <v>14</v>
      </c>
      <c r="E2513" t="s">
        <v>2504</v>
      </c>
    </row>
    <row r="2514" spans="1:5">
      <c r="A2514">
        <f>HYPERLINK("http://www.twitter.com/nycoem/status/558971882511532032", "558971882511532032")</f>
        <v>0</v>
      </c>
      <c r="B2514" s="2">
        <v>42028.54</v>
      </c>
      <c r="C2514">
        <v>0</v>
      </c>
      <c r="D2514">
        <v>18</v>
      </c>
      <c r="E2514" t="s">
        <v>2505</v>
      </c>
    </row>
    <row r="2515" spans="1:5">
      <c r="A2515">
        <f>HYPERLINK("http://www.twitter.com/nycoem/status/558957533017423872", "558957533017423872")</f>
        <v>0</v>
      </c>
      <c r="B2515" s="2">
        <v>42028.5004050926</v>
      </c>
      <c r="C2515">
        <v>7</v>
      </c>
      <c r="D2515">
        <v>17</v>
      </c>
      <c r="E2515" t="s">
        <v>2506</v>
      </c>
    </row>
    <row r="2516" spans="1:5">
      <c r="A2516">
        <f>HYPERLINK("http://www.twitter.com/nycoem/status/558946233289834496", "558946233289834496")</f>
        <v>0</v>
      </c>
      <c r="B2516" s="2">
        <v>42028.469224537</v>
      </c>
      <c r="C2516">
        <v>0</v>
      </c>
      <c r="D2516">
        <v>17</v>
      </c>
      <c r="E2516" t="s">
        <v>2507</v>
      </c>
    </row>
    <row r="2517" spans="1:5">
      <c r="A2517">
        <f>HYPERLINK("http://www.twitter.com/nycoem/status/558900404294270977", "558900404294270977")</f>
        <v>0</v>
      </c>
      <c r="B2517" s="2">
        <v>42028.3427546296</v>
      </c>
      <c r="C2517">
        <v>0</v>
      </c>
      <c r="D2517">
        <v>22</v>
      </c>
      <c r="E2517" t="s">
        <v>2508</v>
      </c>
    </row>
    <row r="2518" spans="1:5">
      <c r="A2518">
        <f>HYPERLINK("http://www.twitter.com/nycoem/status/558744155422461952", "558744155422461952")</f>
        <v>0</v>
      </c>
      <c r="B2518" s="2">
        <v>42027.9115972222</v>
      </c>
      <c r="C2518">
        <v>1</v>
      </c>
      <c r="D2518">
        <v>7</v>
      </c>
      <c r="E2518" t="s">
        <v>2509</v>
      </c>
    </row>
    <row r="2519" spans="1:5">
      <c r="A2519">
        <f>HYPERLINK("http://www.twitter.com/nycoem/status/558741819732013056", "558741819732013056")</f>
        <v>0</v>
      </c>
      <c r="B2519" s="2">
        <v>42027.905150463</v>
      </c>
      <c r="C2519">
        <v>11</v>
      </c>
      <c r="D2519">
        <v>23</v>
      </c>
      <c r="E2519" t="s">
        <v>2510</v>
      </c>
    </row>
    <row r="2520" spans="1:5">
      <c r="A2520">
        <f>HYPERLINK("http://www.twitter.com/nycoem/status/558678390442844160", "558678390442844160")</f>
        <v>0</v>
      </c>
      <c r="B2520" s="2">
        <v>42027.7301157407</v>
      </c>
      <c r="C2520">
        <v>0</v>
      </c>
      <c r="D2520">
        <v>12</v>
      </c>
      <c r="E2520" t="s">
        <v>2511</v>
      </c>
    </row>
    <row r="2521" spans="1:5">
      <c r="A2521">
        <f>HYPERLINK("http://www.twitter.com/nycoem/status/558671036938719232", "558671036938719232")</f>
        <v>0</v>
      </c>
      <c r="B2521" s="2">
        <v>42027.7098263889</v>
      </c>
      <c r="C2521">
        <v>3</v>
      </c>
      <c r="D2521">
        <v>7</v>
      </c>
      <c r="E2521" t="s">
        <v>2512</v>
      </c>
    </row>
    <row r="2522" spans="1:5">
      <c r="A2522">
        <f>HYPERLINK("http://www.twitter.com/nycoem/status/558627010533404672", "558627010533404672")</f>
        <v>0</v>
      </c>
      <c r="B2522" s="2">
        <v>42027.5883333333</v>
      </c>
      <c r="C2522">
        <v>0</v>
      </c>
      <c r="D2522">
        <v>6</v>
      </c>
      <c r="E2522" t="s">
        <v>2513</v>
      </c>
    </row>
    <row r="2523" spans="1:5">
      <c r="A2523">
        <f>HYPERLINK("http://www.twitter.com/nycoem/status/558622282177064960", "558622282177064960")</f>
        <v>0</v>
      </c>
      <c r="B2523" s="2">
        <v>42027.5752893519</v>
      </c>
      <c r="C2523">
        <v>0</v>
      </c>
      <c r="D2523">
        <v>66</v>
      </c>
      <c r="E2523" t="s">
        <v>2514</v>
      </c>
    </row>
    <row r="2524" spans="1:5">
      <c r="A2524">
        <f>HYPERLINK("http://www.twitter.com/nycoem/status/558401298211823617", "558401298211823617")</f>
        <v>0</v>
      </c>
      <c r="B2524" s="2">
        <v>42026.9654861111</v>
      </c>
      <c r="C2524">
        <v>1</v>
      </c>
      <c r="D2524">
        <v>2</v>
      </c>
      <c r="E2524" t="s">
        <v>2515</v>
      </c>
    </row>
    <row r="2525" spans="1:5">
      <c r="A2525">
        <f>HYPERLINK("http://www.twitter.com/nycoem/status/558392672772440065", "558392672772440065")</f>
        <v>0</v>
      </c>
      <c r="B2525" s="2">
        <v>42026.9416898148</v>
      </c>
      <c r="C2525">
        <v>1</v>
      </c>
      <c r="D2525">
        <v>3</v>
      </c>
      <c r="E2525" t="s">
        <v>2516</v>
      </c>
    </row>
    <row r="2526" spans="1:5">
      <c r="A2526">
        <f>HYPERLINK("http://www.twitter.com/nycoem/status/558274240844427264", "558274240844427264")</f>
        <v>0</v>
      </c>
      <c r="B2526" s="2">
        <v>42026.6148726852</v>
      </c>
      <c r="C2526">
        <v>3</v>
      </c>
      <c r="D2526">
        <v>1</v>
      </c>
      <c r="E2526" t="s">
        <v>2517</v>
      </c>
    </row>
    <row r="2527" spans="1:5">
      <c r="A2527">
        <f>HYPERLINK("http://www.twitter.com/nycoem/status/558064295846895619", "558064295846895619")</f>
        <v>0</v>
      </c>
      <c r="B2527" s="2">
        <v>42026.0355439815</v>
      </c>
      <c r="C2527">
        <v>2</v>
      </c>
      <c r="D2527">
        <v>8</v>
      </c>
      <c r="E2527" t="s">
        <v>2518</v>
      </c>
    </row>
    <row r="2528" spans="1:5">
      <c r="A2528">
        <f>HYPERLINK("http://www.twitter.com/nycoem/status/557991205032972288", "557991205032972288")</f>
        <v>0</v>
      </c>
      <c r="B2528" s="2">
        <v>42025.8338425926</v>
      </c>
      <c r="C2528">
        <v>0</v>
      </c>
      <c r="D2528">
        <v>4</v>
      </c>
      <c r="E2528" t="s">
        <v>2519</v>
      </c>
    </row>
    <row r="2529" spans="1:5">
      <c r="A2529">
        <f>HYPERLINK("http://www.twitter.com/nycoem/status/557982533875675137", "557982533875675137")</f>
        <v>0</v>
      </c>
      <c r="B2529" s="2">
        <v>42025.8099189815</v>
      </c>
      <c r="C2529">
        <v>1</v>
      </c>
      <c r="D2529">
        <v>5</v>
      </c>
      <c r="E2529" t="s">
        <v>2520</v>
      </c>
    </row>
    <row r="2530" spans="1:5">
      <c r="A2530">
        <f>HYPERLINK("http://www.twitter.com/nycoem/status/557943323579916288", "557943323579916288")</f>
        <v>0</v>
      </c>
      <c r="B2530" s="2">
        <v>42025.701724537</v>
      </c>
      <c r="C2530">
        <v>1</v>
      </c>
      <c r="D2530">
        <v>2</v>
      </c>
      <c r="E2530" t="s">
        <v>2521</v>
      </c>
    </row>
    <row r="2531" spans="1:5">
      <c r="A2531">
        <f>HYPERLINK("http://www.twitter.com/nycoem/status/557904306717081600", "557904306717081600")</f>
        <v>0</v>
      </c>
      <c r="B2531" s="2">
        <v>42025.5940509259</v>
      </c>
      <c r="C2531">
        <v>4</v>
      </c>
      <c r="D2531">
        <v>5</v>
      </c>
      <c r="E2531" t="s">
        <v>2522</v>
      </c>
    </row>
    <row r="2532" spans="1:5">
      <c r="A2532">
        <f>HYPERLINK("http://www.twitter.com/nycoem/status/557663821326987264", "557663821326987264")</f>
        <v>0</v>
      </c>
      <c r="B2532" s="2">
        <v>42024.9304398148</v>
      </c>
      <c r="C2532">
        <v>1</v>
      </c>
      <c r="D2532">
        <v>2</v>
      </c>
      <c r="E2532" t="s">
        <v>2523</v>
      </c>
    </row>
    <row r="2533" spans="1:5">
      <c r="A2533">
        <f>HYPERLINK("http://www.twitter.com/nycoem/status/557582124887572480", "557582124887572480")</f>
        <v>0</v>
      </c>
      <c r="B2533" s="2">
        <v>42024.705</v>
      </c>
      <c r="C2533">
        <v>0</v>
      </c>
      <c r="D2533">
        <v>1</v>
      </c>
      <c r="E2533" t="s">
        <v>2524</v>
      </c>
    </row>
    <row r="2534" spans="1:5">
      <c r="A2534">
        <f>HYPERLINK("http://www.twitter.com/nycoem/status/557539345838919680", "557539345838919680")</f>
        <v>0</v>
      </c>
      <c r="B2534" s="2">
        <v>42024.5869560185</v>
      </c>
      <c r="C2534">
        <v>2</v>
      </c>
      <c r="D2534">
        <v>0</v>
      </c>
      <c r="E2534" t="s">
        <v>2525</v>
      </c>
    </row>
    <row r="2535" spans="1:5">
      <c r="A2535">
        <f>HYPERLINK("http://www.twitter.com/nycoem/status/557533595368448000", "557533595368448000")</f>
        <v>0</v>
      </c>
      <c r="B2535" s="2">
        <v>42024.571087963</v>
      </c>
      <c r="C2535">
        <v>0</v>
      </c>
      <c r="D2535">
        <v>3</v>
      </c>
      <c r="E2535" t="s">
        <v>2526</v>
      </c>
    </row>
    <row r="2536" spans="1:5">
      <c r="A2536">
        <f>HYPERLINK("http://www.twitter.com/nycoem/status/556894611210514432", "556894611210514432")</f>
        <v>0</v>
      </c>
      <c r="B2536" s="2">
        <v>42022.8078240741</v>
      </c>
      <c r="C2536">
        <v>2</v>
      </c>
      <c r="D2536">
        <v>17</v>
      </c>
      <c r="E2536" t="s">
        <v>2527</v>
      </c>
    </row>
    <row r="2537" spans="1:5">
      <c r="A2537">
        <f>HYPERLINK("http://www.twitter.com/nycoem/status/556883524847161344", "556883524847161344")</f>
        <v>0</v>
      </c>
      <c r="B2537" s="2">
        <v>42022.7772337963</v>
      </c>
      <c r="C2537">
        <v>0</v>
      </c>
      <c r="D2537">
        <v>59</v>
      </c>
      <c r="E2537" t="s">
        <v>2528</v>
      </c>
    </row>
    <row r="2538" spans="1:5">
      <c r="A2538">
        <f>HYPERLINK("http://www.twitter.com/nycoem/status/556830279529398272", "556830279529398272")</f>
        <v>0</v>
      </c>
      <c r="B2538" s="2">
        <v>42022.6303009259</v>
      </c>
      <c r="C2538">
        <v>0</v>
      </c>
      <c r="D2538">
        <v>55</v>
      </c>
      <c r="E2538" t="s">
        <v>2529</v>
      </c>
    </row>
    <row r="2539" spans="1:5">
      <c r="A2539">
        <f>HYPERLINK("http://www.twitter.com/nycoem/status/556464789913079808", "556464789913079808")</f>
        <v>0</v>
      </c>
      <c r="B2539" s="2">
        <v>42021.6217476852</v>
      </c>
      <c r="C2539">
        <v>1</v>
      </c>
      <c r="D2539">
        <v>4</v>
      </c>
      <c r="E2539" t="s">
        <v>2530</v>
      </c>
    </row>
    <row r="2540" spans="1:5">
      <c r="A2540">
        <f>HYPERLINK("http://www.twitter.com/nycoem/status/556182980830724096", "556182980830724096")</f>
        <v>0</v>
      </c>
      <c r="B2540" s="2">
        <v>42020.8440972222</v>
      </c>
      <c r="C2540">
        <v>0</v>
      </c>
      <c r="D2540">
        <v>1</v>
      </c>
      <c r="E2540" t="s">
        <v>2531</v>
      </c>
    </row>
    <row r="2541" spans="1:5">
      <c r="A2541">
        <f>HYPERLINK("http://www.twitter.com/nycoem/status/556169991406747648", "556169991406747648")</f>
        <v>0</v>
      </c>
      <c r="B2541" s="2">
        <v>42020.8082523148</v>
      </c>
      <c r="C2541">
        <v>0</v>
      </c>
      <c r="D2541">
        <v>3</v>
      </c>
      <c r="E2541" t="s">
        <v>2532</v>
      </c>
    </row>
    <row r="2542" spans="1:5">
      <c r="A2542">
        <f>HYPERLINK("http://www.twitter.com/nycoem/status/556144390029463552", "556144390029463552")</f>
        <v>0</v>
      </c>
      <c r="B2542" s="2">
        <v>42020.7376041667</v>
      </c>
      <c r="C2542">
        <v>1</v>
      </c>
      <c r="D2542">
        <v>5</v>
      </c>
      <c r="E2542" t="s">
        <v>2533</v>
      </c>
    </row>
    <row r="2543" spans="1:5">
      <c r="A2543">
        <f>HYPERLINK("http://www.twitter.com/nycoem/status/555815468427399169", "555815468427399169")</f>
        <v>0</v>
      </c>
      <c r="B2543" s="2">
        <v>42019.8299537037</v>
      </c>
      <c r="C2543">
        <v>0</v>
      </c>
      <c r="D2543">
        <v>3</v>
      </c>
      <c r="E2543" t="s">
        <v>2534</v>
      </c>
    </row>
    <row r="2544" spans="1:5">
      <c r="A2544">
        <f>HYPERLINK("http://www.twitter.com/nycoem/status/555797784117649408", "555797784117649408")</f>
        <v>0</v>
      </c>
      <c r="B2544" s="2">
        <v>42019.7811574074</v>
      </c>
      <c r="C2544">
        <v>0</v>
      </c>
      <c r="D2544">
        <v>103</v>
      </c>
      <c r="E2544" t="s">
        <v>2535</v>
      </c>
    </row>
    <row r="2545" spans="1:5">
      <c r="A2545">
        <f>HYPERLINK("http://www.twitter.com/nycoem/status/555767638240935936", "555767638240935936")</f>
        <v>0</v>
      </c>
      <c r="B2545" s="2">
        <v>42019.697974537</v>
      </c>
      <c r="C2545">
        <v>0</v>
      </c>
      <c r="D2545">
        <v>2</v>
      </c>
      <c r="E2545" t="s">
        <v>2536</v>
      </c>
    </row>
    <row r="2546" spans="1:5">
      <c r="A2546">
        <f>HYPERLINK("http://www.twitter.com/nycoem/status/555405218348019712", "555405218348019712")</f>
        <v>0</v>
      </c>
      <c r="B2546" s="2">
        <v>42018.6978819444</v>
      </c>
      <c r="C2546">
        <v>1</v>
      </c>
      <c r="D2546">
        <v>1</v>
      </c>
      <c r="E2546" t="s">
        <v>2537</v>
      </c>
    </row>
    <row r="2547" spans="1:5">
      <c r="A2547">
        <f>HYPERLINK("http://www.twitter.com/nycoem/status/555381417648357376", "555381417648357376")</f>
        <v>0</v>
      </c>
      <c r="B2547" s="2">
        <v>42018.6322106481</v>
      </c>
      <c r="C2547">
        <v>0</v>
      </c>
      <c r="D2547">
        <v>0</v>
      </c>
      <c r="E2547" t="s">
        <v>2538</v>
      </c>
    </row>
    <row r="2548" spans="1:5">
      <c r="A2548">
        <f>HYPERLINK("http://www.twitter.com/nycoem/status/555355916376489985", "555355916376489985")</f>
        <v>0</v>
      </c>
      <c r="B2548" s="2">
        <v>42018.5618402778</v>
      </c>
      <c r="C2548">
        <v>4</v>
      </c>
      <c r="D2548">
        <v>10</v>
      </c>
      <c r="E2548" t="s">
        <v>2539</v>
      </c>
    </row>
    <row r="2549" spans="1:5">
      <c r="A2549">
        <f>HYPERLINK("http://www.twitter.com/nycoem/status/555123192096776193", "555123192096776193")</f>
        <v>0</v>
      </c>
      <c r="B2549" s="2">
        <v>42017.9196412037</v>
      </c>
      <c r="C2549">
        <v>1</v>
      </c>
      <c r="D2549">
        <v>0</v>
      </c>
      <c r="E2549" t="s">
        <v>2540</v>
      </c>
    </row>
    <row r="2550" spans="1:5">
      <c r="A2550">
        <f>HYPERLINK("http://www.twitter.com/nycoem/status/555095823911227393", "555095823911227393")</f>
        <v>0</v>
      </c>
      <c r="B2550" s="2">
        <v>42017.8441203704</v>
      </c>
      <c r="C2550">
        <v>1</v>
      </c>
      <c r="D2550">
        <v>2</v>
      </c>
      <c r="E2550" t="s">
        <v>2541</v>
      </c>
    </row>
    <row r="2551" spans="1:5">
      <c r="A2551">
        <f>HYPERLINK("http://www.twitter.com/nycoem/status/555077852258115584", "555077852258115584")</f>
        <v>0</v>
      </c>
      <c r="B2551" s="2">
        <v>42017.794525463</v>
      </c>
      <c r="C2551">
        <v>1</v>
      </c>
      <c r="D2551">
        <v>0</v>
      </c>
      <c r="E2551" t="s">
        <v>2542</v>
      </c>
    </row>
    <row r="2552" spans="1:5">
      <c r="A2552">
        <f>HYPERLINK("http://www.twitter.com/nycoem/status/555049310686281730", "555049310686281730")</f>
        <v>0</v>
      </c>
      <c r="B2552" s="2">
        <v>42017.7157638889</v>
      </c>
      <c r="C2552">
        <v>0</v>
      </c>
      <c r="D2552">
        <v>3</v>
      </c>
      <c r="E2552" t="s">
        <v>2543</v>
      </c>
    </row>
    <row r="2553" spans="1:5">
      <c r="A2553">
        <f>HYPERLINK("http://www.twitter.com/nycoem/status/555038211572248576", "555038211572248576")</f>
        <v>0</v>
      </c>
      <c r="B2553" s="2">
        <v>42017.6851388889</v>
      </c>
      <c r="C2553">
        <v>0</v>
      </c>
      <c r="D2553">
        <v>1</v>
      </c>
      <c r="E2553" t="s">
        <v>2544</v>
      </c>
    </row>
    <row r="2554" spans="1:5">
      <c r="A2554">
        <f>HYPERLINK("http://www.twitter.com/nycoem/status/554744245303918592", "554744245303918592")</f>
        <v>0</v>
      </c>
      <c r="B2554" s="2">
        <v>42016.8739467593</v>
      </c>
      <c r="C2554">
        <v>0</v>
      </c>
      <c r="D2554">
        <v>0</v>
      </c>
      <c r="E2554" t="s">
        <v>2545</v>
      </c>
    </row>
    <row r="2555" spans="1:5">
      <c r="A2555">
        <f>HYPERLINK("http://www.twitter.com/nycoem/status/554686879006990338", "554686879006990338")</f>
        <v>0</v>
      </c>
      <c r="B2555" s="2">
        <v>42016.7156481482</v>
      </c>
      <c r="C2555">
        <v>1</v>
      </c>
      <c r="D2555">
        <v>1</v>
      </c>
      <c r="E2555" t="s">
        <v>2546</v>
      </c>
    </row>
    <row r="2556" spans="1:5">
      <c r="A2556">
        <f>HYPERLINK("http://www.twitter.com/nycoem/status/554637697093210112", "554637697093210112")</f>
        <v>0</v>
      </c>
      <c r="B2556" s="2">
        <v>42016.5799305556</v>
      </c>
      <c r="C2556">
        <v>0</v>
      </c>
      <c r="D2556">
        <v>0</v>
      </c>
      <c r="E2556" t="s">
        <v>2547</v>
      </c>
    </row>
    <row r="2557" spans="1:5">
      <c r="A2557">
        <f>HYPERLINK("http://www.twitter.com/nycoem/status/554614581449203713", "554614581449203713")</f>
        <v>0</v>
      </c>
      <c r="B2557" s="2">
        <v>42016.5161458333</v>
      </c>
      <c r="C2557">
        <v>0</v>
      </c>
      <c r="D2557">
        <v>19</v>
      </c>
      <c r="E2557" t="s">
        <v>2548</v>
      </c>
    </row>
    <row r="2558" spans="1:5">
      <c r="A2558">
        <f>HYPERLINK("http://www.twitter.com/nycoem/status/554453021246373890", "554453021246373890")</f>
        <v>0</v>
      </c>
      <c r="B2558" s="2">
        <v>42016.0703240741</v>
      </c>
      <c r="C2558">
        <v>0</v>
      </c>
      <c r="D2558">
        <v>6</v>
      </c>
      <c r="E2558" t="s">
        <v>2549</v>
      </c>
    </row>
    <row r="2559" spans="1:5">
      <c r="A2559">
        <f>HYPERLINK("http://www.twitter.com/nycoem/status/554008032674607104", "554008032674607104")</f>
        <v>0</v>
      </c>
      <c r="B2559" s="2">
        <v>42014.8423842593</v>
      </c>
      <c r="C2559">
        <v>1</v>
      </c>
      <c r="D2559">
        <v>3</v>
      </c>
      <c r="E2559" t="s">
        <v>2550</v>
      </c>
    </row>
    <row r="2560" spans="1:5">
      <c r="A2560">
        <f>HYPERLINK("http://www.twitter.com/nycoem/status/553638687825989632", "553638687825989632")</f>
        <v>0</v>
      </c>
      <c r="B2560" s="2">
        <v>42013.8231828704</v>
      </c>
      <c r="C2560">
        <v>0</v>
      </c>
      <c r="D2560">
        <v>1</v>
      </c>
      <c r="E2560" t="s">
        <v>2551</v>
      </c>
    </row>
    <row r="2561" spans="1:5">
      <c r="A2561">
        <f>HYPERLINK("http://www.twitter.com/nycoem/status/553595862749048832", "553595862749048832")</f>
        <v>0</v>
      </c>
      <c r="B2561" s="2">
        <v>42013.7050115741</v>
      </c>
      <c r="C2561">
        <v>1</v>
      </c>
      <c r="D2561">
        <v>1</v>
      </c>
      <c r="E2561" t="s">
        <v>2552</v>
      </c>
    </row>
    <row r="2562" spans="1:5">
      <c r="A2562">
        <f>HYPERLINK("http://www.twitter.com/nycoem/status/553573675115753472", "553573675115753472")</f>
        <v>0</v>
      </c>
      <c r="B2562" s="2">
        <v>42013.6437847222</v>
      </c>
      <c r="C2562">
        <v>0</v>
      </c>
      <c r="D2562">
        <v>15</v>
      </c>
      <c r="E2562" t="s">
        <v>2553</v>
      </c>
    </row>
    <row r="2563" spans="1:5">
      <c r="A2563">
        <f>HYPERLINK("http://www.twitter.com/nycoem/status/553532675508948992", "553532675508948992")</f>
        <v>0</v>
      </c>
      <c r="B2563" s="2">
        <v>42013.5306481481</v>
      </c>
      <c r="C2563">
        <v>4</v>
      </c>
      <c r="D2563">
        <v>14</v>
      </c>
      <c r="E2563" t="s">
        <v>2554</v>
      </c>
    </row>
    <row r="2564" spans="1:5">
      <c r="A2564">
        <f>HYPERLINK("http://www.twitter.com/nycoem/status/553299536299712513", "553299536299712513")</f>
        <v>0</v>
      </c>
      <c r="B2564" s="2">
        <v>42012.8873032407</v>
      </c>
      <c r="C2564">
        <v>2</v>
      </c>
      <c r="D2564">
        <v>1</v>
      </c>
      <c r="E2564" t="s">
        <v>2555</v>
      </c>
    </row>
    <row r="2565" spans="1:5">
      <c r="A2565">
        <f>HYPERLINK("http://www.twitter.com/nycoem/status/553283858670813184", "553283858670813184")</f>
        <v>0</v>
      </c>
      <c r="B2565" s="2">
        <v>42012.8440509259</v>
      </c>
      <c r="C2565">
        <v>8</v>
      </c>
      <c r="D2565">
        <v>15</v>
      </c>
      <c r="E2565" t="s">
        <v>2556</v>
      </c>
    </row>
    <row r="2566" spans="1:5">
      <c r="A2566">
        <f>HYPERLINK("http://www.twitter.com/nycoem/status/553230991633162240", "553230991633162240")</f>
        <v>0</v>
      </c>
      <c r="B2566" s="2">
        <v>42012.6981597222</v>
      </c>
      <c r="C2566">
        <v>0</v>
      </c>
      <c r="D2566">
        <v>3</v>
      </c>
      <c r="E2566" t="s">
        <v>2557</v>
      </c>
    </row>
    <row r="2567" spans="1:5">
      <c r="A2567">
        <f>HYPERLINK("http://www.twitter.com/nycoem/status/553215296455335936", "553215296455335936")</f>
        <v>0</v>
      </c>
      <c r="B2567" s="2">
        <v>42012.654849537</v>
      </c>
      <c r="C2567">
        <v>0</v>
      </c>
      <c r="D2567">
        <v>4</v>
      </c>
      <c r="E2567" t="s">
        <v>2558</v>
      </c>
    </row>
    <row r="2568" spans="1:5">
      <c r="A2568">
        <f>HYPERLINK("http://www.twitter.com/nycoem/status/553197027996475393", "553197027996475393")</f>
        <v>0</v>
      </c>
      <c r="B2568" s="2">
        <v>42012.6044444444</v>
      </c>
      <c r="C2568">
        <v>5</v>
      </c>
      <c r="D2568">
        <v>14</v>
      </c>
      <c r="E2568" t="s">
        <v>2559</v>
      </c>
    </row>
    <row r="2569" spans="1:5">
      <c r="A2569">
        <f>HYPERLINK("http://www.twitter.com/nycoem/status/553194310045536257", "553194310045536257")</f>
        <v>0</v>
      </c>
      <c r="B2569" s="2">
        <v>42012.5969444444</v>
      </c>
      <c r="C2569">
        <v>4</v>
      </c>
      <c r="D2569">
        <v>16</v>
      </c>
      <c r="E2569" t="s">
        <v>2560</v>
      </c>
    </row>
    <row r="2570" spans="1:5">
      <c r="A2570">
        <f>HYPERLINK("http://www.twitter.com/nycoem/status/553193277814755328", "553193277814755328")</f>
        <v>0</v>
      </c>
      <c r="B2570" s="2">
        <v>42012.5940856481</v>
      </c>
      <c r="C2570">
        <v>1</v>
      </c>
      <c r="D2570">
        <v>4</v>
      </c>
      <c r="E2570" t="s">
        <v>2561</v>
      </c>
    </row>
    <row r="2571" spans="1:5">
      <c r="A2571">
        <f>HYPERLINK("http://www.twitter.com/nycoem/status/553188170490458112", "553188170490458112")</f>
        <v>0</v>
      </c>
      <c r="B2571" s="2">
        <v>42012.58</v>
      </c>
      <c r="C2571">
        <v>1</v>
      </c>
      <c r="D2571">
        <v>0</v>
      </c>
      <c r="E2571" t="s">
        <v>2562</v>
      </c>
    </row>
    <row r="2572" spans="1:5">
      <c r="A2572">
        <f>HYPERLINK("http://www.twitter.com/nycoem/status/552923916893978624", "552923916893978624")</f>
        <v>0</v>
      </c>
      <c r="B2572" s="2">
        <v>42011.8507986111</v>
      </c>
      <c r="C2572">
        <v>0</v>
      </c>
      <c r="D2572">
        <v>5</v>
      </c>
      <c r="E2572" t="s">
        <v>2563</v>
      </c>
    </row>
    <row r="2573" spans="1:5">
      <c r="A2573">
        <f>HYPERLINK("http://www.twitter.com/nycoem/status/552876089811664896", "552876089811664896")</f>
        <v>0</v>
      </c>
      <c r="B2573" s="2">
        <v>42011.7188194444</v>
      </c>
      <c r="C2573">
        <v>3</v>
      </c>
      <c r="D2573">
        <v>3</v>
      </c>
      <c r="E2573" t="s">
        <v>2564</v>
      </c>
    </row>
    <row r="2574" spans="1:5">
      <c r="A2574">
        <f>HYPERLINK("http://www.twitter.com/nycoem/status/552842440391286785", "552842440391286785")</f>
        <v>0</v>
      </c>
      <c r="B2574" s="2">
        <v>42011.6259606481</v>
      </c>
      <c r="C2574">
        <v>0</v>
      </c>
      <c r="D2574">
        <v>3</v>
      </c>
      <c r="E2574" t="s">
        <v>2565</v>
      </c>
    </row>
    <row r="2575" spans="1:5">
      <c r="A2575">
        <f>HYPERLINK("http://www.twitter.com/nycoem/status/552827084339707904", "552827084339707904")</f>
        <v>0</v>
      </c>
      <c r="B2575" s="2">
        <v>42011.583587963</v>
      </c>
      <c r="C2575">
        <v>1</v>
      </c>
      <c r="D2575">
        <v>0</v>
      </c>
      <c r="E2575" t="s">
        <v>2566</v>
      </c>
    </row>
    <row r="2576" spans="1:5">
      <c r="A2576">
        <f>HYPERLINK("http://www.twitter.com/nycoem/status/552823871079202816", "552823871079202816")</f>
        <v>0</v>
      </c>
      <c r="B2576" s="2">
        <v>42011.5747222222</v>
      </c>
      <c r="C2576">
        <v>3</v>
      </c>
      <c r="D2576">
        <v>6</v>
      </c>
      <c r="E2576" t="s">
        <v>2567</v>
      </c>
    </row>
    <row r="2577" spans="1:5">
      <c r="A2577">
        <f>HYPERLINK("http://www.twitter.com/nycoem/status/552599054396702721", "552599054396702721")</f>
        <v>0</v>
      </c>
      <c r="B2577" s="2">
        <v>42010.9543518519</v>
      </c>
      <c r="C2577">
        <v>1</v>
      </c>
      <c r="D2577">
        <v>4</v>
      </c>
      <c r="E2577" t="s">
        <v>2568</v>
      </c>
    </row>
    <row r="2578" spans="1:5">
      <c r="A2578">
        <f>HYPERLINK("http://www.twitter.com/nycoem/status/552592166040915969", "552592166040915969")</f>
        <v>0</v>
      </c>
      <c r="B2578" s="2">
        <v>42010.9353356482</v>
      </c>
      <c r="C2578">
        <v>0</v>
      </c>
      <c r="D2578">
        <v>25</v>
      </c>
      <c r="E2578" t="s">
        <v>2569</v>
      </c>
    </row>
    <row r="2579" spans="1:5">
      <c r="A2579">
        <f>HYPERLINK("http://www.twitter.com/nycoem/status/552561709442146304", "552561709442146304")</f>
        <v>0</v>
      </c>
      <c r="B2579" s="2">
        <v>42010.8512962963</v>
      </c>
      <c r="C2579">
        <v>1</v>
      </c>
      <c r="D2579">
        <v>1</v>
      </c>
      <c r="E2579" t="s">
        <v>2570</v>
      </c>
    </row>
    <row r="2580" spans="1:5">
      <c r="A2580">
        <f>HYPERLINK("http://www.twitter.com/nycoem/status/552511247565197313", "552511247565197313")</f>
        <v>0</v>
      </c>
      <c r="B2580" s="2">
        <v>42010.7120486111</v>
      </c>
      <c r="C2580">
        <v>1</v>
      </c>
      <c r="D2580">
        <v>1</v>
      </c>
      <c r="E2580" t="s">
        <v>2571</v>
      </c>
    </row>
    <row r="2581" spans="1:5">
      <c r="A2581">
        <f>HYPERLINK("http://www.twitter.com/nycoem/status/552490765008777217", "552490765008777217")</f>
        <v>0</v>
      </c>
      <c r="B2581" s="2">
        <v>42010.6555208333</v>
      </c>
      <c r="C2581">
        <v>5</v>
      </c>
      <c r="D2581">
        <v>8</v>
      </c>
      <c r="E2581" t="s">
        <v>2572</v>
      </c>
    </row>
    <row r="2582" spans="1:5">
      <c r="A2582">
        <f>HYPERLINK("http://www.twitter.com/nycoem/status/552194182807576576", "552194182807576576")</f>
        <v>0</v>
      </c>
      <c r="B2582" s="2">
        <v>42009.8371180556</v>
      </c>
      <c r="C2582">
        <v>3</v>
      </c>
      <c r="D2582">
        <v>6</v>
      </c>
      <c r="E2582" t="s">
        <v>2573</v>
      </c>
    </row>
    <row r="2583" spans="1:5">
      <c r="A2583">
        <f>HYPERLINK("http://www.twitter.com/nycoem/status/552160477695188992", "552160477695188992")</f>
        <v>0</v>
      </c>
      <c r="B2583" s="2">
        <v>42009.7441087963</v>
      </c>
      <c r="C2583">
        <v>0</v>
      </c>
      <c r="D2583">
        <v>88</v>
      </c>
      <c r="E2583" t="s">
        <v>2574</v>
      </c>
    </row>
    <row r="2584" spans="1:5">
      <c r="A2584">
        <f>HYPERLINK("http://www.twitter.com/nycoem/status/552127134870028288", "552127134870028288")</f>
        <v>0</v>
      </c>
      <c r="B2584" s="2">
        <v>42009.6520949074</v>
      </c>
      <c r="C2584">
        <v>0</v>
      </c>
      <c r="D2584">
        <v>1</v>
      </c>
      <c r="E2584" t="s">
        <v>2575</v>
      </c>
    </row>
    <row r="2585" spans="1:5">
      <c r="A2585">
        <f>HYPERLINK("http://www.twitter.com/nycoem/status/551108292005859329", "551108292005859329")</f>
        <v>0</v>
      </c>
      <c r="B2585" s="2">
        <v>42006.840625</v>
      </c>
      <c r="C2585">
        <v>0</v>
      </c>
      <c r="D2585">
        <v>3</v>
      </c>
      <c r="E2585" t="s">
        <v>2576</v>
      </c>
    </row>
    <row r="2586" spans="1:5">
      <c r="A2586">
        <f>HYPERLINK("http://www.twitter.com/nycoem/status/551067185251385344", "551067185251385344")</f>
        <v>0</v>
      </c>
      <c r="B2586" s="2">
        <v>42006.7271875</v>
      </c>
      <c r="C2586">
        <v>2</v>
      </c>
      <c r="D2586">
        <v>7</v>
      </c>
      <c r="E2586" t="s">
        <v>2577</v>
      </c>
    </row>
    <row r="2587" spans="1:5">
      <c r="A2587">
        <f>HYPERLINK("http://www.twitter.com/nycoem/status/551060765340614656", "551060765340614656")</f>
        <v>0</v>
      </c>
      <c r="B2587" s="2">
        <v>42006.7094791667</v>
      </c>
      <c r="C2587">
        <v>0</v>
      </c>
      <c r="D2587">
        <v>6</v>
      </c>
      <c r="E2587" t="s">
        <v>2578</v>
      </c>
    </row>
    <row r="2588" spans="1:5">
      <c r="A2588">
        <f>HYPERLINK("http://www.twitter.com/nycoem/status/551060134596976640", "551060134596976640")</f>
        <v>0</v>
      </c>
      <c r="B2588" s="2">
        <v>42006.7077314815</v>
      </c>
      <c r="C2588">
        <v>1</v>
      </c>
      <c r="D2588">
        <v>0</v>
      </c>
      <c r="E2588" t="s">
        <v>2579</v>
      </c>
    </row>
    <row r="2589" spans="1:5">
      <c r="A2589">
        <f>HYPERLINK("http://www.twitter.com/nycoem/status/551054469954560000", "551054469954560000")</f>
        <v>0</v>
      </c>
      <c r="B2589" s="2">
        <v>42006.6921064815</v>
      </c>
      <c r="C2589">
        <v>7</v>
      </c>
      <c r="D2589">
        <v>7</v>
      </c>
      <c r="E2589" t="s">
        <v>2580</v>
      </c>
    </row>
    <row r="2590" spans="1:5">
      <c r="A2590">
        <f>HYPERLINK("http://www.twitter.com/nycoem/status/550715831924301824", "550715831924301824")</f>
        <v>0</v>
      </c>
      <c r="B2590" s="2">
        <v>42005.7576388889</v>
      </c>
      <c r="C2590">
        <v>4</v>
      </c>
      <c r="D2590">
        <v>8</v>
      </c>
      <c r="E2590" t="s">
        <v>2581</v>
      </c>
    </row>
    <row r="2591" spans="1:5">
      <c r="A2591">
        <f>HYPERLINK("http://www.twitter.com/nycoem/status/550517089010995200", "550517089010995200")</f>
        <v>0</v>
      </c>
      <c r="B2591" s="2">
        <v>42005.209212963</v>
      </c>
      <c r="C2591">
        <v>16</v>
      </c>
      <c r="D2591">
        <v>16</v>
      </c>
      <c r="E2591" t="s">
        <v>2582</v>
      </c>
    </row>
    <row r="2592" spans="1:5">
      <c r="A2592">
        <f>HYPERLINK("http://www.twitter.com/nycoem/status/550430024088961024", "550430024088961024")</f>
        <v>0</v>
      </c>
      <c r="B2592" s="2">
        <v>42004.9689583333</v>
      </c>
      <c r="C2592">
        <v>2</v>
      </c>
      <c r="D2592">
        <v>3</v>
      </c>
      <c r="E2592" t="s">
        <v>2583</v>
      </c>
    </row>
    <row r="2593" spans="1:5">
      <c r="A2593">
        <f>HYPERLINK("http://www.twitter.com/nycoem/status/550378541708505090", "550378541708505090")</f>
        <v>0</v>
      </c>
      <c r="B2593" s="2">
        <v>42004.8268981481</v>
      </c>
      <c r="C2593">
        <v>1</v>
      </c>
      <c r="D2593">
        <v>5</v>
      </c>
      <c r="E2593" t="s">
        <v>2584</v>
      </c>
    </row>
    <row r="2594" spans="1:5">
      <c r="A2594">
        <f>HYPERLINK("http://www.twitter.com/nycoem/status/550373904838299649", "550373904838299649")</f>
        <v>0</v>
      </c>
      <c r="B2594" s="2">
        <v>42004.8141087963</v>
      </c>
      <c r="C2594">
        <v>2</v>
      </c>
      <c r="D2594">
        <v>2</v>
      </c>
      <c r="E2594" t="s">
        <v>2585</v>
      </c>
    </row>
    <row r="2595" spans="1:5">
      <c r="A2595">
        <f>HYPERLINK("http://www.twitter.com/nycoem/status/550333139508551682", "550333139508551682")</f>
        <v>0</v>
      </c>
      <c r="B2595" s="2">
        <v>42004.7016087963</v>
      </c>
      <c r="C2595">
        <v>1</v>
      </c>
      <c r="D2595">
        <v>7</v>
      </c>
      <c r="E2595" t="s">
        <v>2586</v>
      </c>
    </row>
    <row r="2596" spans="1:5">
      <c r="A2596">
        <f>HYPERLINK("http://www.twitter.com/nycoem/status/550294094036365312", "550294094036365312")</f>
        <v>0</v>
      </c>
      <c r="B2596" s="2">
        <v>42004.5938657407</v>
      </c>
      <c r="C2596">
        <v>1</v>
      </c>
      <c r="D2596">
        <v>4</v>
      </c>
      <c r="E2596" t="s">
        <v>2587</v>
      </c>
    </row>
    <row r="2597" spans="1:5">
      <c r="A2597">
        <f>HYPERLINK("http://www.twitter.com/nycoem/status/550061309392596992", "550061309392596992")</f>
        <v>0</v>
      </c>
      <c r="B2597" s="2">
        <v>42003.9515046296</v>
      </c>
      <c r="C2597">
        <v>0</v>
      </c>
      <c r="D2597">
        <v>5</v>
      </c>
      <c r="E2597" t="s">
        <v>2588</v>
      </c>
    </row>
    <row r="2598" spans="1:5">
      <c r="A2598">
        <f>HYPERLINK("http://www.twitter.com/nycoem/status/550017257246838784", "550017257246838784")</f>
        <v>0</v>
      </c>
      <c r="B2598" s="2">
        <v>42003.8299421296</v>
      </c>
      <c r="C2598">
        <v>1</v>
      </c>
      <c r="D2598">
        <v>3</v>
      </c>
      <c r="E2598" t="s">
        <v>2589</v>
      </c>
    </row>
    <row r="2599" spans="1:5">
      <c r="A2599">
        <f>HYPERLINK("http://www.twitter.com/nycoem/status/549975772388413440", "549975772388413440")</f>
        <v>0</v>
      </c>
      <c r="B2599" s="2">
        <v>42003.715462963</v>
      </c>
      <c r="C2599">
        <v>2</v>
      </c>
      <c r="D2599">
        <v>8</v>
      </c>
      <c r="E2599" t="s">
        <v>2590</v>
      </c>
    </row>
    <row r="2600" spans="1:5">
      <c r="A2600">
        <f>HYPERLINK("http://www.twitter.com/nycoem/status/549656289220231168", "549656289220231168")</f>
        <v>0</v>
      </c>
      <c r="B2600" s="2">
        <v>42002.8338657407</v>
      </c>
      <c r="C2600">
        <v>3</v>
      </c>
      <c r="D2600">
        <v>7</v>
      </c>
      <c r="E2600" t="s">
        <v>2591</v>
      </c>
    </row>
    <row r="2601" spans="1:5">
      <c r="A2601">
        <f>HYPERLINK("http://www.twitter.com/nycoem/status/549613455075180544", "549613455075180544")</f>
        <v>0</v>
      </c>
      <c r="B2601" s="2">
        <v>42002.7156597222</v>
      </c>
      <c r="C2601">
        <v>0</v>
      </c>
      <c r="D2601">
        <v>4</v>
      </c>
      <c r="E2601" t="s">
        <v>2592</v>
      </c>
    </row>
    <row r="2602" spans="1:5">
      <c r="A2602">
        <f>HYPERLINK("http://www.twitter.com/nycoem/status/549578754528645122", "549578754528645122")</f>
        <v>0</v>
      </c>
      <c r="B2602" s="2">
        <v>42002.6199074074</v>
      </c>
      <c r="C2602">
        <v>1</v>
      </c>
      <c r="D2602">
        <v>2</v>
      </c>
      <c r="E2602" t="s">
        <v>2593</v>
      </c>
    </row>
    <row r="2603" spans="1:5">
      <c r="A2603">
        <f>HYPERLINK("http://www.twitter.com/nycoem/status/548538906376167425", "548538906376167425")</f>
        <v>0</v>
      </c>
      <c r="B2603" s="2">
        <v>41999.750474537</v>
      </c>
      <c r="C2603">
        <v>1</v>
      </c>
      <c r="D2603">
        <v>6</v>
      </c>
      <c r="E2603" t="s">
        <v>2594</v>
      </c>
    </row>
    <row r="2604" spans="1:5">
      <c r="A2604">
        <f>HYPERLINK("http://www.twitter.com/nycoem/status/548504462219026432", "548504462219026432")</f>
        <v>0</v>
      </c>
      <c r="B2604" s="2">
        <v>41999.6554282407</v>
      </c>
      <c r="C2604">
        <v>3</v>
      </c>
      <c r="D2604">
        <v>3</v>
      </c>
      <c r="E2604" t="s">
        <v>2595</v>
      </c>
    </row>
    <row r="2605" spans="1:5">
      <c r="A2605">
        <f>HYPERLINK("http://www.twitter.com/nycoem/status/548502277573836800", "548502277573836800")</f>
        <v>0</v>
      </c>
      <c r="B2605" s="2">
        <v>41999.6493981481</v>
      </c>
      <c r="C2605">
        <v>4</v>
      </c>
      <c r="D2605">
        <v>7</v>
      </c>
      <c r="E2605" t="s">
        <v>2596</v>
      </c>
    </row>
    <row r="2606" spans="1:5">
      <c r="A2606">
        <f>HYPERLINK("http://www.twitter.com/nycoem/status/548121491104350208", "548121491104350208")</f>
        <v>0</v>
      </c>
      <c r="B2606" s="2">
        <v>41998.5986226852</v>
      </c>
      <c r="C2606">
        <v>7</v>
      </c>
      <c r="D2606">
        <v>3</v>
      </c>
      <c r="E2606" t="s">
        <v>2597</v>
      </c>
    </row>
    <row r="2607" spans="1:5">
      <c r="A2607">
        <f>HYPERLINK("http://www.twitter.com/nycoem/status/547774255661068288", "547774255661068288")</f>
        <v>0</v>
      </c>
      <c r="B2607" s="2">
        <v>41997.6404398148</v>
      </c>
      <c r="C2607">
        <v>1</v>
      </c>
      <c r="D2607">
        <v>9</v>
      </c>
      <c r="E2607" t="s">
        <v>2598</v>
      </c>
    </row>
    <row r="2608" spans="1:5">
      <c r="A2608">
        <f>HYPERLINK("http://www.twitter.com/nycoem/status/547757300963102720", "547757300963102720")</f>
        <v>0</v>
      </c>
      <c r="B2608" s="2">
        <v>41997.5936574074</v>
      </c>
      <c r="C2608">
        <v>1</v>
      </c>
      <c r="D2608">
        <v>0</v>
      </c>
      <c r="E2608" t="s">
        <v>2599</v>
      </c>
    </row>
    <row r="2609" spans="1:5">
      <c r="A2609">
        <f>HYPERLINK("http://www.twitter.com/nycoem/status/547755389782355970", "547755389782355970")</f>
        <v>0</v>
      </c>
      <c r="B2609" s="2">
        <v>41997.5883796296</v>
      </c>
      <c r="C2609">
        <v>1</v>
      </c>
      <c r="D2609">
        <v>5</v>
      </c>
      <c r="E2609" t="s">
        <v>2600</v>
      </c>
    </row>
    <row r="2610" spans="1:5">
      <c r="A2610">
        <f>HYPERLINK("http://www.twitter.com/nycoem/status/547575919649763329", "547575919649763329")</f>
        <v>0</v>
      </c>
      <c r="B2610" s="2">
        <v>41997.0931365741</v>
      </c>
      <c r="C2610">
        <v>4</v>
      </c>
      <c r="D2610">
        <v>12</v>
      </c>
      <c r="E2610" t="s">
        <v>2601</v>
      </c>
    </row>
    <row r="2611" spans="1:5">
      <c r="A2611">
        <f>HYPERLINK("http://www.twitter.com/nycoem/status/547505147736489985", "547505147736489985")</f>
        <v>0</v>
      </c>
      <c r="B2611" s="2">
        <v>41996.8978472222</v>
      </c>
      <c r="C2611">
        <v>7</v>
      </c>
      <c r="D2611">
        <v>20</v>
      </c>
      <c r="E2611" t="s">
        <v>2602</v>
      </c>
    </row>
    <row r="2612" spans="1:5">
      <c r="A2612">
        <f>HYPERLINK("http://www.twitter.com/nycoem/status/547504303288885251", "547504303288885251")</f>
        <v>0</v>
      </c>
      <c r="B2612" s="2">
        <v>41996.8955092593</v>
      </c>
      <c r="C2612">
        <v>2</v>
      </c>
      <c r="D2612">
        <v>7</v>
      </c>
      <c r="E2612" t="s">
        <v>2603</v>
      </c>
    </row>
    <row r="2613" spans="1:5">
      <c r="A2613">
        <f>HYPERLINK("http://www.twitter.com/nycoem/status/547483663118905344", "547483663118905344")</f>
        <v>0</v>
      </c>
      <c r="B2613" s="2">
        <v>41996.8385532407</v>
      </c>
      <c r="C2613">
        <v>10</v>
      </c>
      <c r="D2613">
        <v>8</v>
      </c>
      <c r="E2613" t="s">
        <v>2604</v>
      </c>
    </row>
    <row r="2614" spans="1:5">
      <c r="A2614">
        <f>HYPERLINK("http://www.twitter.com/nycoem/status/547433966056505344", "547433966056505344")</f>
        <v>0</v>
      </c>
      <c r="B2614" s="2">
        <v>41996.701412037</v>
      </c>
      <c r="C2614">
        <v>4</v>
      </c>
      <c r="D2614">
        <v>6</v>
      </c>
      <c r="E2614" t="s">
        <v>2605</v>
      </c>
    </row>
    <row r="2615" spans="1:5">
      <c r="A2615">
        <f>HYPERLINK("http://www.twitter.com/nycoem/status/547390006361612288", "547390006361612288")</f>
        <v>0</v>
      </c>
      <c r="B2615" s="2">
        <v>41996.5801157407</v>
      </c>
      <c r="C2615">
        <v>3</v>
      </c>
      <c r="D2615">
        <v>4</v>
      </c>
      <c r="E2615" t="s">
        <v>2606</v>
      </c>
    </row>
    <row r="2616" spans="1:5">
      <c r="A2616">
        <f>HYPERLINK("http://www.twitter.com/nycoem/status/547120668270403584", "547120668270403584")</f>
        <v>0</v>
      </c>
      <c r="B2616" s="2">
        <v>41995.836875</v>
      </c>
      <c r="C2616">
        <v>1</v>
      </c>
      <c r="D2616">
        <v>19</v>
      </c>
      <c r="E2616" t="s">
        <v>2607</v>
      </c>
    </row>
    <row r="2617" spans="1:5">
      <c r="A2617">
        <f>HYPERLINK("http://www.twitter.com/nycoem/status/547074193888903168", "547074193888903168")</f>
        <v>0</v>
      </c>
      <c r="B2617" s="2">
        <v>41995.7086342593</v>
      </c>
      <c r="C2617">
        <v>1</v>
      </c>
      <c r="D2617">
        <v>4</v>
      </c>
      <c r="E2617" t="s">
        <v>2608</v>
      </c>
    </row>
    <row r="2618" spans="1:5">
      <c r="A2618">
        <f>HYPERLINK("http://www.twitter.com/nycoem/status/546727331889696768", "546727331889696768")</f>
        <v>0</v>
      </c>
      <c r="B2618" s="2">
        <v>41994.7514814815</v>
      </c>
      <c r="C2618">
        <v>18</v>
      </c>
      <c r="D2618">
        <v>22</v>
      </c>
      <c r="E2618" t="s">
        <v>2609</v>
      </c>
    </row>
    <row r="2619" spans="1:5">
      <c r="A2619">
        <f>HYPERLINK("http://www.twitter.com/nycoem/status/546718999707672576", "546718999707672576")</f>
        <v>0</v>
      </c>
      <c r="B2619" s="2">
        <v>41994.7284837963</v>
      </c>
      <c r="C2619">
        <v>11</v>
      </c>
      <c r="D2619">
        <v>9</v>
      </c>
      <c r="E2619" t="s">
        <v>2610</v>
      </c>
    </row>
    <row r="2620" spans="1:5">
      <c r="A2620">
        <f>HYPERLINK("http://www.twitter.com/nycoem/status/546001208738324480", "546001208738324480")</f>
        <v>0</v>
      </c>
      <c r="B2620" s="2">
        <v>41992.7477662037</v>
      </c>
      <c r="C2620">
        <v>3</v>
      </c>
      <c r="D2620">
        <v>11</v>
      </c>
      <c r="E2620" t="s">
        <v>2611</v>
      </c>
    </row>
    <row r="2621" spans="1:5">
      <c r="A2621">
        <f>HYPERLINK("http://www.twitter.com/nycoem/status/545951754748436480", "545951754748436480")</f>
        <v>0</v>
      </c>
      <c r="B2621" s="2">
        <v>41992.6112962963</v>
      </c>
      <c r="C2621">
        <v>2</v>
      </c>
      <c r="D2621">
        <v>7</v>
      </c>
      <c r="E2621" t="s">
        <v>2612</v>
      </c>
    </row>
    <row r="2622" spans="1:5">
      <c r="A2622">
        <f>HYPERLINK("http://www.twitter.com/nycoem/status/545671156452585472", "545671156452585472")</f>
        <v>0</v>
      </c>
      <c r="B2622" s="2">
        <v>41991.8369907407</v>
      </c>
      <c r="C2622">
        <v>2</v>
      </c>
      <c r="D2622">
        <v>2</v>
      </c>
      <c r="E2622" t="s">
        <v>2613</v>
      </c>
    </row>
    <row r="2623" spans="1:5">
      <c r="A2623">
        <f>HYPERLINK("http://www.twitter.com/nycoem/status/545650969804300288", "545650969804300288")</f>
        <v>0</v>
      </c>
      <c r="B2623" s="2">
        <v>41991.7812847222</v>
      </c>
      <c r="C2623">
        <v>1</v>
      </c>
      <c r="D2623">
        <v>10</v>
      </c>
      <c r="E2623" t="s">
        <v>2614</v>
      </c>
    </row>
    <row r="2624" spans="1:5">
      <c r="A2624">
        <f>HYPERLINK("http://www.twitter.com/nycoem/status/545581772378210304", "545581772378210304")</f>
        <v>0</v>
      </c>
      <c r="B2624" s="2">
        <v>41991.5903356482</v>
      </c>
      <c r="C2624">
        <v>0</v>
      </c>
      <c r="D2624">
        <v>0</v>
      </c>
      <c r="E2624" t="s">
        <v>2615</v>
      </c>
    </row>
    <row r="2625" spans="1:5">
      <c r="A2625">
        <f>HYPERLINK("http://www.twitter.com/nycoem/status/545333813648564224", "545333813648564224")</f>
        <v>0</v>
      </c>
      <c r="B2625" s="2">
        <v>41990.906099537</v>
      </c>
      <c r="C2625">
        <v>0</v>
      </c>
      <c r="D2625">
        <v>0</v>
      </c>
      <c r="E2625" t="s">
        <v>2616</v>
      </c>
    </row>
    <row r="2626" spans="1:5">
      <c r="A2626">
        <f>HYPERLINK("http://www.twitter.com/nycoem/status/545264755813150720", "545264755813150720")</f>
        <v>0</v>
      </c>
      <c r="B2626" s="2">
        <v>41990.7155324074</v>
      </c>
      <c r="C2626">
        <v>1</v>
      </c>
      <c r="D2626">
        <v>1</v>
      </c>
      <c r="E2626" t="s">
        <v>2617</v>
      </c>
    </row>
    <row r="2627" spans="1:5">
      <c r="A2627">
        <f>HYPERLINK("http://www.twitter.com/nycoem/status/545228031057739777", "545228031057739777")</f>
        <v>0</v>
      </c>
      <c r="B2627" s="2">
        <v>41990.6142013889</v>
      </c>
      <c r="C2627">
        <v>5</v>
      </c>
      <c r="D2627">
        <v>5</v>
      </c>
      <c r="E2627" t="s">
        <v>2618</v>
      </c>
    </row>
    <row r="2628" spans="1:5">
      <c r="A2628">
        <f>HYPERLINK("http://www.twitter.com/nycoem/status/544992960417648640", "544992960417648640")</f>
        <v>0</v>
      </c>
      <c r="B2628" s="2">
        <v>41989.9655208333</v>
      </c>
      <c r="C2628">
        <v>2</v>
      </c>
      <c r="D2628">
        <v>2</v>
      </c>
      <c r="E2628" t="s">
        <v>2619</v>
      </c>
    </row>
    <row r="2629" spans="1:5">
      <c r="A2629">
        <f>HYPERLINK("http://www.twitter.com/nycoem/status/544974524014264322", "544974524014264322")</f>
        <v>0</v>
      </c>
      <c r="B2629" s="2">
        <v>41989.9146527778</v>
      </c>
      <c r="C2629">
        <v>4</v>
      </c>
      <c r="D2629">
        <v>4</v>
      </c>
      <c r="E2629" t="s">
        <v>2620</v>
      </c>
    </row>
    <row r="2630" spans="1:5">
      <c r="A2630">
        <f>HYPERLINK("http://www.twitter.com/nycoem/status/544943850868203522", "544943850868203522")</f>
        <v>0</v>
      </c>
      <c r="B2630" s="2">
        <v>41989.8300115741</v>
      </c>
      <c r="C2630">
        <v>0</v>
      </c>
      <c r="D2630">
        <v>0</v>
      </c>
      <c r="E2630" t="s">
        <v>2621</v>
      </c>
    </row>
    <row r="2631" spans="1:5">
      <c r="A2631">
        <f>HYPERLINK("http://www.twitter.com/nycoem/status/544941379714314240", "544941379714314240")</f>
        <v>0</v>
      </c>
      <c r="B2631" s="2">
        <v>41989.8231944444</v>
      </c>
      <c r="C2631">
        <v>0</v>
      </c>
      <c r="D2631">
        <v>0</v>
      </c>
      <c r="E2631" t="s">
        <v>2622</v>
      </c>
    </row>
    <row r="2632" spans="1:5">
      <c r="A2632">
        <f>HYPERLINK("http://www.twitter.com/nycoem/status/544579055623094272", "544579055623094272")</f>
        <v>0</v>
      </c>
      <c r="B2632" s="2">
        <v>41988.8233680556</v>
      </c>
      <c r="C2632">
        <v>1</v>
      </c>
      <c r="D2632">
        <v>5</v>
      </c>
      <c r="E2632" t="s">
        <v>2623</v>
      </c>
    </row>
    <row r="2633" spans="1:5">
      <c r="A2633">
        <f>HYPERLINK("http://www.twitter.com/nycoem/status/544559721878134786", "544559721878134786")</f>
        <v>0</v>
      </c>
      <c r="B2633" s="2">
        <v>41988.7700115741</v>
      </c>
      <c r="C2633">
        <v>2</v>
      </c>
      <c r="D2633">
        <v>1</v>
      </c>
      <c r="E2633" t="s">
        <v>2624</v>
      </c>
    </row>
    <row r="2634" spans="1:5">
      <c r="A2634">
        <f>HYPERLINK("http://www.twitter.com/nycoem/status/544533715280752640", "544533715280752640")</f>
        <v>0</v>
      </c>
      <c r="B2634" s="2">
        <v>41988.6982523148</v>
      </c>
      <c r="C2634">
        <v>3</v>
      </c>
      <c r="D2634">
        <v>5</v>
      </c>
      <c r="E2634" t="s">
        <v>2625</v>
      </c>
    </row>
    <row r="2635" spans="1:5">
      <c r="A2635">
        <f>HYPERLINK("http://www.twitter.com/nycoem/status/544492329554681857", "544492329554681857")</f>
        <v>0</v>
      </c>
      <c r="B2635" s="2">
        <v>41988.5840509259</v>
      </c>
      <c r="C2635">
        <v>0</v>
      </c>
      <c r="D2635">
        <v>2</v>
      </c>
      <c r="E2635" t="s">
        <v>2626</v>
      </c>
    </row>
    <row r="2636" spans="1:5">
      <c r="A2636">
        <f>HYPERLINK("http://www.twitter.com/nycoem/status/543480849954791425", "543480849954791425")</f>
        <v>0</v>
      </c>
      <c r="B2636" s="2">
        <v>41985.7928935185</v>
      </c>
      <c r="C2636">
        <v>1</v>
      </c>
      <c r="D2636">
        <v>2</v>
      </c>
      <c r="E2636" t="s">
        <v>2627</v>
      </c>
    </row>
    <row r="2637" spans="1:5">
      <c r="A2637">
        <f>HYPERLINK("http://www.twitter.com/nycoem/status/543453992484110336", "543453992484110336")</f>
        <v>0</v>
      </c>
      <c r="B2637" s="2">
        <v>41985.7187847222</v>
      </c>
      <c r="C2637">
        <v>0</v>
      </c>
      <c r="D2637">
        <v>1</v>
      </c>
      <c r="E2637" t="s">
        <v>2628</v>
      </c>
    </row>
    <row r="2638" spans="1:5">
      <c r="A2638">
        <f>HYPERLINK("http://www.twitter.com/nycoem/status/543129457088020480", "543129457088020480")</f>
        <v>0</v>
      </c>
      <c r="B2638" s="2">
        <v>41984.8232407407</v>
      </c>
      <c r="C2638">
        <v>0</v>
      </c>
      <c r="D2638">
        <v>0</v>
      </c>
      <c r="E2638" t="s">
        <v>2629</v>
      </c>
    </row>
    <row r="2639" spans="1:5">
      <c r="A2639">
        <f>HYPERLINK("http://www.twitter.com/nycoem/status/543076313767350272", "543076313767350272")</f>
        <v>0</v>
      </c>
      <c r="B2639" s="2">
        <v>41984.6765856482</v>
      </c>
      <c r="C2639">
        <v>0</v>
      </c>
      <c r="D2639">
        <v>2</v>
      </c>
      <c r="E2639" t="s">
        <v>2630</v>
      </c>
    </row>
    <row r="2640" spans="1:5">
      <c r="A2640">
        <f>HYPERLINK("http://www.twitter.com/nycoem/status/542774137564176384", "542774137564176384")</f>
        <v>0</v>
      </c>
      <c r="B2640" s="2">
        <v>41983.8427430556</v>
      </c>
      <c r="C2640">
        <v>0</v>
      </c>
      <c r="D2640">
        <v>1</v>
      </c>
      <c r="E2640" t="s">
        <v>2631</v>
      </c>
    </row>
    <row r="2641" spans="1:5">
      <c r="A2641">
        <f>HYPERLINK("http://www.twitter.com/nycoem/status/542770873464528896", "542770873464528896")</f>
        <v>0</v>
      </c>
      <c r="B2641" s="2">
        <v>41983.8337384259</v>
      </c>
      <c r="C2641">
        <v>0</v>
      </c>
      <c r="D2641">
        <v>2</v>
      </c>
      <c r="E2641" t="s">
        <v>2632</v>
      </c>
    </row>
    <row r="2642" spans="1:5">
      <c r="A2642">
        <f>HYPERLINK("http://www.twitter.com/nycoem/status/542721833662177280", "542721833662177280")</f>
        <v>0</v>
      </c>
      <c r="B2642" s="2">
        <v>41983.6984143518</v>
      </c>
      <c r="C2642">
        <v>1</v>
      </c>
      <c r="D2642">
        <v>6</v>
      </c>
      <c r="E2642" t="s">
        <v>2633</v>
      </c>
    </row>
    <row r="2643" spans="1:5">
      <c r="A2643">
        <f>HYPERLINK("http://www.twitter.com/nycoem/status/542667615223959552", "542667615223959552")</f>
        <v>0</v>
      </c>
      <c r="B2643" s="2">
        <v>41983.5487962963</v>
      </c>
      <c r="C2643">
        <v>1</v>
      </c>
      <c r="D2643">
        <v>2</v>
      </c>
      <c r="E2643" t="s">
        <v>2634</v>
      </c>
    </row>
    <row r="2644" spans="1:5">
      <c r="A2644">
        <f>HYPERLINK("http://www.twitter.com/nycoem/status/542481564790452224", "542481564790452224")</f>
        <v>0</v>
      </c>
      <c r="B2644" s="2">
        <v>41983.0353935185</v>
      </c>
      <c r="C2644">
        <v>0</v>
      </c>
      <c r="D2644">
        <v>2</v>
      </c>
      <c r="E2644" t="s">
        <v>2635</v>
      </c>
    </row>
    <row r="2645" spans="1:5">
      <c r="A2645">
        <f>HYPERLINK("http://www.twitter.com/nycoem/status/542411003925786625", "542411003925786625")</f>
        <v>0</v>
      </c>
      <c r="B2645" s="2">
        <v>41982.8406828704</v>
      </c>
      <c r="C2645">
        <v>2</v>
      </c>
      <c r="D2645">
        <v>12</v>
      </c>
      <c r="E2645" t="s">
        <v>2636</v>
      </c>
    </row>
    <row r="2646" spans="1:5">
      <c r="A2646">
        <f>HYPERLINK("http://www.twitter.com/nycoem/status/542397904447475712", "542397904447475712")</f>
        <v>0</v>
      </c>
      <c r="B2646" s="2">
        <v>41982.804537037</v>
      </c>
      <c r="C2646">
        <v>0</v>
      </c>
      <c r="D2646">
        <v>3</v>
      </c>
      <c r="E2646" t="s">
        <v>2637</v>
      </c>
    </row>
    <row r="2647" spans="1:5">
      <c r="A2647">
        <f>HYPERLINK("http://www.twitter.com/nycoem/status/542378739267407872", "542378739267407872")</f>
        <v>0</v>
      </c>
      <c r="B2647" s="2">
        <v>41982.7516550926</v>
      </c>
      <c r="C2647">
        <v>0</v>
      </c>
      <c r="D2647">
        <v>1</v>
      </c>
      <c r="E2647" t="s">
        <v>2638</v>
      </c>
    </row>
    <row r="2648" spans="1:5">
      <c r="A2648">
        <f>HYPERLINK("http://www.twitter.com/nycoem/status/542359371741933568", "542359371741933568")</f>
        <v>0</v>
      </c>
      <c r="B2648" s="2">
        <v>41982.6982060185</v>
      </c>
      <c r="C2648">
        <v>1</v>
      </c>
      <c r="D2648">
        <v>1</v>
      </c>
      <c r="E2648" t="s">
        <v>2639</v>
      </c>
    </row>
    <row r="2649" spans="1:5">
      <c r="A2649">
        <f>HYPERLINK("http://www.twitter.com/nycoem/status/542353552904302593", "542353552904302593")</f>
        <v>0</v>
      </c>
      <c r="B2649" s="2">
        <v>41982.6821527778</v>
      </c>
      <c r="C2649">
        <v>1</v>
      </c>
      <c r="D2649">
        <v>5</v>
      </c>
      <c r="E2649" t="s">
        <v>2640</v>
      </c>
    </row>
    <row r="2650" spans="1:5">
      <c r="A2650">
        <f>HYPERLINK("http://www.twitter.com/nycoem/status/542325593535426560", "542325593535426560")</f>
        <v>0</v>
      </c>
      <c r="B2650" s="2">
        <v>41982.605</v>
      </c>
      <c r="C2650">
        <v>13</v>
      </c>
      <c r="D2650">
        <v>28</v>
      </c>
      <c r="E2650" t="s">
        <v>2641</v>
      </c>
    </row>
    <row r="2651" spans="1:5">
      <c r="A2651">
        <f>HYPERLINK("http://www.twitter.com/nycoem/status/542129501879427072", "542129501879427072")</f>
        <v>0</v>
      </c>
      <c r="B2651" s="2">
        <v>41982.0638888889</v>
      </c>
      <c r="C2651">
        <v>0</v>
      </c>
      <c r="D2651">
        <v>35</v>
      </c>
      <c r="E2651" t="s">
        <v>2642</v>
      </c>
    </row>
    <row r="2652" spans="1:5">
      <c r="A2652">
        <f>HYPERLINK("http://www.twitter.com/nycoem/status/542080517404098561", "542080517404098561")</f>
        <v>0</v>
      </c>
      <c r="B2652" s="2">
        <v>41981.9287152778</v>
      </c>
      <c r="C2652">
        <v>6</v>
      </c>
      <c r="D2652">
        <v>36</v>
      </c>
      <c r="E2652" t="s">
        <v>2643</v>
      </c>
    </row>
    <row r="2653" spans="1:5">
      <c r="A2653">
        <f>HYPERLINK("http://www.twitter.com/nycoem/status/542043450863267840", "542043450863267840")</f>
        <v>0</v>
      </c>
      <c r="B2653" s="2">
        <v>41981.8264351852</v>
      </c>
      <c r="C2653">
        <v>2</v>
      </c>
      <c r="D2653">
        <v>5</v>
      </c>
      <c r="E2653" t="s">
        <v>2644</v>
      </c>
    </row>
    <row r="2654" spans="1:5">
      <c r="A2654">
        <f>HYPERLINK("http://www.twitter.com/nycoem/status/542037249156980737", "542037249156980737")</f>
        <v>0</v>
      </c>
      <c r="B2654" s="2">
        <v>41981.8093171296</v>
      </c>
      <c r="C2654">
        <v>3</v>
      </c>
      <c r="D2654">
        <v>9</v>
      </c>
      <c r="E2654" t="s">
        <v>2645</v>
      </c>
    </row>
    <row r="2655" spans="1:5">
      <c r="A2655">
        <f>HYPERLINK("http://www.twitter.com/nycoem/status/542004291469602816", "542004291469602816")</f>
        <v>0</v>
      </c>
      <c r="B2655" s="2">
        <v>41981.7183680556</v>
      </c>
      <c r="C2655">
        <v>0</v>
      </c>
      <c r="D2655">
        <v>0</v>
      </c>
      <c r="E2655" t="s">
        <v>2646</v>
      </c>
    </row>
    <row r="2656" spans="1:5">
      <c r="A2656">
        <f>HYPERLINK("http://www.twitter.com/nycoem/status/542003202955444224", "542003202955444224")</f>
        <v>0</v>
      </c>
      <c r="B2656" s="2">
        <v>41981.7153703704</v>
      </c>
      <c r="C2656">
        <v>0</v>
      </c>
      <c r="D2656">
        <v>0</v>
      </c>
      <c r="E2656" t="s">
        <v>2647</v>
      </c>
    </row>
    <row r="2657" spans="1:5">
      <c r="A2657">
        <f>HYPERLINK("http://www.twitter.com/nycoem/status/540904309983301632", "540904309983301632")</f>
        <v>0</v>
      </c>
      <c r="B2657" s="2">
        <v>41978.6829976852</v>
      </c>
      <c r="C2657">
        <v>2</v>
      </c>
      <c r="D2657">
        <v>6</v>
      </c>
      <c r="E2657" t="s">
        <v>2648</v>
      </c>
    </row>
    <row r="2658" spans="1:5">
      <c r="A2658">
        <f>HYPERLINK("http://www.twitter.com/nycoem/status/540903548175667200", "540903548175667200")</f>
        <v>0</v>
      </c>
      <c r="B2658" s="2">
        <v>41978.6809027778</v>
      </c>
      <c r="C2658">
        <v>0</v>
      </c>
      <c r="D2658">
        <v>0</v>
      </c>
      <c r="E2658" t="s">
        <v>2649</v>
      </c>
    </row>
    <row r="2659" spans="1:5">
      <c r="A2659">
        <f>HYPERLINK("http://www.twitter.com/nycoem/status/540717076902838272", "540717076902838272")</f>
        <v>0</v>
      </c>
      <c r="B2659" s="2">
        <v>41978.1663310185</v>
      </c>
      <c r="C2659">
        <v>0</v>
      </c>
      <c r="D2659">
        <v>86</v>
      </c>
      <c r="E2659" t="s">
        <v>2650</v>
      </c>
    </row>
    <row r="2660" spans="1:5">
      <c r="A2660">
        <f>HYPERLINK("http://www.twitter.com/nycoem/status/540695709759336448", "540695709759336448")</f>
        <v>0</v>
      </c>
      <c r="B2660" s="2">
        <v>41978.1073726852</v>
      </c>
      <c r="C2660">
        <v>0</v>
      </c>
      <c r="D2660">
        <v>81</v>
      </c>
      <c r="E2660" t="s">
        <v>2651</v>
      </c>
    </row>
    <row r="2661" spans="1:5">
      <c r="A2661">
        <f>HYPERLINK("http://www.twitter.com/nycoem/status/540691007873232897", "540691007873232897")</f>
        <v>0</v>
      </c>
      <c r="B2661" s="2">
        <v>41978.0943981481</v>
      </c>
      <c r="C2661">
        <v>0</v>
      </c>
      <c r="D2661">
        <v>4</v>
      </c>
      <c r="E2661" t="s">
        <v>2652</v>
      </c>
    </row>
    <row r="2662" spans="1:5">
      <c r="A2662">
        <f>HYPERLINK("http://www.twitter.com/nycoem/status/540671938335899648", "540671938335899648")</f>
        <v>0</v>
      </c>
      <c r="B2662" s="2">
        <v>41978.0417708333</v>
      </c>
      <c r="C2662">
        <v>0</v>
      </c>
      <c r="D2662">
        <v>60</v>
      </c>
      <c r="E2662" t="s">
        <v>2653</v>
      </c>
    </row>
    <row r="2663" spans="1:5">
      <c r="A2663">
        <f>HYPERLINK("http://www.twitter.com/nycoem/status/540670645605257216", "540670645605257216")</f>
        <v>0</v>
      </c>
      <c r="B2663" s="2">
        <v>41978.0382060185</v>
      </c>
      <c r="C2663">
        <v>0</v>
      </c>
      <c r="D2663">
        <v>55</v>
      </c>
      <c r="E2663" t="s">
        <v>2654</v>
      </c>
    </row>
    <row r="2664" spans="1:5">
      <c r="A2664">
        <f>HYPERLINK("http://www.twitter.com/nycoem/status/540612789828857857", "540612789828857857")</f>
        <v>0</v>
      </c>
      <c r="B2664" s="2">
        <v>41977.8785532407</v>
      </c>
      <c r="C2664">
        <v>5</v>
      </c>
      <c r="D2664">
        <v>22</v>
      </c>
      <c r="E2664" t="s">
        <v>2655</v>
      </c>
    </row>
    <row r="2665" spans="1:5">
      <c r="A2665">
        <f>HYPERLINK("http://www.twitter.com/nycoem/status/540191380724019200", "540191380724019200")</f>
        <v>0</v>
      </c>
      <c r="B2665" s="2">
        <v>41976.7156944444</v>
      </c>
      <c r="C2665">
        <v>2</v>
      </c>
      <c r="D2665">
        <v>5</v>
      </c>
      <c r="E2665" t="s">
        <v>2656</v>
      </c>
    </row>
    <row r="2666" spans="1:5">
      <c r="A2666">
        <f>HYPERLINK("http://www.twitter.com/nycoem/status/540144062771519489", "540144062771519489")</f>
        <v>0</v>
      </c>
      <c r="B2666" s="2">
        <v>41976.5851157407</v>
      </c>
      <c r="C2666">
        <v>4</v>
      </c>
      <c r="D2666">
        <v>6</v>
      </c>
      <c r="E2666" t="s">
        <v>2657</v>
      </c>
    </row>
    <row r="2667" spans="1:5">
      <c r="A2667">
        <f>HYPERLINK("http://www.twitter.com/nycoem/status/539872945146179585", "539872945146179585")</f>
        <v>0</v>
      </c>
      <c r="B2667" s="2">
        <v>41975.8369791667</v>
      </c>
      <c r="C2667">
        <v>5</v>
      </c>
      <c r="D2667">
        <v>3</v>
      </c>
      <c r="E2667" t="s">
        <v>2658</v>
      </c>
    </row>
    <row r="2668" spans="1:5">
      <c r="A2668">
        <f>HYPERLINK("http://www.twitter.com/nycoem/status/539855285939359744", "539855285939359744")</f>
        <v>0</v>
      </c>
      <c r="B2668" s="2">
        <v>41975.7882407407</v>
      </c>
      <c r="C2668">
        <v>0</v>
      </c>
      <c r="D2668">
        <v>0</v>
      </c>
      <c r="E2668" t="s">
        <v>2659</v>
      </c>
    </row>
    <row r="2669" spans="1:5">
      <c r="A2669">
        <f>HYPERLINK("http://www.twitter.com/nycoem/status/539822574902206464", "539822574902206464")</f>
        <v>0</v>
      </c>
      <c r="B2669" s="2">
        <v>41975.697974537</v>
      </c>
      <c r="C2669">
        <v>1</v>
      </c>
      <c r="D2669">
        <v>4</v>
      </c>
      <c r="E2669" t="s">
        <v>2660</v>
      </c>
    </row>
    <row r="2670" spans="1:5">
      <c r="A2670">
        <f>HYPERLINK("http://www.twitter.com/nycoem/status/539801256261586944", "539801256261586944")</f>
        <v>0</v>
      </c>
      <c r="B2670" s="2">
        <v>41975.6391550926</v>
      </c>
      <c r="C2670">
        <v>0</v>
      </c>
      <c r="D2670">
        <v>0</v>
      </c>
      <c r="E2670" t="s">
        <v>2661</v>
      </c>
    </row>
    <row r="2671" spans="1:5">
      <c r="A2671">
        <f>HYPERLINK("http://www.twitter.com/nycoem/status/539552107859570688", "539552107859570688")</f>
        <v>0</v>
      </c>
      <c r="B2671" s="2">
        <v>41974.9516319444</v>
      </c>
      <c r="C2671">
        <v>2</v>
      </c>
      <c r="D2671">
        <v>2</v>
      </c>
      <c r="E2671" t="s">
        <v>2662</v>
      </c>
    </row>
    <row r="2672" spans="1:5">
      <c r="A2672">
        <f>HYPERLINK("http://www.twitter.com/nycoem/status/539509481462583296", "539509481462583296")</f>
        <v>0</v>
      </c>
      <c r="B2672" s="2">
        <v>41974.8340046296</v>
      </c>
      <c r="C2672">
        <v>2</v>
      </c>
      <c r="D2672">
        <v>4</v>
      </c>
      <c r="E2672" t="s">
        <v>2663</v>
      </c>
    </row>
    <row r="2673" spans="1:5">
      <c r="A2673">
        <f>HYPERLINK("http://www.twitter.com/nycoem/status/539461582032764928", "539461582032764928")</f>
        <v>0</v>
      </c>
      <c r="B2673" s="2">
        <v>41974.7018287037</v>
      </c>
      <c r="C2673">
        <v>1</v>
      </c>
      <c r="D2673">
        <v>2</v>
      </c>
      <c r="E2673" t="s">
        <v>2664</v>
      </c>
    </row>
    <row r="2674" spans="1:5">
      <c r="A2674">
        <f>HYPERLINK("http://www.twitter.com/nycoem/status/539087697495990272", "539087697495990272")</f>
        <v>0</v>
      </c>
      <c r="B2674" s="2">
        <v>41973.6701041667</v>
      </c>
      <c r="C2674">
        <v>0</v>
      </c>
      <c r="D2674">
        <v>0</v>
      </c>
      <c r="E2674" t="s">
        <v>2665</v>
      </c>
    </row>
    <row r="2675" spans="1:5">
      <c r="A2675">
        <f>HYPERLINK("http://www.twitter.com/nycoem/status/538423449778421760", "538423449778421760")</f>
        <v>0</v>
      </c>
      <c r="B2675" s="2">
        <v>41971.8371296296</v>
      </c>
      <c r="C2675">
        <v>1</v>
      </c>
      <c r="D2675">
        <v>2</v>
      </c>
      <c r="E2675" t="s">
        <v>2666</v>
      </c>
    </row>
    <row r="2676" spans="1:5">
      <c r="A2676">
        <f>HYPERLINK("http://www.twitter.com/nycoem/status/538378107183710208", "538378107183710208")</f>
        <v>0</v>
      </c>
      <c r="B2676" s="2">
        <v>41971.7120023148</v>
      </c>
      <c r="C2676">
        <v>1</v>
      </c>
      <c r="D2676">
        <v>2</v>
      </c>
      <c r="E2676" t="s">
        <v>2667</v>
      </c>
    </row>
    <row r="2677" spans="1:5">
      <c r="A2677">
        <f>HYPERLINK("http://www.twitter.com/nycoem/status/538334396227788800", "538334396227788800")</f>
        <v>0</v>
      </c>
      <c r="B2677" s="2">
        <v>41971.5913888889</v>
      </c>
      <c r="C2677">
        <v>8</v>
      </c>
      <c r="D2677">
        <v>13</v>
      </c>
      <c r="E2677" t="s">
        <v>2668</v>
      </c>
    </row>
    <row r="2678" spans="1:5">
      <c r="A2678">
        <f>HYPERLINK("http://www.twitter.com/nycoem/status/538332216678682624", "538332216678682624")</f>
        <v>0</v>
      </c>
      <c r="B2678" s="2">
        <v>41971.5853703704</v>
      </c>
      <c r="C2678">
        <v>0</v>
      </c>
      <c r="D2678">
        <v>0</v>
      </c>
      <c r="E2678" t="s">
        <v>2669</v>
      </c>
    </row>
    <row r="2679" spans="1:5">
      <c r="A2679">
        <f>HYPERLINK("http://www.twitter.com/nycoem/status/538327776026460160", "538327776026460160")</f>
        <v>0</v>
      </c>
      <c r="B2679" s="2">
        <v>41971.573125</v>
      </c>
      <c r="C2679">
        <v>0</v>
      </c>
      <c r="D2679">
        <v>5</v>
      </c>
      <c r="E2679" t="s">
        <v>2670</v>
      </c>
    </row>
    <row r="2680" spans="1:5">
      <c r="A2680">
        <f>HYPERLINK("http://www.twitter.com/nycoem/status/537991385773658112", "537991385773658112")</f>
        <v>0</v>
      </c>
      <c r="B2680" s="2">
        <v>41970.6448611111</v>
      </c>
      <c r="C2680">
        <v>4</v>
      </c>
      <c r="D2680">
        <v>1</v>
      </c>
      <c r="E2680" t="s">
        <v>2671</v>
      </c>
    </row>
    <row r="2681" spans="1:5">
      <c r="A2681">
        <f>HYPERLINK("http://www.twitter.com/nycoem/status/537799459942719488", "537799459942719488")</f>
        <v>0</v>
      </c>
      <c r="B2681" s="2">
        <v>41970.1152430556</v>
      </c>
      <c r="C2681">
        <v>3</v>
      </c>
      <c r="D2681">
        <v>11</v>
      </c>
      <c r="E2681" t="s">
        <v>2672</v>
      </c>
    </row>
    <row r="2682" spans="1:5">
      <c r="A2682">
        <f>HYPERLINK("http://www.twitter.com/nycoem/status/537720346061725698", "537720346061725698")</f>
        <v>0</v>
      </c>
      <c r="B2682" s="2">
        <v>41969.8969328704</v>
      </c>
      <c r="C2682">
        <v>1</v>
      </c>
      <c r="D2682">
        <v>7</v>
      </c>
      <c r="E2682" t="s">
        <v>2673</v>
      </c>
    </row>
    <row r="2683" spans="1:5">
      <c r="A2683">
        <f>HYPERLINK("http://www.twitter.com/nycoem/status/537680532633833474", "537680532633833474")</f>
        <v>0</v>
      </c>
      <c r="B2683" s="2">
        <v>41969.7870717593</v>
      </c>
      <c r="C2683">
        <v>1</v>
      </c>
      <c r="D2683">
        <v>3</v>
      </c>
      <c r="E2683" t="s">
        <v>2674</v>
      </c>
    </row>
    <row r="2684" spans="1:5">
      <c r="A2684">
        <f>HYPERLINK("http://www.twitter.com/nycoem/status/537653570632699904", "537653570632699904")</f>
        <v>0</v>
      </c>
      <c r="B2684" s="2">
        <v>41969.7126736111</v>
      </c>
      <c r="C2684">
        <v>0</v>
      </c>
      <c r="D2684">
        <v>2</v>
      </c>
      <c r="E2684" t="s">
        <v>2675</v>
      </c>
    </row>
    <row r="2685" spans="1:5">
      <c r="A2685">
        <f>HYPERLINK("http://www.twitter.com/nycoem/status/537653540555354112", "537653540555354112")</f>
        <v>0</v>
      </c>
      <c r="B2685" s="2">
        <v>41969.7125810185</v>
      </c>
      <c r="C2685">
        <v>9</v>
      </c>
      <c r="D2685">
        <v>14</v>
      </c>
      <c r="E2685" t="s">
        <v>2676</v>
      </c>
    </row>
    <row r="2686" spans="1:5">
      <c r="A2686">
        <f>HYPERLINK("http://www.twitter.com/nycoem/status/537641740606652417", "537641740606652417")</f>
        <v>0</v>
      </c>
      <c r="B2686" s="2">
        <v>41969.6800231481</v>
      </c>
      <c r="C2686">
        <v>0</v>
      </c>
      <c r="D2686">
        <v>5</v>
      </c>
      <c r="E2686" t="s">
        <v>2677</v>
      </c>
    </row>
    <row r="2687" spans="1:5">
      <c r="A2687">
        <f>HYPERLINK("http://www.twitter.com/nycoem/status/537641189303136256", "537641189303136256")</f>
        <v>0</v>
      </c>
      <c r="B2687" s="2">
        <v>41969.6785069444</v>
      </c>
      <c r="C2687">
        <v>1</v>
      </c>
      <c r="D2687">
        <v>6</v>
      </c>
      <c r="E2687" t="s">
        <v>2678</v>
      </c>
    </row>
    <row r="2688" spans="1:5">
      <c r="A2688">
        <f>HYPERLINK("http://www.twitter.com/nycoem/status/537605826308222978", "537605826308222978")</f>
        <v>0</v>
      </c>
      <c r="B2688" s="2">
        <v>41969.5809143518</v>
      </c>
      <c r="C2688">
        <v>1</v>
      </c>
      <c r="D2688">
        <v>4</v>
      </c>
      <c r="E2688" t="s">
        <v>2679</v>
      </c>
    </row>
    <row r="2689" spans="1:5">
      <c r="A2689">
        <f>HYPERLINK("http://www.twitter.com/nycoem/status/537604378384154624", "537604378384154624")</f>
        <v>0</v>
      </c>
      <c r="B2689" s="2">
        <v>41969.5769212963</v>
      </c>
      <c r="C2689">
        <v>0</v>
      </c>
      <c r="D2689">
        <v>76</v>
      </c>
      <c r="E2689" t="s">
        <v>2680</v>
      </c>
    </row>
    <row r="2690" spans="1:5">
      <c r="A2690">
        <f>HYPERLINK("http://www.twitter.com/nycoem/status/537604349988708352", "537604349988708352")</f>
        <v>0</v>
      </c>
      <c r="B2690" s="2">
        <v>41969.5768402778</v>
      </c>
      <c r="C2690">
        <v>2</v>
      </c>
      <c r="D2690">
        <v>16</v>
      </c>
      <c r="E2690" t="s">
        <v>2681</v>
      </c>
    </row>
    <row r="2691" spans="1:5">
      <c r="A2691">
        <f>HYPERLINK("http://www.twitter.com/nycoem/status/537584563896451072", "537584563896451072")</f>
        <v>0</v>
      </c>
      <c r="B2691" s="2">
        <v>41969.5222453704</v>
      </c>
      <c r="C2691">
        <v>1</v>
      </c>
      <c r="D2691">
        <v>2</v>
      </c>
      <c r="E2691" t="s">
        <v>2682</v>
      </c>
    </row>
    <row r="2692" spans="1:5">
      <c r="A2692">
        <f>HYPERLINK("http://www.twitter.com/nycoem/status/537584225462288384", "537584225462288384")</f>
        <v>0</v>
      </c>
      <c r="B2692" s="2">
        <v>41969.5213078704</v>
      </c>
      <c r="C2692">
        <v>1</v>
      </c>
      <c r="D2692">
        <v>6</v>
      </c>
      <c r="E2692" t="s">
        <v>2683</v>
      </c>
    </row>
    <row r="2693" spans="1:5">
      <c r="A2693">
        <f>HYPERLINK("http://www.twitter.com/nycoem/status/537409124422918144", "537409124422918144")</f>
        <v>0</v>
      </c>
      <c r="B2693" s="2">
        <v>41969.038125</v>
      </c>
      <c r="C2693">
        <v>2</v>
      </c>
      <c r="D2693">
        <v>5</v>
      </c>
      <c r="E2693" t="s">
        <v>2684</v>
      </c>
    </row>
    <row r="2694" spans="1:5">
      <c r="A2694">
        <f>HYPERLINK("http://www.twitter.com/nycoem/status/537358287172567040", "537358287172567040")</f>
        <v>0</v>
      </c>
      <c r="B2694" s="2">
        <v>41968.8978356481</v>
      </c>
      <c r="C2694">
        <v>0</v>
      </c>
      <c r="D2694">
        <v>6</v>
      </c>
      <c r="E2694" t="s">
        <v>2685</v>
      </c>
    </row>
    <row r="2695" spans="1:5">
      <c r="A2695">
        <f>HYPERLINK("http://www.twitter.com/nycoem/status/537357469430054912", "537357469430054912")</f>
        <v>0</v>
      </c>
      <c r="B2695" s="2">
        <v>41968.8955787037</v>
      </c>
      <c r="C2695">
        <v>0</v>
      </c>
      <c r="D2695">
        <v>10</v>
      </c>
      <c r="E2695" t="s">
        <v>2686</v>
      </c>
    </row>
    <row r="2696" spans="1:5">
      <c r="A2696">
        <f>HYPERLINK("http://www.twitter.com/nycoem/status/537357237048864768", "537357237048864768")</f>
        <v>0</v>
      </c>
      <c r="B2696" s="2">
        <v>41968.8949421296</v>
      </c>
      <c r="C2696">
        <v>0</v>
      </c>
      <c r="D2696">
        <v>4</v>
      </c>
      <c r="E2696" t="s">
        <v>2687</v>
      </c>
    </row>
    <row r="2697" spans="1:5">
      <c r="A2697">
        <f>HYPERLINK("http://www.twitter.com/nycoem/status/537279320587509760", "537279320587509760")</f>
        <v>0</v>
      </c>
      <c r="B2697" s="2">
        <v>41968.6799305556</v>
      </c>
      <c r="C2697">
        <v>1</v>
      </c>
      <c r="D2697">
        <v>3</v>
      </c>
      <c r="E2697" t="s">
        <v>2688</v>
      </c>
    </row>
    <row r="2698" spans="1:5">
      <c r="A2698">
        <f>HYPERLINK("http://www.twitter.com/nycoem/status/537244386388893697", "537244386388893697")</f>
        <v>0</v>
      </c>
      <c r="B2698" s="2">
        <v>41968.5835300926</v>
      </c>
      <c r="C2698">
        <v>2</v>
      </c>
      <c r="D2698">
        <v>3</v>
      </c>
      <c r="E2698" t="s">
        <v>2689</v>
      </c>
    </row>
    <row r="2699" spans="1:5">
      <c r="A2699">
        <f>HYPERLINK("http://www.twitter.com/nycoem/status/537244357775360000", "537244357775360000")</f>
        <v>0</v>
      </c>
      <c r="B2699" s="2">
        <v>41968.5834606482</v>
      </c>
      <c r="C2699">
        <v>0</v>
      </c>
      <c r="D2699">
        <v>6</v>
      </c>
      <c r="E2699" t="s">
        <v>2690</v>
      </c>
    </row>
    <row r="2700" spans="1:5">
      <c r="A2700">
        <f>HYPERLINK("http://www.twitter.com/nycoem/status/537244101738262528", "537244101738262528")</f>
        <v>0</v>
      </c>
      <c r="B2700" s="2">
        <v>41968.5827546296</v>
      </c>
      <c r="C2700">
        <v>1</v>
      </c>
      <c r="D2700">
        <v>3</v>
      </c>
      <c r="E2700" t="s">
        <v>2691</v>
      </c>
    </row>
    <row r="2701" spans="1:5">
      <c r="A2701">
        <f>HYPERLINK("http://www.twitter.com/nycoem/status/537018541309186048", "537018541309186048")</f>
        <v>0</v>
      </c>
      <c r="B2701" s="2">
        <v>41967.9603240741</v>
      </c>
      <c r="C2701">
        <v>0</v>
      </c>
      <c r="D2701">
        <v>9</v>
      </c>
      <c r="E2701" t="s">
        <v>2692</v>
      </c>
    </row>
    <row r="2702" spans="1:5">
      <c r="A2702">
        <f>HYPERLINK("http://www.twitter.com/nycoem/status/536962913769377793", "536962913769377793")</f>
        <v>0</v>
      </c>
      <c r="B2702" s="2">
        <v>41967.8068171296</v>
      </c>
      <c r="C2702">
        <v>0</v>
      </c>
      <c r="D2702">
        <v>51</v>
      </c>
      <c r="E2702" t="s">
        <v>2693</v>
      </c>
    </row>
    <row r="2703" spans="1:5">
      <c r="A2703">
        <f>HYPERLINK("http://www.twitter.com/nycoem/status/536929863866015744", "536929863866015744")</f>
        <v>0</v>
      </c>
      <c r="B2703" s="2">
        <v>41967.7156134259</v>
      </c>
      <c r="C2703">
        <v>0</v>
      </c>
      <c r="D2703">
        <v>0</v>
      </c>
      <c r="E2703" t="s">
        <v>2694</v>
      </c>
    </row>
    <row r="2704" spans="1:5">
      <c r="A2704">
        <f>HYPERLINK("http://www.twitter.com/nycoem/status/536893503083933696", "536893503083933696")</f>
        <v>0</v>
      </c>
      <c r="B2704" s="2">
        <v>41967.6152777778</v>
      </c>
      <c r="C2704">
        <v>0</v>
      </c>
      <c r="D2704">
        <v>1</v>
      </c>
      <c r="E2704" t="s">
        <v>2695</v>
      </c>
    </row>
    <row r="2705" spans="1:5">
      <c r="A2705">
        <f>HYPERLINK("http://www.twitter.com/nycoem/status/536889654206033920", "536889654206033920")</f>
        <v>0</v>
      </c>
      <c r="B2705" s="2">
        <v>41967.6046643518</v>
      </c>
      <c r="C2705">
        <v>0</v>
      </c>
      <c r="D2705">
        <v>3</v>
      </c>
      <c r="E2705" t="s">
        <v>2696</v>
      </c>
    </row>
    <row r="2706" spans="1:5">
      <c r="A2706">
        <f>HYPERLINK("http://www.twitter.com/nycoem/status/536879548198322176", "536879548198322176")</f>
        <v>0</v>
      </c>
      <c r="B2706" s="2">
        <v>41967.5767708333</v>
      </c>
      <c r="C2706">
        <v>3</v>
      </c>
      <c r="D2706">
        <v>1</v>
      </c>
      <c r="E2706" t="s">
        <v>2697</v>
      </c>
    </row>
    <row r="2707" spans="1:5">
      <c r="A2707">
        <f>HYPERLINK("http://www.twitter.com/nycoem/status/536878117571555328", "536878117571555328")</f>
        <v>0</v>
      </c>
      <c r="B2707" s="2">
        <v>41967.5728240741</v>
      </c>
      <c r="C2707">
        <v>0</v>
      </c>
      <c r="D2707">
        <v>10</v>
      </c>
      <c r="E2707" t="s">
        <v>2698</v>
      </c>
    </row>
    <row r="2708" spans="1:5">
      <c r="A2708">
        <f>HYPERLINK("http://www.twitter.com/nycoem/status/536245613843984384", "536245613843984384")</f>
        <v>0</v>
      </c>
      <c r="B2708" s="2">
        <v>41965.8274421296</v>
      </c>
      <c r="C2708">
        <v>5</v>
      </c>
      <c r="D2708">
        <v>6</v>
      </c>
      <c r="E2708" t="s">
        <v>2699</v>
      </c>
    </row>
    <row r="2709" spans="1:5">
      <c r="A2709">
        <f>HYPERLINK("http://www.twitter.com/nycoem/status/536245479043268608", "536245479043268608")</f>
        <v>0</v>
      </c>
      <c r="B2709" s="2">
        <v>41965.8270717593</v>
      </c>
      <c r="C2709">
        <v>5</v>
      </c>
      <c r="D2709">
        <v>1</v>
      </c>
      <c r="E2709" t="s">
        <v>2700</v>
      </c>
    </row>
    <row r="2710" spans="1:5">
      <c r="A2710">
        <f>HYPERLINK("http://www.twitter.com/nycoem/status/535895535409197057", "535895535409197057")</f>
        <v>0</v>
      </c>
      <c r="B2710" s="2">
        <v>41964.861412037</v>
      </c>
      <c r="C2710">
        <v>1</v>
      </c>
      <c r="D2710">
        <v>2</v>
      </c>
      <c r="E2710" t="s">
        <v>2701</v>
      </c>
    </row>
    <row r="2711" spans="1:5">
      <c r="A2711">
        <f>HYPERLINK("http://www.twitter.com/nycoem/status/535885574197231617", "535885574197231617")</f>
        <v>0</v>
      </c>
      <c r="B2711" s="2">
        <v>41964.8339236111</v>
      </c>
      <c r="C2711">
        <v>4</v>
      </c>
      <c r="D2711">
        <v>11</v>
      </c>
      <c r="E2711" t="s">
        <v>2702</v>
      </c>
    </row>
    <row r="2712" spans="1:5">
      <c r="A2712">
        <f>HYPERLINK("http://www.twitter.com/nycoem/status/535841504443777025", "535841504443777025")</f>
        <v>0</v>
      </c>
      <c r="B2712" s="2">
        <v>41964.7123148148</v>
      </c>
      <c r="C2712">
        <v>1</v>
      </c>
      <c r="D2712">
        <v>4</v>
      </c>
      <c r="E2712" t="s">
        <v>2703</v>
      </c>
    </row>
    <row r="2713" spans="1:5">
      <c r="A2713">
        <f>HYPERLINK("http://www.twitter.com/nycoem/status/535832138739101697", "535832138739101697")</f>
        <v>0</v>
      </c>
      <c r="B2713" s="2">
        <v>41964.6864699074</v>
      </c>
      <c r="C2713">
        <v>1</v>
      </c>
      <c r="D2713">
        <v>1</v>
      </c>
      <c r="E2713" t="s">
        <v>2704</v>
      </c>
    </row>
    <row r="2714" spans="1:5">
      <c r="A2714">
        <f>HYPERLINK("http://www.twitter.com/nycoem/status/535830026273697793", "535830026273697793")</f>
        <v>0</v>
      </c>
      <c r="B2714" s="2">
        <v>41964.6806481481</v>
      </c>
      <c r="C2714">
        <v>2</v>
      </c>
      <c r="D2714">
        <v>5</v>
      </c>
      <c r="E2714" t="s">
        <v>2705</v>
      </c>
    </row>
    <row r="2715" spans="1:5">
      <c r="A2715">
        <f>HYPERLINK("http://www.twitter.com/nycoem/status/535814447387115520", "535814447387115520")</f>
        <v>0</v>
      </c>
      <c r="B2715" s="2">
        <v>41964.637650463</v>
      </c>
      <c r="C2715">
        <v>0</v>
      </c>
      <c r="D2715">
        <v>2</v>
      </c>
      <c r="E2715" t="s">
        <v>2706</v>
      </c>
    </row>
    <row r="2716" spans="1:5">
      <c r="A2716">
        <f>HYPERLINK("http://www.twitter.com/nycoem/status/535807834462883841", "535807834462883841")</f>
        <v>0</v>
      </c>
      <c r="B2716" s="2">
        <v>41964.6194097222</v>
      </c>
      <c r="C2716">
        <v>0</v>
      </c>
      <c r="D2716">
        <v>3</v>
      </c>
      <c r="E2716" t="s">
        <v>2707</v>
      </c>
    </row>
    <row r="2717" spans="1:5">
      <c r="A2717">
        <f>HYPERLINK("http://www.twitter.com/nycoem/status/535806140484169729", "535806140484169729")</f>
        <v>0</v>
      </c>
      <c r="B2717" s="2">
        <v>41964.6147337963</v>
      </c>
      <c r="C2717">
        <v>0</v>
      </c>
      <c r="D2717">
        <v>1</v>
      </c>
      <c r="E2717" t="s">
        <v>2708</v>
      </c>
    </row>
    <row r="2718" spans="1:5">
      <c r="A2718">
        <f>HYPERLINK("http://www.twitter.com/nycoem/status/535800484129685504", "535800484129685504")</f>
        <v>0</v>
      </c>
      <c r="B2718" s="2">
        <v>41964.5991203704</v>
      </c>
      <c r="C2718">
        <v>7</v>
      </c>
      <c r="D2718">
        <v>13</v>
      </c>
      <c r="E2718" t="s">
        <v>2709</v>
      </c>
    </row>
    <row r="2719" spans="1:5">
      <c r="A2719">
        <f>HYPERLINK("http://www.twitter.com/nycoem/status/535610197600120832", "535610197600120832")</f>
        <v>0</v>
      </c>
      <c r="B2719" s="2">
        <v>41964.0740277778</v>
      </c>
      <c r="C2719">
        <v>1</v>
      </c>
      <c r="D2719">
        <v>0</v>
      </c>
      <c r="E2719" t="s">
        <v>2710</v>
      </c>
    </row>
    <row r="2720" spans="1:5">
      <c r="A2720">
        <f>HYPERLINK("http://www.twitter.com/nycoem/status/535609714235949056", "535609714235949056")</f>
        <v>0</v>
      </c>
      <c r="B2720" s="2">
        <v>41964.0726967593</v>
      </c>
      <c r="C2720">
        <v>2</v>
      </c>
      <c r="D2720">
        <v>2</v>
      </c>
      <c r="E2720" t="s">
        <v>2711</v>
      </c>
    </row>
    <row r="2721" spans="1:5">
      <c r="A2721">
        <f>HYPERLINK("http://www.twitter.com/nycoem/status/535534445114449921", "535534445114449921")</f>
        <v>0</v>
      </c>
      <c r="B2721" s="2">
        <v>41963.865</v>
      </c>
      <c r="C2721">
        <v>0</v>
      </c>
      <c r="D2721">
        <v>6</v>
      </c>
      <c r="E2721" t="s">
        <v>2712</v>
      </c>
    </row>
    <row r="2722" spans="1:5">
      <c r="A2722">
        <f>HYPERLINK("http://www.twitter.com/nycoem/status/535460265681506304", "535460265681506304")</f>
        <v>0</v>
      </c>
      <c r="B2722" s="2">
        <v>41963.6603009259</v>
      </c>
      <c r="C2722">
        <v>0</v>
      </c>
      <c r="D2722">
        <v>1</v>
      </c>
      <c r="E2722" t="s">
        <v>2713</v>
      </c>
    </row>
    <row r="2723" spans="1:5">
      <c r="A2723">
        <f>HYPERLINK("http://www.twitter.com/nycoem/status/535254941670322180", "535254941670322180")</f>
        <v>0</v>
      </c>
      <c r="B2723" s="2">
        <v>41963.0937152778</v>
      </c>
      <c r="C2723">
        <v>2</v>
      </c>
      <c r="D2723">
        <v>2</v>
      </c>
      <c r="E2723" t="s">
        <v>2714</v>
      </c>
    </row>
    <row r="2724" spans="1:5">
      <c r="A2724">
        <f>HYPERLINK("http://www.twitter.com/nycoem/status/535178843922132993", "535178843922132993")</f>
        <v>0</v>
      </c>
      <c r="B2724" s="2">
        <v>41962.8837268519</v>
      </c>
      <c r="C2724">
        <v>1</v>
      </c>
      <c r="D2724">
        <v>2</v>
      </c>
      <c r="E2724" t="s">
        <v>2715</v>
      </c>
    </row>
    <row r="2725" spans="1:5">
      <c r="A2725">
        <f>HYPERLINK("http://www.twitter.com/nycoem/status/535107973941833728", "535107973941833728")</f>
        <v>0</v>
      </c>
      <c r="B2725" s="2">
        <v>41962.6881597222</v>
      </c>
      <c r="C2725">
        <v>0</v>
      </c>
      <c r="D2725">
        <v>4</v>
      </c>
      <c r="E2725" t="s">
        <v>2716</v>
      </c>
    </row>
    <row r="2726" spans="1:5">
      <c r="A2726">
        <f>HYPERLINK("http://www.twitter.com/nycoem/status/535077815553896448", "535077815553896448")</f>
        <v>0</v>
      </c>
      <c r="B2726" s="2">
        <v>41962.6049421296</v>
      </c>
      <c r="C2726">
        <v>2</v>
      </c>
      <c r="D2726">
        <v>5</v>
      </c>
      <c r="E2726" t="s">
        <v>2717</v>
      </c>
    </row>
    <row r="2727" spans="1:5">
      <c r="A2727">
        <f>HYPERLINK("http://www.twitter.com/nycoem/status/535070680250056704", "535070680250056704")</f>
        <v>0</v>
      </c>
      <c r="B2727" s="2">
        <v>41962.5852430556</v>
      </c>
      <c r="C2727">
        <v>1</v>
      </c>
      <c r="D2727">
        <v>4</v>
      </c>
      <c r="E2727" t="s">
        <v>2718</v>
      </c>
    </row>
    <row r="2728" spans="1:5">
      <c r="A2728">
        <f>HYPERLINK("http://www.twitter.com/nycoem/status/534817804932116480", "534817804932116480")</f>
        <v>0</v>
      </c>
      <c r="B2728" s="2">
        <v>41961.8874421296</v>
      </c>
      <c r="C2728">
        <v>1</v>
      </c>
      <c r="D2728">
        <v>2</v>
      </c>
      <c r="E2728" t="s">
        <v>2719</v>
      </c>
    </row>
    <row r="2729" spans="1:5">
      <c r="A2729">
        <f>HYPERLINK("http://www.twitter.com/nycoem/status/534750491721596929", "534750491721596929")</f>
        <v>0</v>
      </c>
      <c r="B2729" s="2">
        <v>41961.7017013889</v>
      </c>
      <c r="C2729">
        <v>0</v>
      </c>
      <c r="D2729">
        <v>3</v>
      </c>
      <c r="E2729" t="s">
        <v>2720</v>
      </c>
    </row>
    <row r="2730" spans="1:5">
      <c r="A2730">
        <f>HYPERLINK("http://www.twitter.com/nycoem/status/534713808124903424", "534713808124903424")</f>
        <v>0</v>
      </c>
      <c r="B2730" s="2">
        <v>41961.600474537</v>
      </c>
      <c r="C2730">
        <v>0</v>
      </c>
      <c r="D2730">
        <v>2</v>
      </c>
      <c r="E2730" t="s">
        <v>2721</v>
      </c>
    </row>
    <row r="2731" spans="1:5">
      <c r="A2731">
        <f>HYPERLINK("http://www.twitter.com/nycoem/status/534447393765593088", "534447393765593088")</f>
        <v>0</v>
      </c>
      <c r="B2731" s="2">
        <v>41960.8653009259</v>
      </c>
      <c r="C2731">
        <v>1</v>
      </c>
      <c r="D2731">
        <v>3</v>
      </c>
      <c r="E2731" t="s">
        <v>2722</v>
      </c>
    </row>
    <row r="2732" spans="1:5">
      <c r="A2732">
        <f>HYPERLINK("http://www.twitter.com/nycoem/status/534432214134820864", "534432214134820864")</f>
        <v>0</v>
      </c>
      <c r="B2732" s="2">
        <v>41960.8234143518</v>
      </c>
      <c r="C2732">
        <v>1</v>
      </c>
      <c r="D2732">
        <v>4</v>
      </c>
      <c r="E2732" t="s">
        <v>2723</v>
      </c>
    </row>
    <row r="2733" spans="1:5">
      <c r="A2733">
        <f>HYPERLINK("http://www.twitter.com/nycoem/status/534429190620467202", "534429190620467202")</f>
        <v>0</v>
      </c>
      <c r="B2733" s="2">
        <v>41960.8150694444</v>
      </c>
      <c r="C2733">
        <v>1</v>
      </c>
      <c r="D2733">
        <v>3</v>
      </c>
      <c r="E2733" t="s">
        <v>2724</v>
      </c>
    </row>
    <row r="2734" spans="1:5">
      <c r="A2734">
        <f>HYPERLINK("http://www.twitter.com/nycoem/status/534393174899580928", "534393174899580928")</f>
        <v>0</v>
      </c>
      <c r="B2734" s="2">
        <v>41960.7156944444</v>
      </c>
      <c r="C2734">
        <v>0</v>
      </c>
      <c r="D2734">
        <v>0</v>
      </c>
      <c r="E2734" t="s">
        <v>2725</v>
      </c>
    </row>
    <row r="2735" spans="1:5">
      <c r="A2735">
        <f>HYPERLINK("http://www.twitter.com/nycoem/status/534339591722250240", "534339591722250240")</f>
        <v>0</v>
      </c>
      <c r="B2735" s="2">
        <v>41960.5678240741</v>
      </c>
      <c r="C2735">
        <v>0</v>
      </c>
      <c r="D2735">
        <v>4</v>
      </c>
      <c r="E2735" t="s">
        <v>2726</v>
      </c>
    </row>
    <row r="2736" spans="1:5">
      <c r="A2736">
        <f>HYPERLINK("http://www.twitter.com/nycoem/status/533349943617286146", "533349943617286146")</f>
        <v>0</v>
      </c>
      <c r="B2736" s="2">
        <v>41957.8369212963</v>
      </c>
      <c r="C2736">
        <v>1</v>
      </c>
      <c r="D2736">
        <v>5</v>
      </c>
      <c r="E2736" t="s">
        <v>2727</v>
      </c>
    </row>
    <row r="2737" spans="1:5">
      <c r="A2737">
        <f>HYPERLINK("http://www.twitter.com/nycoem/status/533303302445072384", "533303302445072384")</f>
        <v>0</v>
      </c>
      <c r="B2737" s="2">
        <v>41957.7082175926</v>
      </c>
      <c r="C2737">
        <v>3</v>
      </c>
      <c r="D2737">
        <v>6</v>
      </c>
      <c r="E2737" t="s">
        <v>2728</v>
      </c>
    </row>
    <row r="2738" spans="1:5">
      <c r="A2738">
        <f>HYPERLINK("http://www.twitter.com/nycoem/status/533062634174955521", "533062634174955521")</f>
        <v>0</v>
      </c>
      <c r="B2738" s="2">
        <v>41957.0440972222</v>
      </c>
      <c r="C2738">
        <v>0</v>
      </c>
      <c r="D2738">
        <v>3</v>
      </c>
      <c r="E2738" t="s">
        <v>2729</v>
      </c>
    </row>
    <row r="2739" spans="1:5">
      <c r="A2739">
        <f>HYPERLINK("http://www.twitter.com/nycoem/status/532986845999951872", "532986845999951872")</f>
        <v>0</v>
      </c>
      <c r="B2739" s="2">
        <v>41956.8349652778</v>
      </c>
      <c r="C2739">
        <v>0</v>
      </c>
      <c r="D2739">
        <v>0</v>
      </c>
      <c r="E2739" t="s">
        <v>2730</v>
      </c>
    </row>
    <row r="2740" spans="1:5">
      <c r="A2740">
        <f>HYPERLINK("http://www.twitter.com/nycoem/status/532949888657817600", "532949888657817600")</f>
        <v>0</v>
      </c>
      <c r="B2740" s="2">
        <v>41956.732974537</v>
      </c>
      <c r="C2740">
        <v>2</v>
      </c>
      <c r="D2740">
        <v>3</v>
      </c>
      <c r="E2740" t="s">
        <v>2731</v>
      </c>
    </row>
    <row r="2741" spans="1:5">
      <c r="A2741">
        <f>HYPERLINK("http://www.twitter.com/nycoem/status/532943623059668992", "532943623059668992")</f>
        <v>0</v>
      </c>
      <c r="B2741" s="2">
        <v>41956.7156944444</v>
      </c>
      <c r="C2741">
        <v>2</v>
      </c>
      <c r="D2741">
        <v>14</v>
      </c>
      <c r="E2741" t="s">
        <v>2732</v>
      </c>
    </row>
    <row r="2742" spans="1:5">
      <c r="A2742">
        <f>HYPERLINK("http://www.twitter.com/nycoem/status/532942297324081152", "532942297324081152")</f>
        <v>0</v>
      </c>
      <c r="B2742" s="2">
        <v>41956.712025463</v>
      </c>
      <c r="C2742">
        <v>1</v>
      </c>
      <c r="D2742">
        <v>5</v>
      </c>
      <c r="E2742" t="s">
        <v>2733</v>
      </c>
    </row>
    <row r="2743" spans="1:5">
      <c r="A2743">
        <f>HYPERLINK("http://www.twitter.com/nycoem/status/532591243105406976", "532591243105406976")</f>
        <v>0</v>
      </c>
      <c r="B2743" s="2">
        <v>41955.7433101852</v>
      </c>
      <c r="C2743">
        <v>3</v>
      </c>
      <c r="D2743">
        <v>9</v>
      </c>
      <c r="E2743" t="s">
        <v>2734</v>
      </c>
    </row>
    <row r="2744" spans="1:5">
      <c r="A2744">
        <f>HYPERLINK("http://www.twitter.com/nycoem/status/532558974898679809", "532558974898679809")</f>
        <v>0</v>
      </c>
      <c r="B2744" s="2">
        <v>41955.6542592593</v>
      </c>
      <c r="C2744">
        <v>0</v>
      </c>
      <c r="D2744">
        <v>0</v>
      </c>
      <c r="E2744" t="s">
        <v>2735</v>
      </c>
    </row>
    <row r="2745" spans="1:5">
      <c r="A2745">
        <f>HYPERLINK("http://www.twitter.com/nycoem/status/532551028366127107", "532551028366127107")</f>
        <v>0</v>
      </c>
      <c r="B2745" s="2">
        <v>41955.632337963</v>
      </c>
      <c r="C2745">
        <v>0</v>
      </c>
      <c r="D2745">
        <v>0</v>
      </c>
      <c r="E2745" t="s">
        <v>2736</v>
      </c>
    </row>
    <row r="2746" spans="1:5">
      <c r="A2746">
        <f>HYPERLINK("http://www.twitter.com/nycoem/status/532542351760433153", "532542351760433153")</f>
        <v>0</v>
      </c>
      <c r="B2746" s="2">
        <v>41955.6083912037</v>
      </c>
      <c r="C2746">
        <v>0</v>
      </c>
      <c r="D2746">
        <v>4</v>
      </c>
      <c r="E2746" t="s">
        <v>2737</v>
      </c>
    </row>
    <row r="2747" spans="1:5">
      <c r="A2747">
        <f>HYPERLINK("http://www.twitter.com/nycoem/status/532537816925110272", "532537816925110272")</f>
        <v>0</v>
      </c>
      <c r="B2747" s="2">
        <v>41955.5958796296</v>
      </c>
      <c r="C2747">
        <v>5</v>
      </c>
      <c r="D2747">
        <v>5</v>
      </c>
      <c r="E2747" t="s">
        <v>2738</v>
      </c>
    </row>
    <row r="2748" spans="1:5">
      <c r="A2748">
        <f>HYPERLINK("http://www.twitter.com/nycoem/status/532210127798288384", "532210127798288384")</f>
        <v>0</v>
      </c>
      <c r="B2748" s="2">
        <v>41954.6916319444</v>
      </c>
      <c r="C2748">
        <v>2</v>
      </c>
      <c r="D2748">
        <v>9</v>
      </c>
      <c r="E2748" t="s">
        <v>2739</v>
      </c>
    </row>
    <row r="2749" spans="1:5">
      <c r="A2749">
        <f>HYPERLINK("http://www.twitter.com/nycoem/status/532210095527313409", "532210095527313409")</f>
        <v>0</v>
      </c>
      <c r="B2749" s="2">
        <v>41954.6915393519</v>
      </c>
      <c r="C2749">
        <v>8</v>
      </c>
      <c r="D2749">
        <v>5</v>
      </c>
      <c r="E2749" t="s">
        <v>2740</v>
      </c>
    </row>
    <row r="2750" spans="1:5">
      <c r="A2750">
        <f>HYPERLINK("http://www.twitter.com/nycoem/status/532206325468762112", "532206325468762112")</f>
        <v>0</v>
      </c>
      <c r="B2750" s="2">
        <v>41954.6811342593</v>
      </c>
      <c r="C2750">
        <v>0</v>
      </c>
      <c r="D2750">
        <v>3</v>
      </c>
      <c r="E2750" t="s">
        <v>2741</v>
      </c>
    </row>
    <row r="2751" spans="1:5">
      <c r="A2751">
        <f>HYPERLINK("http://www.twitter.com/nycoem/status/532205329057349632", "532205329057349632")</f>
        <v>0</v>
      </c>
      <c r="B2751" s="2">
        <v>41954.6783912037</v>
      </c>
      <c r="C2751">
        <v>0</v>
      </c>
      <c r="D2751">
        <v>0</v>
      </c>
      <c r="E2751" t="s">
        <v>2742</v>
      </c>
    </row>
    <row r="2752" spans="1:5">
      <c r="A2752">
        <f>HYPERLINK("http://www.twitter.com/nycoem/status/531901711418662912", "531901711418662912")</f>
        <v>0</v>
      </c>
      <c r="B2752" s="2">
        <v>41953.8405555556</v>
      </c>
      <c r="C2752">
        <v>2</v>
      </c>
      <c r="D2752">
        <v>1</v>
      </c>
      <c r="E2752" t="s">
        <v>2743</v>
      </c>
    </row>
    <row r="2753" spans="1:5">
      <c r="A2753">
        <f>HYPERLINK("http://www.twitter.com/nycoem/status/531807258775392256", "531807258775392256")</f>
        <v>0</v>
      </c>
      <c r="B2753" s="2">
        <v>41953.5799189815</v>
      </c>
      <c r="C2753">
        <v>0</v>
      </c>
      <c r="D2753">
        <v>0</v>
      </c>
      <c r="E2753" t="s">
        <v>2744</v>
      </c>
    </row>
    <row r="2754" spans="1:5">
      <c r="A2754">
        <f>HYPERLINK("http://www.twitter.com/nycoem/status/531123476133056512", "531123476133056512")</f>
        <v>0</v>
      </c>
      <c r="B2754" s="2">
        <v>41951.6930439815</v>
      </c>
      <c r="C2754">
        <v>2</v>
      </c>
      <c r="D2754">
        <v>6</v>
      </c>
      <c r="E2754" t="s">
        <v>2745</v>
      </c>
    </row>
    <row r="2755" spans="1:5">
      <c r="A2755">
        <f>HYPERLINK("http://www.twitter.com/nycoem/status/530780540300197888", "530780540300197888")</f>
        <v>0</v>
      </c>
      <c r="B2755" s="2">
        <v>41950.746712963</v>
      </c>
      <c r="C2755">
        <v>2</v>
      </c>
      <c r="D2755">
        <v>5</v>
      </c>
      <c r="E2755" t="s">
        <v>2746</v>
      </c>
    </row>
    <row r="2756" spans="1:5">
      <c r="A2756">
        <f>HYPERLINK("http://www.twitter.com/nycoem/status/530748805709586433", "530748805709586433")</f>
        <v>0</v>
      </c>
      <c r="B2756" s="2">
        <v>41950.6591435185</v>
      </c>
      <c r="C2756">
        <v>0</v>
      </c>
      <c r="D2756">
        <v>7</v>
      </c>
      <c r="E2756" t="s">
        <v>2747</v>
      </c>
    </row>
    <row r="2757" spans="1:5">
      <c r="A2757">
        <f>HYPERLINK("http://www.twitter.com/nycoem/status/530719616700809216", "530719616700809216")</f>
        <v>0</v>
      </c>
      <c r="B2757" s="2">
        <v>41950.578599537</v>
      </c>
      <c r="C2757">
        <v>4</v>
      </c>
      <c r="D2757">
        <v>17</v>
      </c>
      <c r="E2757" t="s">
        <v>2748</v>
      </c>
    </row>
    <row r="2758" spans="1:5">
      <c r="A2758">
        <f>HYPERLINK("http://www.twitter.com/nycoem/status/530447104263872513", "530447104263872513")</f>
        <v>0</v>
      </c>
      <c r="B2758" s="2">
        <v>41949.8266087963</v>
      </c>
      <c r="C2758">
        <v>2</v>
      </c>
      <c r="D2758">
        <v>6</v>
      </c>
      <c r="E2758" t="s">
        <v>2749</v>
      </c>
    </row>
    <row r="2759" spans="1:5">
      <c r="A2759">
        <f>HYPERLINK("http://www.twitter.com/nycoem/status/530415776453652481", "530415776453652481")</f>
        <v>0</v>
      </c>
      <c r="B2759" s="2">
        <v>41949.740162037</v>
      </c>
      <c r="C2759">
        <v>1</v>
      </c>
      <c r="D2759">
        <v>2</v>
      </c>
      <c r="E2759" t="s">
        <v>2750</v>
      </c>
    </row>
    <row r="2760" spans="1:5">
      <c r="A2760">
        <f>HYPERLINK("http://www.twitter.com/nycoem/status/530401862823198720", "530401862823198720")</f>
        <v>0</v>
      </c>
      <c r="B2760" s="2">
        <v>41949.7017708333</v>
      </c>
      <c r="C2760">
        <v>1</v>
      </c>
      <c r="D2760">
        <v>7</v>
      </c>
      <c r="E2760" t="s">
        <v>2751</v>
      </c>
    </row>
    <row r="2761" spans="1:5">
      <c r="A2761">
        <f>HYPERLINK("http://www.twitter.com/nycoem/status/530135030472146944", "530135030472146944")</f>
        <v>0</v>
      </c>
      <c r="B2761" s="2">
        <v>41948.9654513889</v>
      </c>
      <c r="C2761">
        <v>0</v>
      </c>
      <c r="D2761">
        <v>1</v>
      </c>
      <c r="E2761" t="s">
        <v>2752</v>
      </c>
    </row>
    <row r="2762" spans="1:5">
      <c r="A2762">
        <f>HYPERLINK("http://www.twitter.com/nycoem/status/530039473086947328", "530039473086947328")</f>
        <v>0</v>
      </c>
      <c r="B2762" s="2">
        <v>41948.7017592593</v>
      </c>
      <c r="C2762">
        <v>0</v>
      </c>
      <c r="D2762">
        <v>0</v>
      </c>
      <c r="E2762" t="s">
        <v>2753</v>
      </c>
    </row>
    <row r="2763" spans="1:5">
      <c r="A2763">
        <f>HYPERLINK("http://www.twitter.com/nycoem/status/530030706077220864", "530030706077220864")</f>
        <v>0</v>
      </c>
      <c r="B2763" s="2">
        <v>41948.6775694444</v>
      </c>
      <c r="C2763">
        <v>0</v>
      </c>
      <c r="D2763">
        <v>3</v>
      </c>
      <c r="E2763" t="s">
        <v>2754</v>
      </c>
    </row>
    <row r="2764" spans="1:5">
      <c r="A2764">
        <f>HYPERLINK("http://www.twitter.com/nycoem/status/530014273049993216", "530014273049993216")</f>
        <v>0</v>
      </c>
      <c r="B2764" s="2">
        <v>41948.6322222222</v>
      </c>
      <c r="C2764">
        <v>1</v>
      </c>
      <c r="D2764">
        <v>0</v>
      </c>
      <c r="E2764" t="s">
        <v>2755</v>
      </c>
    </row>
    <row r="2765" spans="1:5">
      <c r="A2765">
        <f>HYPERLINK("http://www.twitter.com/nycoem/status/530001557837074432", "530001557837074432")</f>
        <v>0</v>
      </c>
      <c r="B2765" s="2">
        <v>41948.5971412037</v>
      </c>
      <c r="C2765">
        <v>0</v>
      </c>
      <c r="D2765">
        <v>0</v>
      </c>
      <c r="E2765" t="s">
        <v>2756</v>
      </c>
    </row>
    <row r="2766" spans="1:5">
      <c r="A2766">
        <f>HYPERLINK("http://www.twitter.com/nycoem/status/529691573857320961", "529691573857320961")</f>
        <v>0</v>
      </c>
      <c r="B2766" s="2">
        <v>41947.7417476852</v>
      </c>
      <c r="C2766">
        <v>0</v>
      </c>
      <c r="D2766">
        <v>0</v>
      </c>
      <c r="E2766" t="s">
        <v>2757</v>
      </c>
    </row>
    <row r="2767" spans="1:5">
      <c r="A2767">
        <f>HYPERLINK("http://www.twitter.com/nycoem/status/529680829623332864", "529680829623332864")</f>
        <v>0</v>
      </c>
      <c r="B2767" s="2">
        <v>41947.7120949074</v>
      </c>
      <c r="C2767">
        <v>1</v>
      </c>
      <c r="D2767">
        <v>4</v>
      </c>
      <c r="E2767" t="s">
        <v>2758</v>
      </c>
    </row>
    <row r="2768" spans="1:5">
      <c r="A2768">
        <f>HYPERLINK("http://www.twitter.com/nycoem/status/529680635045363712", "529680635045363712")</f>
        <v>0</v>
      </c>
      <c r="B2768" s="2">
        <v>41947.7115625</v>
      </c>
      <c r="C2768">
        <v>3</v>
      </c>
      <c r="D2768">
        <v>10</v>
      </c>
      <c r="E2768" t="s">
        <v>2759</v>
      </c>
    </row>
    <row r="2769" spans="1:5">
      <c r="A2769">
        <f>HYPERLINK("http://www.twitter.com/nycoem/status/529382877214281728", "529382877214281728")</f>
        <v>0</v>
      </c>
      <c r="B2769" s="2">
        <v>41946.8899074074</v>
      </c>
      <c r="C2769">
        <v>0</v>
      </c>
      <c r="D2769">
        <v>29</v>
      </c>
      <c r="E2769" t="s">
        <v>2760</v>
      </c>
    </row>
    <row r="2770" spans="1:5">
      <c r="A2770">
        <f>HYPERLINK("http://www.twitter.com/nycoem/status/529359953589698560", "529359953589698560")</f>
        <v>0</v>
      </c>
      <c r="B2770" s="2">
        <v>41946.8266435185</v>
      </c>
      <c r="C2770">
        <v>2</v>
      </c>
      <c r="D2770">
        <v>4</v>
      </c>
      <c r="E2770" t="s">
        <v>2761</v>
      </c>
    </row>
    <row r="2771" spans="1:5">
      <c r="A2771">
        <f>HYPERLINK("http://www.twitter.com/nycoem/status/529317270947119104", "529317270947119104")</f>
        <v>0</v>
      </c>
      <c r="B2771" s="2">
        <v>41946.7088657407</v>
      </c>
      <c r="C2771">
        <v>1</v>
      </c>
      <c r="D2771">
        <v>3</v>
      </c>
      <c r="E2771" t="s">
        <v>2762</v>
      </c>
    </row>
    <row r="2772" spans="1:5">
      <c r="A2772">
        <f>HYPERLINK("http://www.twitter.com/nycoem/status/529273122374320128", "529273122374320128")</f>
        <v>0</v>
      </c>
      <c r="B2772" s="2">
        <v>41946.587037037</v>
      </c>
      <c r="C2772">
        <v>0</v>
      </c>
      <c r="D2772">
        <v>4</v>
      </c>
      <c r="E2772" t="s">
        <v>2763</v>
      </c>
    </row>
    <row r="2773" spans="1:5">
      <c r="A2773">
        <f>HYPERLINK("http://www.twitter.com/nycoem/status/528539689335394304", "528539689335394304")</f>
        <v>0</v>
      </c>
      <c r="B2773" s="2">
        <v>41944.5631481481</v>
      </c>
      <c r="C2773">
        <v>10</v>
      </c>
      <c r="D2773">
        <v>19</v>
      </c>
      <c r="E2773" t="s">
        <v>2764</v>
      </c>
    </row>
    <row r="2774" spans="1:5">
      <c r="A2774">
        <f>HYPERLINK("http://www.twitter.com/nycoem/status/528221686534242306", "528221686534242306")</f>
        <v>0</v>
      </c>
      <c r="B2774" s="2">
        <v>41943.685625</v>
      </c>
      <c r="C2774">
        <v>0</v>
      </c>
      <c r="D2774">
        <v>1</v>
      </c>
      <c r="E2774" t="s">
        <v>2765</v>
      </c>
    </row>
    <row r="2775" spans="1:5">
      <c r="A2775">
        <f>HYPERLINK("http://www.twitter.com/nycoem/status/528210542830555137", "528210542830555137")</f>
        <v>0</v>
      </c>
      <c r="B2775" s="2">
        <v>41943.6548726852</v>
      </c>
      <c r="C2775">
        <v>0</v>
      </c>
      <c r="D2775">
        <v>2</v>
      </c>
      <c r="E2775" t="s">
        <v>2766</v>
      </c>
    </row>
    <row r="2776" spans="1:5">
      <c r="A2776">
        <f>HYPERLINK("http://www.twitter.com/nycoem/status/528189185262649344", "528189185262649344")</f>
        <v>0</v>
      </c>
      <c r="B2776" s="2">
        <v>41943.5959375</v>
      </c>
      <c r="C2776">
        <v>1</v>
      </c>
      <c r="D2776">
        <v>2</v>
      </c>
      <c r="E2776" t="s">
        <v>2767</v>
      </c>
    </row>
    <row r="2777" spans="1:5">
      <c r="A2777">
        <f>HYPERLINK("http://www.twitter.com/nycoem/status/527978833862221826", "527978833862221826")</f>
        <v>0</v>
      </c>
      <c r="B2777" s="2">
        <v>41943.0154861111</v>
      </c>
      <c r="C2777">
        <v>1</v>
      </c>
      <c r="D2777">
        <v>2</v>
      </c>
      <c r="E2777" t="s">
        <v>2768</v>
      </c>
    </row>
    <row r="2778" spans="1:5">
      <c r="A2778">
        <f>HYPERLINK("http://www.twitter.com/nycoem/status/527899222444896256", "527899222444896256")</f>
        <v>0</v>
      </c>
      <c r="B2778" s="2">
        <v>41942.7957986111</v>
      </c>
      <c r="C2778">
        <v>1</v>
      </c>
      <c r="D2778">
        <v>1</v>
      </c>
      <c r="E2778" t="s">
        <v>2769</v>
      </c>
    </row>
    <row r="2779" spans="1:5">
      <c r="A2779">
        <f>HYPERLINK("http://www.twitter.com/nycoem/status/527895382794469376", "527895382794469376")</f>
        <v>0</v>
      </c>
      <c r="B2779" s="2">
        <v>41942.7851967593</v>
      </c>
      <c r="C2779">
        <v>2</v>
      </c>
      <c r="D2779">
        <v>5</v>
      </c>
      <c r="E2779" t="s">
        <v>2770</v>
      </c>
    </row>
    <row r="2780" spans="1:5">
      <c r="A2780">
        <f>HYPERLINK("http://www.twitter.com/nycoem/status/527876452851916800", "527876452851916800")</f>
        <v>0</v>
      </c>
      <c r="B2780" s="2">
        <v>41942.732962963</v>
      </c>
      <c r="C2780">
        <v>2</v>
      </c>
      <c r="D2780">
        <v>4</v>
      </c>
      <c r="E2780" t="s">
        <v>2771</v>
      </c>
    </row>
    <row r="2781" spans="1:5">
      <c r="A2781">
        <f>HYPERLINK("http://www.twitter.com/nycoem/status/527848888691335168", "527848888691335168")</f>
        <v>0</v>
      </c>
      <c r="B2781" s="2">
        <v>41942.6568981481</v>
      </c>
      <c r="C2781">
        <v>0</v>
      </c>
      <c r="D2781">
        <v>4</v>
      </c>
      <c r="E2781" t="s">
        <v>2772</v>
      </c>
    </row>
    <row r="2782" spans="1:5">
      <c r="A2782">
        <f>HYPERLINK("http://www.twitter.com/nycoem/status/527827944899899392", "527827944899899392")</f>
        <v>0</v>
      </c>
      <c r="B2782" s="2">
        <v>41942.5991087963</v>
      </c>
      <c r="C2782">
        <v>1</v>
      </c>
      <c r="D2782">
        <v>3</v>
      </c>
      <c r="E2782" t="s">
        <v>2773</v>
      </c>
    </row>
    <row r="2783" spans="1:5">
      <c r="A2783">
        <f>HYPERLINK("http://www.twitter.com/nycoem/status/527610307527856128", "527610307527856128")</f>
        <v>0</v>
      </c>
      <c r="B2783" s="2">
        <v>41941.9985416667</v>
      </c>
      <c r="C2783">
        <v>3</v>
      </c>
      <c r="D2783">
        <v>8</v>
      </c>
      <c r="E2783" t="s">
        <v>2774</v>
      </c>
    </row>
    <row r="2784" spans="1:5">
      <c r="A2784">
        <f>HYPERLINK("http://www.twitter.com/nycoem/status/527551806969487360", "527551806969487360")</f>
        <v>0</v>
      </c>
      <c r="B2784" s="2">
        <v>41941.8371064815</v>
      </c>
      <c r="C2784">
        <v>7</v>
      </c>
      <c r="D2784">
        <v>4</v>
      </c>
      <c r="E2784" t="s">
        <v>2775</v>
      </c>
    </row>
    <row r="2785" spans="1:5">
      <c r="A2785">
        <f>HYPERLINK("http://www.twitter.com/nycoem/status/527543506202812416", "527543506202812416")</f>
        <v>0</v>
      </c>
      <c r="B2785" s="2">
        <v>41941.8142013889</v>
      </c>
      <c r="C2785">
        <v>0</v>
      </c>
      <c r="D2785">
        <v>9</v>
      </c>
      <c r="E2785" t="s">
        <v>2776</v>
      </c>
    </row>
    <row r="2786" spans="1:5">
      <c r="A2786">
        <f>HYPERLINK("http://www.twitter.com/nycoem/status/527532886543835136", "527532886543835136")</f>
        <v>0</v>
      </c>
      <c r="B2786" s="2">
        <v>41941.7848958333</v>
      </c>
      <c r="C2786">
        <v>3</v>
      </c>
      <c r="D2786">
        <v>4</v>
      </c>
      <c r="E2786" t="s">
        <v>2777</v>
      </c>
    </row>
    <row r="2787" spans="1:5">
      <c r="A2787">
        <f>HYPERLINK("http://www.twitter.com/nycoem/status/527182110453669888", "527182110453669888")</f>
        <v>0</v>
      </c>
      <c r="B2787" s="2">
        <v>41940.8169444444</v>
      </c>
      <c r="C2787">
        <v>1</v>
      </c>
      <c r="D2787">
        <v>0</v>
      </c>
      <c r="E2787" t="s">
        <v>2778</v>
      </c>
    </row>
    <row r="2788" spans="1:5">
      <c r="A2788">
        <f>HYPERLINK("http://www.twitter.com/nycoem/status/527130252641046529", "527130252641046529")</f>
        <v>0</v>
      </c>
      <c r="B2788" s="2">
        <v>41940.6738425926</v>
      </c>
      <c r="C2788">
        <v>0</v>
      </c>
      <c r="D2788">
        <v>0</v>
      </c>
      <c r="E2788" t="s">
        <v>2779</v>
      </c>
    </row>
    <row r="2789" spans="1:5">
      <c r="A2789">
        <f>HYPERLINK("http://www.twitter.com/nycoem/status/527114384364306432", "527114384364306432")</f>
        <v>0</v>
      </c>
      <c r="B2789" s="2">
        <v>41940.6300578704</v>
      </c>
      <c r="C2789">
        <v>0</v>
      </c>
      <c r="D2789">
        <v>1</v>
      </c>
      <c r="E2789" t="s">
        <v>2780</v>
      </c>
    </row>
    <row r="2790" spans="1:5">
      <c r="A2790">
        <f>HYPERLINK("http://www.twitter.com/nycoem/status/526898441558179841", "526898441558179841")</f>
        <v>0</v>
      </c>
      <c r="B2790" s="2">
        <v>41940.0341666667</v>
      </c>
      <c r="C2790">
        <v>2</v>
      </c>
      <c r="D2790">
        <v>6</v>
      </c>
      <c r="E2790" t="s">
        <v>2781</v>
      </c>
    </row>
    <row r="2791" spans="1:5">
      <c r="A2791">
        <f>HYPERLINK("http://www.twitter.com/nycoem/status/526813242757492736", "526813242757492736")</f>
        <v>0</v>
      </c>
      <c r="B2791" s="2">
        <v>41939.7990625</v>
      </c>
      <c r="C2791">
        <v>1</v>
      </c>
      <c r="D2791">
        <v>3</v>
      </c>
      <c r="E2791" t="s">
        <v>2782</v>
      </c>
    </row>
    <row r="2792" spans="1:5">
      <c r="A2792">
        <f>HYPERLINK("http://www.twitter.com/nycoem/status/526783555637354497", "526783555637354497")</f>
        <v>0</v>
      </c>
      <c r="B2792" s="2">
        <v>41939.7171412037</v>
      </c>
      <c r="C2792">
        <v>2</v>
      </c>
      <c r="D2792">
        <v>2</v>
      </c>
      <c r="E2792" t="s">
        <v>2783</v>
      </c>
    </row>
    <row r="2793" spans="1:5">
      <c r="A2793">
        <f>HYPERLINK("http://www.twitter.com/nycoem/status/526781511748825088", "526781511748825088")</f>
        <v>0</v>
      </c>
      <c r="B2793" s="2">
        <v>41939.7115046296</v>
      </c>
      <c r="C2793">
        <v>0</v>
      </c>
      <c r="D2793">
        <v>3</v>
      </c>
      <c r="E2793" t="s">
        <v>2784</v>
      </c>
    </row>
    <row r="2794" spans="1:5">
      <c r="A2794">
        <f>HYPERLINK("http://www.twitter.com/nycoem/status/526762812597886976", "526762812597886976")</f>
        <v>0</v>
      </c>
      <c r="B2794" s="2">
        <v>41939.6598958333</v>
      </c>
      <c r="C2794">
        <v>3</v>
      </c>
      <c r="D2794">
        <v>7</v>
      </c>
      <c r="E2794" t="s">
        <v>2785</v>
      </c>
    </row>
    <row r="2795" spans="1:5">
      <c r="A2795">
        <f>HYPERLINK("http://www.twitter.com/nycoem/status/526752528470646784", "526752528470646784")</f>
        <v>0</v>
      </c>
      <c r="B2795" s="2">
        <v>41939.6315277778</v>
      </c>
      <c r="C2795">
        <v>2</v>
      </c>
      <c r="D2795">
        <v>0</v>
      </c>
      <c r="E2795" t="s">
        <v>2786</v>
      </c>
    </row>
    <row r="2796" spans="1:5">
      <c r="A2796">
        <f>HYPERLINK("http://www.twitter.com/nycoem/status/526747525152522240", "526747525152522240")</f>
        <v>0</v>
      </c>
      <c r="B2796" s="2">
        <v>41939.6177199074</v>
      </c>
      <c r="C2796">
        <v>2</v>
      </c>
      <c r="D2796">
        <v>0</v>
      </c>
      <c r="E2796" t="s">
        <v>2787</v>
      </c>
    </row>
    <row r="2797" spans="1:5">
      <c r="A2797">
        <f>HYPERLINK("http://www.twitter.com/nycoem/status/526747234957025280", "526747234957025280")</f>
        <v>0</v>
      </c>
      <c r="B2797" s="2">
        <v>41939.6169097222</v>
      </c>
      <c r="C2797">
        <v>0</v>
      </c>
      <c r="D2797">
        <v>1</v>
      </c>
      <c r="E2797" t="s">
        <v>2788</v>
      </c>
    </row>
    <row r="2798" spans="1:5">
      <c r="A2798">
        <f>HYPERLINK("http://www.twitter.com/nycoem/status/526744513466085376", "526744513466085376")</f>
        <v>0</v>
      </c>
      <c r="B2798" s="2">
        <v>41939.6094097222</v>
      </c>
      <c r="C2798">
        <v>1</v>
      </c>
      <c r="D2798">
        <v>3</v>
      </c>
      <c r="E2798" t="s">
        <v>2789</v>
      </c>
    </row>
    <row r="2799" spans="1:5">
      <c r="A2799">
        <f>HYPERLINK("http://www.twitter.com/nycoem/status/526744456813608960", "526744456813608960")</f>
        <v>0</v>
      </c>
      <c r="B2799" s="2">
        <v>41939.6092476852</v>
      </c>
      <c r="C2799">
        <v>0</v>
      </c>
      <c r="D2799">
        <v>1</v>
      </c>
      <c r="E2799" t="s">
        <v>2790</v>
      </c>
    </row>
    <row r="2800" spans="1:5">
      <c r="A2800">
        <f>HYPERLINK("http://www.twitter.com/nycoem/status/526744377142804480", "526744377142804480")</f>
        <v>0</v>
      </c>
      <c r="B2800" s="2">
        <v>41939.6090277778</v>
      </c>
      <c r="C2800">
        <v>0</v>
      </c>
      <c r="D2800">
        <v>2</v>
      </c>
      <c r="E2800" t="s">
        <v>2791</v>
      </c>
    </row>
    <row r="2801" spans="1:5">
      <c r="A2801">
        <f>HYPERLINK("http://www.twitter.com/nycoem/status/526744318221234176", "526744318221234176")</f>
        <v>0</v>
      </c>
      <c r="B2801" s="2">
        <v>41939.6088657407</v>
      </c>
      <c r="C2801">
        <v>0</v>
      </c>
      <c r="D2801">
        <v>0</v>
      </c>
      <c r="E2801" t="s">
        <v>2792</v>
      </c>
    </row>
    <row r="2802" spans="1:5">
      <c r="A2802">
        <f>HYPERLINK("http://www.twitter.com/nycoem/status/526744280803852288", "526744280803852288")</f>
        <v>0</v>
      </c>
      <c r="B2802" s="2">
        <v>41939.6087615741</v>
      </c>
      <c r="C2802">
        <v>0</v>
      </c>
      <c r="D2802">
        <v>0</v>
      </c>
      <c r="E2802" t="s">
        <v>2793</v>
      </c>
    </row>
    <row r="2803" spans="1:5">
      <c r="A2803">
        <f>HYPERLINK("http://www.twitter.com/nycoem/status/526701219709210625", "526701219709210625")</f>
        <v>0</v>
      </c>
      <c r="B2803" s="2">
        <v>41939.4899421296</v>
      </c>
      <c r="C2803">
        <v>0</v>
      </c>
      <c r="D2803">
        <v>12</v>
      </c>
      <c r="E2803" t="s">
        <v>2794</v>
      </c>
    </row>
    <row r="2804" spans="1:5">
      <c r="A2804">
        <f>HYPERLINK("http://www.twitter.com/nycoem/status/526701114499284992", "526701114499284992")</f>
        <v>0</v>
      </c>
      <c r="B2804" s="2">
        <v>41939.4896412037</v>
      </c>
      <c r="C2804">
        <v>2</v>
      </c>
      <c r="D2804">
        <v>3</v>
      </c>
      <c r="E2804" t="s">
        <v>2795</v>
      </c>
    </row>
    <row r="2805" spans="1:5">
      <c r="A2805">
        <f>HYPERLINK("http://www.twitter.com/nycoem/status/526052981603856385", "526052981603856385")</f>
        <v>0</v>
      </c>
      <c r="B2805" s="2">
        <v>41937.7011458333</v>
      </c>
      <c r="C2805">
        <v>0</v>
      </c>
      <c r="D2805">
        <v>4</v>
      </c>
      <c r="E2805" t="s">
        <v>2796</v>
      </c>
    </row>
    <row r="2806" spans="1:5">
      <c r="A2806">
        <f>HYPERLINK("http://www.twitter.com/nycoem/status/525763577236709376", "525763577236709376")</f>
        <v>0</v>
      </c>
      <c r="B2806" s="2">
        <v>41936.9025347222</v>
      </c>
      <c r="C2806">
        <v>4</v>
      </c>
      <c r="D2806">
        <v>13</v>
      </c>
      <c r="E2806" t="s">
        <v>2797</v>
      </c>
    </row>
    <row r="2807" spans="1:5">
      <c r="A2807">
        <f>HYPERLINK("http://www.twitter.com/nycoem/status/525763516557688833", "525763516557688833")</f>
        <v>0</v>
      </c>
      <c r="B2807" s="2">
        <v>41936.9023726852</v>
      </c>
      <c r="C2807">
        <v>0</v>
      </c>
      <c r="D2807">
        <v>3</v>
      </c>
      <c r="E2807" t="s">
        <v>2798</v>
      </c>
    </row>
    <row r="2808" spans="1:5">
      <c r="A2808">
        <f>HYPERLINK("http://www.twitter.com/nycoem/status/525760477184684032", "525760477184684032")</f>
        <v>0</v>
      </c>
      <c r="B2808" s="2">
        <v>41936.8939814815</v>
      </c>
      <c r="C2808">
        <v>0</v>
      </c>
      <c r="D2808">
        <v>15</v>
      </c>
      <c r="E2808" t="s">
        <v>2799</v>
      </c>
    </row>
    <row r="2809" spans="1:5">
      <c r="A2809">
        <f>HYPERLINK("http://www.twitter.com/nycoem/status/525746286168121345", "525746286168121345")</f>
        <v>0</v>
      </c>
      <c r="B2809" s="2">
        <v>41936.8548263889</v>
      </c>
      <c r="C2809">
        <v>1</v>
      </c>
      <c r="D2809">
        <v>2</v>
      </c>
      <c r="E2809" t="s">
        <v>2800</v>
      </c>
    </row>
    <row r="2810" spans="1:5">
      <c r="A2810">
        <f>HYPERLINK("http://www.twitter.com/nycoem/status/525745101772169216", "525745101772169216")</f>
        <v>0</v>
      </c>
      <c r="B2810" s="2">
        <v>41936.8515509259</v>
      </c>
      <c r="C2810">
        <v>1</v>
      </c>
      <c r="D2810">
        <v>7</v>
      </c>
      <c r="E2810" t="s">
        <v>2801</v>
      </c>
    </row>
    <row r="2811" spans="1:5">
      <c r="A2811">
        <f>HYPERLINK("http://www.twitter.com/nycoem/status/525705485786566656", "525705485786566656")</f>
        <v>0</v>
      </c>
      <c r="B2811" s="2">
        <v>41936.7422337963</v>
      </c>
      <c r="C2811">
        <v>0</v>
      </c>
      <c r="D2811">
        <v>7</v>
      </c>
      <c r="E2811" t="s">
        <v>2802</v>
      </c>
    </row>
    <row r="2812" spans="1:5">
      <c r="A2812">
        <f>HYPERLINK("http://www.twitter.com/nycoem/status/525698627642335232", "525698627642335232")</f>
        <v>0</v>
      </c>
      <c r="B2812" s="2">
        <v>41936.7233101852</v>
      </c>
      <c r="C2812">
        <v>0</v>
      </c>
      <c r="D2812">
        <v>12</v>
      </c>
      <c r="E2812" t="s">
        <v>2803</v>
      </c>
    </row>
    <row r="2813" spans="1:5">
      <c r="A2813">
        <f>HYPERLINK("http://www.twitter.com/nycoem/status/525697853327671298", "525697853327671298")</f>
        <v>0</v>
      </c>
      <c r="B2813" s="2">
        <v>41936.7211689815</v>
      </c>
      <c r="C2813">
        <v>0</v>
      </c>
      <c r="D2813">
        <v>5</v>
      </c>
      <c r="E2813" t="s">
        <v>2804</v>
      </c>
    </row>
    <row r="2814" spans="1:5">
      <c r="A2814">
        <f>HYPERLINK("http://www.twitter.com/nycoem/status/525697536364138496", "525697536364138496")</f>
        <v>0</v>
      </c>
      <c r="B2814" s="2">
        <v>41936.7203009259</v>
      </c>
      <c r="C2814">
        <v>0</v>
      </c>
      <c r="D2814">
        <v>5</v>
      </c>
      <c r="E2814" t="s">
        <v>2805</v>
      </c>
    </row>
    <row r="2815" spans="1:5">
      <c r="A2815">
        <f>HYPERLINK("http://www.twitter.com/nycoem/status/525697223854915586", "525697223854915586")</f>
        <v>0</v>
      </c>
      <c r="B2815" s="2">
        <v>41936.7194328704</v>
      </c>
      <c r="C2815">
        <v>0</v>
      </c>
      <c r="D2815">
        <v>18</v>
      </c>
      <c r="E2815" t="s">
        <v>2806</v>
      </c>
    </row>
    <row r="2816" spans="1:5">
      <c r="A2816">
        <f>HYPERLINK("http://www.twitter.com/nycoem/status/525697204686970882", "525697204686970882")</f>
        <v>0</v>
      </c>
      <c r="B2816" s="2">
        <v>41936.7193865741</v>
      </c>
      <c r="C2816">
        <v>0</v>
      </c>
      <c r="D2816">
        <v>7</v>
      </c>
      <c r="E2816" t="s">
        <v>2807</v>
      </c>
    </row>
    <row r="2817" spans="1:5">
      <c r="A2817">
        <f>HYPERLINK("http://www.twitter.com/nycoem/status/525697190539575297", "525697190539575297")</f>
        <v>0</v>
      </c>
      <c r="B2817" s="2">
        <v>41936.7193402778</v>
      </c>
      <c r="C2817">
        <v>0</v>
      </c>
      <c r="D2817">
        <v>2</v>
      </c>
      <c r="E2817" t="s">
        <v>2808</v>
      </c>
    </row>
    <row r="2818" spans="1:5">
      <c r="A2818">
        <f>HYPERLINK("http://www.twitter.com/nycoem/status/525696745494573056", "525696745494573056")</f>
        <v>0</v>
      </c>
      <c r="B2818" s="2">
        <v>41936.7181134259</v>
      </c>
      <c r="C2818">
        <v>0</v>
      </c>
      <c r="D2818">
        <v>6</v>
      </c>
      <c r="E2818" t="s">
        <v>2809</v>
      </c>
    </row>
    <row r="2819" spans="1:5">
      <c r="A2819">
        <f>HYPERLINK("http://www.twitter.com/nycoem/status/525696080210845699", "525696080210845699")</f>
        <v>0</v>
      </c>
      <c r="B2819" s="2">
        <v>41936.7162847222</v>
      </c>
      <c r="C2819">
        <v>0</v>
      </c>
      <c r="D2819">
        <v>3</v>
      </c>
      <c r="E2819" t="s">
        <v>2810</v>
      </c>
    </row>
    <row r="2820" spans="1:5">
      <c r="A2820">
        <f>HYPERLINK("http://www.twitter.com/nycoem/status/525695613204439041", "525695613204439041")</f>
        <v>0</v>
      </c>
      <c r="B2820" s="2">
        <v>41936.7149884259</v>
      </c>
      <c r="C2820">
        <v>0</v>
      </c>
      <c r="D2820">
        <v>9</v>
      </c>
      <c r="E2820" t="s">
        <v>2811</v>
      </c>
    </row>
    <row r="2821" spans="1:5">
      <c r="A2821">
        <f>HYPERLINK("http://www.twitter.com/nycoem/status/525695486972690432", "525695486972690432")</f>
        <v>0</v>
      </c>
      <c r="B2821" s="2">
        <v>41936.7146412037</v>
      </c>
      <c r="C2821">
        <v>0</v>
      </c>
      <c r="D2821">
        <v>12</v>
      </c>
      <c r="E2821" t="s">
        <v>2812</v>
      </c>
    </row>
    <row r="2822" spans="1:5">
      <c r="A2822">
        <f>HYPERLINK("http://www.twitter.com/nycoem/status/525695309675249664", "525695309675249664")</f>
        <v>0</v>
      </c>
      <c r="B2822" s="2">
        <v>41936.7141550926</v>
      </c>
      <c r="C2822">
        <v>0</v>
      </c>
      <c r="D2822">
        <v>29</v>
      </c>
      <c r="E2822" t="s">
        <v>2813</v>
      </c>
    </row>
    <row r="2823" spans="1:5">
      <c r="A2823">
        <f>HYPERLINK("http://www.twitter.com/nycoem/status/525694926089363456", "525694926089363456")</f>
        <v>0</v>
      </c>
      <c r="B2823" s="2">
        <v>41936.7130902778</v>
      </c>
      <c r="C2823">
        <v>0</v>
      </c>
      <c r="D2823">
        <v>17</v>
      </c>
      <c r="E2823" t="s">
        <v>2814</v>
      </c>
    </row>
    <row r="2824" spans="1:5">
      <c r="A2824">
        <f>HYPERLINK("http://www.twitter.com/nycoem/status/525694717099790336", "525694717099790336")</f>
        <v>0</v>
      </c>
      <c r="B2824" s="2">
        <v>41936.7125231481</v>
      </c>
      <c r="C2824">
        <v>0</v>
      </c>
      <c r="D2824">
        <v>9</v>
      </c>
      <c r="E2824" t="s">
        <v>2815</v>
      </c>
    </row>
    <row r="2825" spans="1:5">
      <c r="A2825">
        <f>HYPERLINK("http://www.twitter.com/nycoem/status/525693579315142656", "525693579315142656")</f>
        <v>0</v>
      </c>
      <c r="B2825" s="2">
        <v>41936.709375</v>
      </c>
      <c r="C2825">
        <v>0</v>
      </c>
      <c r="D2825">
        <v>10</v>
      </c>
      <c r="E2825" t="s">
        <v>2816</v>
      </c>
    </row>
    <row r="2826" spans="1:5">
      <c r="A2826">
        <f>HYPERLINK("http://www.twitter.com/nycoem/status/525692948508606466", "525692948508606466")</f>
        <v>0</v>
      </c>
      <c r="B2826" s="2">
        <v>41936.7076388889</v>
      </c>
      <c r="C2826">
        <v>0</v>
      </c>
      <c r="D2826">
        <v>6</v>
      </c>
      <c r="E2826" t="s">
        <v>2817</v>
      </c>
    </row>
    <row r="2827" spans="1:5">
      <c r="A2827">
        <f>HYPERLINK("http://www.twitter.com/nycoem/status/525692936517083136", "525692936517083136")</f>
        <v>0</v>
      </c>
      <c r="B2827" s="2">
        <v>41936.7076041667</v>
      </c>
      <c r="C2827">
        <v>0</v>
      </c>
      <c r="D2827">
        <v>9</v>
      </c>
      <c r="E2827" t="s">
        <v>2818</v>
      </c>
    </row>
    <row r="2828" spans="1:5">
      <c r="A2828">
        <f>HYPERLINK("http://www.twitter.com/nycoem/status/525692077649432576", "525692077649432576")</f>
        <v>0</v>
      </c>
      <c r="B2828" s="2">
        <v>41936.7052314815</v>
      </c>
      <c r="C2828">
        <v>0</v>
      </c>
      <c r="D2828">
        <v>11</v>
      </c>
      <c r="E2828" t="s">
        <v>2819</v>
      </c>
    </row>
    <row r="2829" spans="1:5">
      <c r="A2829">
        <f>HYPERLINK("http://www.twitter.com/nycoem/status/525692048880709633", "525692048880709633")</f>
        <v>0</v>
      </c>
      <c r="B2829" s="2">
        <v>41936.705162037</v>
      </c>
      <c r="C2829">
        <v>0</v>
      </c>
      <c r="D2829">
        <v>9</v>
      </c>
      <c r="E2829" t="s">
        <v>2820</v>
      </c>
    </row>
    <row r="2830" spans="1:5">
      <c r="A2830">
        <f>HYPERLINK("http://www.twitter.com/nycoem/status/525691470314213376", "525691470314213376")</f>
        <v>0</v>
      </c>
      <c r="B2830" s="2">
        <v>41936.7035648148</v>
      </c>
      <c r="C2830">
        <v>0</v>
      </c>
      <c r="D2830">
        <v>2</v>
      </c>
      <c r="E2830" t="s">
        <v>2821</v>
      </c>
    </row>
    <row r="2831" spans="1:5">
      <c r="A2831">
        <f>HYPERLINK("http://www.twitter.com/nycoem/status/525690690853146624", "525690690853146624")</f>
        <v>0</v>
      </c>
      <c r="B2831" s="2">
        <v>41936.701412037</v>
      </c>
      <c r="C2831">
        <v>0</v>
      </c>
      <c r="D2831">
        <v>5</v>
      </c>
      <c r="E2831" t="s">
        <v>2822</v>
      </c>
    </row>
    <row r="2832" spans="1:5">
      <c r="A2832">
        <f>HYPERLINK("http://www.twitter.com/nycoem/status/525690552537595904", "525690552537595904")</f>
        <v>0</v>
      </c>
      <c r="B2832" s="2">
        <v>41936.7010300926</v>
      </c>
      <c r="C2832">
        <v>0</v>
      </c>
      <c r="D2832">
        <v>6</v>
      </c>
      <c r="E2832" t="s">
        <v>2823</v>
      </c>
    </row>
    <row r="2833" spans="1:5">
      <c r="A2833">
        <f>HYPERLINK("http://www.twitter.com/nycoem/status/525690415954264064", "525690415954264064")</f>
        <v>0</v>
      </c>
      <c r="B2833" s="2">
        <v>41936.7006481482</v>
      </c>
      <c r="C2833">
        <v>0</v>
      </c>
      <c r="D2833">
        <v>10</v>
      </c>
      <c r="E2833" t="s">
        <v>2824</v>
      </c>
    </row>
    <row r="2834" spans="1:5">
      <c r="A2834">
        <f>HYPERLINK("http://www.twitter.com/nycoem/status/525690243937484800", "525690243937484800")</f>
        <v>0</v>
      </c>
      <c r="B2834" s="2">
        <v>41936.7001736111</v>
      </c>
      <c r="C2834">
        <v>0</v>
      </c>
      <c r="D2834">
        <v>6</v>
      </c>
      <c r="E2834" t="s">
        <v>2825</v>
      </c>
    </row>
    <row r="2835" spans="1:5">
      <c r="A2835">
        <f>HYPERLINK("http://www.twitter.com/nycoem/status/525689816739241985", "525689816739241985")</f>
        <v>0</v>
      </c>
      <c r="B2835" s="2">
        <v>41936.6989930556</v>
      </c>
      <c r="C2835">
        <v>0</v>
      </c>
      <c r="D2835">
        <v>7</v>
      </c>
      <c r="E2835" t="s">
        <v>2826</v>
      </c>
    </row>
    <row r="2836" spans="1:5">
      <c r="A2836">
        <f>HYPERLINK("http://www.twitter.com/nycoem/status/525689432939462656", "525689432939462656")</f>
        <v>0</v>
      </c>
      <c r="B2836" s="2">
        <v>41936.6979398148</v>
      </c>
      <c r="C2836">
        <v>0</v>
      </c>
      <c r="D2836">
        <v>14</v>
      </c>
      <c r="E2836" t="s">
        <v>2827</v>
      </c>
    </row>
    <row r="2837" spans="1:5">
      <c r="A2837">
        <f>HYPERLINK("http://www.twitter.com/nycoem/status/525689310595776512", "525689310595776512")</f>
        <v>0</v>
      </c>
      <c r="B2837" s="2">
        <v>41936.6976041667</v>
      </c>
      <c r="C2837">
        <v>0</v>
      </c>
      <c r="D2837">
        <v>7</v>
      </c>
      <c r="E2837" t="s">
        <v>2828</v>
      </c>
    </row>
    <row r="2838" spans="1:5">
      <c r="A2838">
        <f>HYPERLINK("http://www.twitter.com/nycoem/status/525688644250914816", "525688644250914816")</f>
        <v>0</v>
      </c>
      <c r="B2838" s="2">
        <v>41936.6957638889</v>
      </c>
      <c r="C2838">
        <v>0</v>
      </c>
      <c r="D2838">
        <v>49</v>
      </c>
      <c r="E2838" t="s">
        <v>2829</v>
      </c>
    </row>
    <row r="2839" spans="1:5">
      <c r="A2839">
        <f>HYPERLINK("http://www.twitter.com/nycoem/status/525688255594102784", "525688255594102784")</f>
        <v>0</v>
      </c>
      <c r="B2839" s="2">
        <v>41936.6946875</v>
      </c>
      <c r="C2839">
        <v>0</v>
      </c>
      <c r="D2839">
        <v>11</v>
      </c>
      <c r="E2839" t="s">
        <v>2830</v>
      </c>
    </row>
    <row r="2840" spans="1:5">
      <c r="A2840">
        <f>HYPERLINK("http://www.twitter.com/nycoem/status/525688124077518848", "525688124077518848")</f>
        <v>0</v>
      </c>
      <c r="B2840" s="2">
        <v>41936.6943287037</v>
      </c>
      <c r="C2840">
        <v>0</v>
      </c>
      <c r="D2840">
        <v>17</v>
      </c>
      <c r="E2840" t="s">
        <v>2831</v>
      </c>
    </row>
    <row r="2841" spans="1:5">
      <c r="A2841">
        <f>HYPERLINK("http://www.twitter.com/nycoem/status/525687851804270593", "525687851804270593")</f>
        <v>0</v>
      </c>
      <c r="B2841" s="2">
        <v>41936.6935763889</v>
      </c>
      <c r="C2841">
        <v>0</v>
      </c>
      <c r="D2841">
        <v>28</v>
      </c>
      <c r="E2841" t="s">
        <v>2832</v>
      </c>
    </row>
    <row r="2842" spans="1:5">
      <c r="A2842">
        <f>HYPERLINK("http://www.twitter.com/nycoem/status/525687719713071105", "525687719713071105")</f>
        <v>0</v>
      </c>
      <c r="B2842" s="2">
        <v>41936.6932060185</v>
      </c>
      <c r="C2842">
        <v>0</v>
      </c>
      <c r="D2842">
        <v>3</v>
      </c>
      <c r="E2842" t="s">
        <v>2833</v>
      </c>
    </row>
    <row r="2843" spans="1:5">
      <c r="A2843">
        <f>HYPERLINK("http://www.twitter.com/nycoem/status/525687627807481857", "525687627807481857")</f>
        <v>0</v>
      </c>
      <c r="B2843" s="2">
        <v>41936.6929513889</v>
      </c>
      <c r="C2843">
        <v>0</v>
      </c>
      <c r="D2843">
        <v>6</v>
      </c>
      <c r="E2843" t="s">
        <v>2834</v>
      </c>
    </row>
    <row r="2844" spans="1:5">
      <c r="A2844">
        <f>HYPERLINK("http://www.twitter.com/nycoem/status/525687595918180352", "525687595918180352")</f>
        <v>0</v>
      </c>
      <c r="B2844" s="2">
        <v>41936.6928703704</v>
      </c>
      <c r="C2844">
        <v>0</v>
      </c>
      <c r="D2844">
        <v>24</v>
      </c>
      <c r="E2844" t="s">
        <v>2835</v>
      </c>
    </row>
    <row r="2845" spans="1:5">
      <c r="A2845">
        <f>HYPERLINK("http://www.twitter.com/nycoem/status/525687582509006848", "525687582509006848")</f>
        <v>0</v>
      </c>
      <c r="B2845" s="2">
        <v>41936.6928356482</v>
      </c>
      <c r="C2845">
        <v>0</v>
      </c>
      <c r="D2845">
        <v>9</v>
      </c>
      <c r="E2845" t="s">
        <v>2836</v>
      </c>
    </row>
    <row r="2846" spans="1:5">
      <c r="A2846">
        <f>HYPERLINK("http://www.twitter.com/nycoem/status/525687567916994560", "525687567916994560")</f>
        <v>0</v>
      </c>
      <c r="B2846" s="2">
        <v>41936.6927893519</v>
      </c>
      <c r="C2846">
        <v>0</v>
      </c>
      <c r="D2846">
        <v>9</v>
      </c>
      <c r="E2846" t="s">
        <v>2837</v>
      </c>
    </row>
    <row r="2847" spans="1:5">
      <c r="A2847">
        <f>HYPERLINK("http://www.twitter.com/nycoem/status/525687548052799488", "525687548052799488")</f>
        <v>0</v>
      </c>
      <c r="B2847" s="2">
        <v>41936.6927314815</v>
      </c>
      <c r="C2847">
        <v>0</v>
      </c>
      <c r="D2847">
        <v>3</v>
      </c>
      <c r="E2847" t="s">
        <v>2838</v>
      </c>
    </row>
    <row r="2848" spans="1:5">
      <c r="A2848">
        <f>HYPERLINK("http://www.twitter.com/nycoem/status/525687534702313472", "525687534702313472")</f>
        <v>0</v>
      </c>
      <c r="B2848" s="2">
        <v>41936.6926967593</v>
      </c>
      <c r="C2848">
        <v>0</v>
      </c>
      <c r="D2848">
        <v>26</v>
      </c>
      <c r="E2848" t="s">
        <v>2839</v>
      </c>
    </row>
    <row r="2849" spans="1:5">
      <c r="A2849">
        <f>HYPERLINK("http://www.twitter.com/nycoem/status/525687513349111809", "525687513349111809")</f>
        <v>0</v>
      </c>
      <c r="B2849" s="2">
        <v>41936.6926388889</v>
      </c>
      <c r="C2849">
        <v>0</v>
      </c>
      <c r="D2849">
        <v>25</v>
      </c>
      <c r="E2849" t="s">
        <v>2840</v>
      </c>
    </row>
    <row r="2850" spans="1:5">
      <c r="A2850">
        <f>HYPERLINK("http://www.twitter.com/nycoem/status/525687406721519617", "525687406721519617")</f>
        <v>0</v>
      </c>
      <c r="B2850" s="2">
        <v>41936.692349537</v>
      </c>
      <c r="C2850">
        <v>1</v>
      </c>
      <c r="D2850">
        <v>2</v>
      </c>
      <c r="E2850" t="s">
        <v>2841</v>
      </c>
    </row>
    <row r="2851" spans="1:5">
      <c r="A2851">
        <f>HYPERLINK("http://www.twitter.com/nycoem/status/525686452974522369", "525686452974522369")</f>
        <v>0</v>
      </c>
      <c r="B2851" s="2">
        <v>41936.6897106481</v>
      </c>
      <c r="C2851">
        <v>0</v>
      </c>
      <c r="D2851">
        <v>4</v>
      </c>
      <c r="E2851" t="s">
        <v>2842</v>
      </c>
    </row>
    <row r="2852" spans="1:5">
      <c r="A2852">
        <f>HYPERLINK("http://www.twitter.com/nycoem/status/525663439096913920", "525663439096913920")</f>
        <v>0</v>
      </c>
      <c r="B2852" s="2">
        <v>41936.6262037037</v>
      </c>
      <c r="C2852">
        <v>1</v>
      </c>
      <c r="D2852">
        <v>3</v>
      </c>
      <c r="E2852" t="s">
        <v>2843</v>
      </c>
    </row>
    <row r="2853" spans="1:5">
      <c r="A2853">
        <f>HYPERLINK("http://www.twitter.com/nycoem/status/525492268372099072", "525492268372099072")</f>
        <v>0</v>
      </c>
      <c r="B2853" s="2">
        <v>41936.1538657407</v>
      </c>
      <c r="C2853">
        <v>0</v>
      </c>
      <c r="D2853">
        <v>3</v>
      </c>
      <c r="E2853" t="s">
        <v>2844</v>
      </c>
    </row>
    <row r="2854" spans="1:5">
      <c r="A2854">
        <f>HYPERLINK("http://www.twitter.com/nycoem/status/525492175174631424", "525492175174631424")</f>
        <v>0</v>
      </c>
      <c r="B2854" s="2">
        <v>41936.1536111111</v>
      </c>
      <c r="C2854">
        <v>0</v>
      </c>
      <c r="D2854">
        <v>2</v>
      </c>
      <c r="E2854" t="s">
        <v>2845</v>
      </c>
    </row>
    <row r="2855" spans="1:5">
      <c r="A2855">
        <f>HYPERLINK("http://www.twitter.com/nycoem/status/525491770554347520", "525491770554347520")</f>
        <v>0</v>
      </c>
      <c r="B2855" s="2">
        <v>41936.1524884259</v>
      </c>
      <c r="C2855">
        <v>8</v>
      </c>
      <c r="D2855">
        <v>33</v>
      </c>
      <c r="E2855" t="s">
        <v>2846</v>
      </c>
    </row>
    <row r="2856" spans="1:5">
      <c r="A2856">
        <f>HYPERLINK("http://www.twitter.com/nycoem/status/525486688899203072", "525486688899203072")</f>
        <v>0</v>
      </c>
      <c r="B2856" s="2">
        <v>41936.1384722222</v>
      </c>
      <c r="C2856">
        <v>1</v>
      </c>
      <c r="D2856">
        <v>9</v>
      </c>
      <c r="E2856" t="s">
        <v>2847</v>
      </c>
    </row>
    <row r="2857" spans="1:5">
      <c r="A2857">
        <f>HYPERLINK("http://www.twitter.com/nycoem/status/525486576605093889", "525486576605093889")</f>
        <v>0</v>
      </c>
      <c r="B2857" s="2">
        <v>41936.1381597222</v>
      </c>
      <c r="C2857">
        <v>1</v>
      </c>
      <c r="D2857">
        <v>3</v>
      </c>
      <c r="E2857" t="s">
        <v>2848</v>
      </c>
    </row>
    <row r="2858" spans="1:5">
      <c r="A2858">
        <f>HYPERLINK("http://www.twitter.com/nycoem/status/525486471999156225", "525486471999156225")</f>
        <v>0</v>
      </c>
      <c r="B2858" s="2">
        <v>41936.1378703704</v>
      </c>
      <c r="C2858">
        <v>3</v>
      </c>
      <c r="D2858">
        <v>5</v>
      </c>
      <c r="E2858" t="s">
        <v>2849</v>
      </c>
    </row>
    <row r="2859" spans="1:5">
      <c r="A2859">
        <f>HYPERLINK("http://www.twitter.com/nycoem/status/525477487326007296", "525477487326007296")</f>
        <v>0</v>
      </c>
      <c r="B2859" s="2">
        <v>41936.1130787037</v>
      </c>
      <c r="C2859">
        <v>0</v>
      </c>
      <c r="D2859">
        <v>3</v>
      </c>
      <c r="E2859" t="s">
        <v>2850</v>
      </c>
    </row>
    <row r="2860" spans="1:5">
      <c r="A2860">
        <f>HYPERLINK("http://www.twitter.com/nycoem/status/525476241881972736", "525476241881972736")</f>
        <v>0</v>
      </c>
      <c r="B2860" s="2">
        <v>41936.1096412037</v>
      </c>
      <c r="C2860">
        <v>0</v>
      </c>
      <c r="D2860">
        <v>52</v>
      </c>
      <c r="E2860" t="s">
        <v>2851</v>
      </c>
    </row>
    <row r="2861" spans="1:5">
      <c r="A2861">
        <f>HYPERLINK("http://www.twitter.com/nycoem/status/525476060859990016", "525476060859990016")</f>
        <v>0</v>
      </c>
      <c r="B2861" s="2">
        <v>41936.1091435185</v>
      </c>
      <c r="C2861">
        <v>0</v>
      </c>
      <c r="D2861">
        <v>5</v>
      </c>
      <c r="E2861" t="s">
        <v>2852</v>
      </c>
    </row>
    <row r="2862" spans="1:5">
      <c r="A2862">
        <f>HYPERLINK("http://www.twitter.com/nycoem/status/525474575828914176", "525474575828914176")</f>
        <v>0</v>
      </c>
      <c r="B2862" s="2">
        <v>41936.1050462963</v>
      </c>
      <c r="C2862">
        <v>0</v>
      </c>
      <c r="D2862">
        <v>4</v>
      </c>
      <c r="E2862" t="s">
        <v>2853</v>
      </c>
    </row>
    <row r="2863" spans="1:5">
      <c r="A2863">
        <f>HYPERLINK("http://www.twitter.com/nycoem/status/525474210089824256", "525474210089824256")</f>
        <v>0</v>
      </c>
      <c r="B2863" s="2">
        <v>41936.1040393518</v>
      </c>
      <c r="C2863">
        <v>0</v>
      </c>
      <c r="D2863">
        <v>3</v>
      </c>
      <c r="E2863" t="s">
        <v>2854</v>
      </c>
    </row>
    <row r="2864" spans="1:5">
      <c r="A2864">
        <f>HYPERLINK("http://www.twitter.com/nycoem/status/525473830631133184", "525473830631133184")</f>
        <v>0</v>
      </c>
      <c r="B2864" s="2">
        <v>41936.1029861111</v>
      </c>
      <c r="C2864">
        <v>0</v>
      </c>
      <c r="D2864">
        <v>4</v>
      </c>
      <c r="E2864" t="s">
        <v>2855</v>
      </c>
    </row>
    <row r="2865" spans="1:5">
      <c r="A2865">
        <f>HYPERLINK("http://www.twitter.com/nycoem/status/525473572291358720", "525473572291358720")</f>
        <v>0</v>
      </c>
      <c r="B2865" s="2">
        <v>41936.1022800926</v>
      </c>
      <c r="C2865">
        <v>0</v>
      </c>
      <c r="D2865">
        <v>3</v>
      </c>
      <c r="E2865" t="s">
        <v>2856</v>
      </c>
    </row>
    <row r="2866" spans="1:5">
      <c r="A2866">
        <f>HYPERLINK("http://www.twitter.com/nycoem/status/525473521762586624", "525473521762586624")</f>
        <v>0</v>
      </c>
      <c r="B2866" s="2">
        <v>41936.1021412037</v>
      </c>
      <c r="C2866">
        <v>0</v>
      </c>
      <c r="D2866">
        <v>43</v>
      </c>
      <c r="E2866" t="s">
        <v>2857</v>
      </c>
    </row>
    <row r="2867" spans="1:5">
      <c r="A2867">
        <f>HYPERLINK("http://www.twitter.com/nycoem/status/525473295895117825", "525473295895117825")</f>
        <v>0</v>
      </c>
      <c r="B2867" s="2">
        <v>41936.1015162037</v>
      </c>
      <c r="C2867">
        <v>0</v>
      </c>
      <c r="D2867">
        <v>32</v>
      </c>
      <c r="E2867" t="s">
        <v>2858</v>
      </c>
    </row>
    <row r="2868" spans="1:5">
      <c r="A2868">
        <f>HYPERLINK("http://www.twitter.com/nycoem/status/525473080878329856", "525473080878329856")</f>
        <v>0</v>
      </c>
      <c r="B2868" s="2">
        <v>41936.1009143519</v>
      </c>
      <c r="C2868">
        <v>0</v>
      </c>
      <c r="D2868">
        <v>73</v>
      </c>
      <c r="E2868" t="s">
        <v>2859</v>
      </c>
    </row>
    <row r="2869" spans="1:5">
      <c r="A2869">
        <f>HYPERLINK("http://www.twitter.com/nycoem/status/525472833624092672", "525472833624092672")</f>
        <v>0</v>
      </c>
      <c r="B2869" s="2">
        <v>41936.1002430556</v>
      </c>
      <c r="C2869">
        <v>0</v>
      </c>
      <c r="D2869">
        <v>34</v>
      </c>
      <c r="E2869" t="s">
        <v>2860</v>
      </c>
    </row>
    <row r="2870" spans="1:5">
      <c r="A2870">
        <f>HYPERLINK("http://www.twitter.com/nycoem/status/525472535388106752", "525472535388106752")</f>
        <v>0</v>
      </c>
      <c r="B2870" s="2">
        <v>41936.0994097222</v>
      </c>
      <c r="C2870">
        <v>0</v>
      </c>
      <c r="D2870">
        <v>5</v>
      </c>
      <c r="E2870" t="s">
        <v>2861</v>
      </c>
    </row>
    <row r="2871" spans="1:5">
      <c r="A2871">
        <f>HYPERLINK("http://www.twitter.com/nycoem/status/525472499723960320", "525472499723960320")</f>
        <v>0</v>
      </c>
      <c r="B2871" s="2">
        <v>41936.0993171296</v>
      </c>
      <c r="C2871">
        <v>0</v>
      </c>
      <c r="D2871">
        <v>21</v>
      </c>
      <c r="E2871" t="s">
        <v>2862</v>
      </c>
    </row>
    <row r="2872" spans="1:5">
      <c r="A2872">
        <f>HYPERLINK("http://www.twitter.com/nycoem/status/525472286720417792", "525472286720417792")</f>
        <v>0</v>
      </c>
      <c r="B2872" s="2">
        <v>41936.0987268519</v>
      </c>
      <c r="C2872">
        <v>0</v>
      </c>
      <c r="D2872">
        <v>4</v>
      </c>
      <c r="E2872" t="s">
        <v>2863</v>
      </c>
    </row>
    <row r="2873" spans="1:5">
      <c r="A2873">
        <f>HYPERLINK("http://www.twitter.com/nycoem/status/525471921170022400", "525471921170022400")</f>
        <v>0</v>
      </c>
      <c r="B2873" s="2">
        <v>41936.0977199074</v>
      </c>
      <c r="C2873">
        <v>0</v>
      </c>
      <c r="D2873">
        <v>3</v>
      </c>
      <c r="E2873" t="s">
        <v>2864</v>
      </c>
    </row>
    <row r="2874" spans="1:5">
      <c r="A2874">
        <f>HYPERLINK("http://www.twitter.com/nycoem/status/525471704022519810", "525471704022519810")</f>
        <v>0</v>
      </c>
      <c r="B2874" s="2">
        <v>41936.0971180556</v>
      </c>
      <c r="C2874">
        <v>0</v>
      </c>
      <c r="D2874">
        <v>12</v>
      </c>
      <c r="E2874" t="s">
        <v>2865</v>
      </c>
    </row>
    <row r="2875" spans="1:5">
      <c r="A2875">
        <f>HYPERLINK("http://www.twitter.com/nycoem/status/525471589694210048", "525471589694210048")</f>
        <v>0</v>
      </c>
      <c r="B2875" s="2">
        <v>41936.0968055556</v>
      </c>
      <c r="C2875">
        <v>0</v>
      </c>
      <c r="D2875">
        <v>4</v>
      </c>
      <c r="E2875" t="s">
        <v>2866</v>
      </c>
    </row>
    <row r="2876" spans="1:5">
      <c r="A2876">
        <f>HYPERLINK("http://www.twitter.com/nycoem/status/525471155181068288", "525471155181068288")</f>
        <v>0</v>
      </c>
      <c r="B2876" s="2">
        <v>41936.0956018519</v>
      </c>
      <c r="C2876">
        <v>0</v>
      </c>
      <c r="D2876">
        <v>3</v>
      </c>
      <c r="E2876" t="s">
        <v>2867</v>
      </c>
    </row>
    <row r="2877" spans="1:5">
      <c r="A2877">
        <f>HYPERLINK("http://www.twitter.com/nycoem/status/525471075921321988", "525471075921321988")</f>
        <v>0</v>
      </c>
      <c r="B2877" s="2">
        <v>41936.0953819444</v>
      </c>
      <c r="C2877">
        <v>0</v>
      </c>
      <c r="D2877">
        <v>25</v>
      </c>
      <c r="E2877" t="s">
        <v>2868</v>
      </c>
    </row>
    <row r="2878" spans="1:5">
      <c r="A2878">
        <f>HYPERLINK("http://www.twitter.com/nycoem/status/525470991909388289", "525470991909388289")</f>
        <v>0</v>
      </c>
      <c r="B2878" s="2">
        <v>41936.095150463</v>
      </c>
      <c r="C2878">
        <v>0</v>
      </c>
      <c r="D2878">
        <v>3</v>
      </c>
      <c r="E2878" t="s">
        <v>2869</v>
      </c>
    </row>
    <row r="2879" spans="1:5">
      <c r="A2879">
        <f>HYPERLINK("http://www.twitter.com/nycoem/status/525470982392528896", "525470982392528896")</f>
        <v>0</v>
      </c>
      <c r="B2879" s="2">
        <v>41936.0951273148</v>
      </c>
      <c r="C2879">
        <v>0</v>
      </c>
      <c r="D2879">
        <v>2</v>
      </c>
      <c r="E2879" t="s">
        <v>2870</v>
      </c>
    </row>
    <row r="2880" spans="1:5">
      <c r="A2880">
        <f>HYPERLINK("http://www.twitter.com/nycoem/status/525470941045063680", "525470941045063680")</f>
        <v>0</v>
      </c>
      <c r="B2880" s="2">
        <v>41936.0950115741</v>
      </c>
      <c r="C2880">
        <v>0</v>
      </c>
      <c r="D2880">
        <v>23</v>
      </c>
      <c r="E2880" t="s">
        <v>2871</v>
      </c>
    </row>
    <row r="2881" spans="1:5">
      <c r="A2881">
        <f>HYPERLINK("http://www.twitter.com/nycoem/status/525470559187271680", "525470559187271680")</f>
        <v>0</v>
      </c>
      <c r="B2881" s="2">
        <v>41936.0939583333</v>
      </c>
      <c r="C2881">
        <v>0</v>
      </c>
      <c r="D2881">
        <v>3</v>
      </c>
      <c r="E2881" t="s">
        <v>2872</v>
      </c>
    </row>
    <row r="2882" spans="1:5">
      <c r="A2882">
        <f>HYPERLINK("http://www.twitter.com/nycoem/status/525470533446828032", "525470533446828032")</f>
        <v>0</v>
      </c>
      <c r="B2882" s="2">
        <v>41936.0938888889</v>
      </c>
      <c r="C2882">
        <v>0</v>
      </c>
      <c r="D2882">
        <v>18</v>
      </c>
      <c r="E2882" t="s">
        <v>2873</v>
      </c>
    </row>
    <row r="2883" spans="1:5">
      <c r="A2883">
        <f>HYPERLINK("http://www.twitter.com/nycoem/status/525470523816685568", "525470523816685568")</f>
        <v>0</v>
      </c>
      <c r="B2883" s="2">
        <v>41936.0938657407</v>
      </c>
      <c r="C2883">
        <v>0</v>
      </c>
      <c r="D2883">
        <v>38</v>
      </c>
      <c r="E2883" t="s">
        <v>2874</v>
      </c>
    </row>
    <row r="2884" spans="1:5">
      <c r="A2884">
        <f>HYPERLINK("http://www.twitter.com/nycoem/status/525469572108148736", "525469572108148736")</f>
        <v>0</v>
      </c>
      <c r="B2884" s="2">
        <v>41936.0912384259</v>
      </c>
      <c r="C2884">
        <v>0</v>
      </c>
      <c r="D2884">
        <v>11</v>
      </c>
      <c r="E2884" t="s">
        <v>2875</v>
      </c>
    </row>
    <row r="2885" spans="1:5">
      <c r="A2885">
        <f>HYPERLINK("http://www.twitter.com/nycoem/status/525469124496216064", "525469124496216064")</f>
        <v>0</v>
      </c>
      <c r="B2885" s="2">
        <v>41936.09</v>
      </c>
      <c r="C2885">
        <v>0</v>
      </c>
      <c r="D2885">
        <v>3</v>
      </c>
      <c r="E2885" t="s">
        <v>2876</v>
      </c>
    </row>
    <row r="2886" spans="1:5">
      <c r="A2886">
        <f>HYPERLINK("http://www.twitter.com/nycoem/status/525469106787868672", "525469106787868672")</f>
        <v>0</v>
      </c>
      <c r="B2886" s="2">
        <v>41936.0899537037</v>
      </c>
      <c r="C2886">
        <v>0</v>
      </c>
      <c r="D2886">
        <v>3</v>
      </c>
      <c r="E2886" t="s">
        <v>2877</v>
      </c>
    </row>
    <row r="2887" spans="1:5">
      <c r="A2887">
        <f>HYPERLINK("http://www.twitter.com/nycoem/status/525469093907156992", "525469093907156992")</f>
        <v>0</v>
      </c>
      <c r="B2887" s="2">
        <v>41936.0899189815</v>
      </c>
      <c r="C2887">
        <v>0</v>
      </c>
      <c r="D2887">
        <v>4</v>
      </c>
      <c r="E2887" t="s">
        <v>2878</v>
      </c>
    </row>
    <row r="2888" spans="1:5">
      <c r="A2888">
        <f>HYPERLINK("http://www.twitter.com/nycoem/status/525469083652091904", "525469083652091904")</f>
        <v>0</v>
      </c>
      <c r="B2888" s="2">
        <v>41936.0898842593</v>
      </c>
      <c r="C2888">
        <v>0</v>
      </c>
      <c r="D2888">
        <v>3</v>
      </c>
      <c r="E2888" t="s">
        <v>2879</v>
      </c>
    </row>
    <row r="2889" spans="1:5">
      <c r="A2889">
        <f>HYPERLINK("http://www.twitter.com/nycoem/status/525469070930739200", "525469070930739200")</f>
        <v>0</v>
      </c>
      <c r="B2889" s="2">
        <v>41936.089849537</v>
      </c>
      <c r="C2889">
        <v>0</v>
      </c>
      <c r="D2889">
        <v>3</v>
      </c>
      <c r="E2889" t="s">
        <v>2880</v>
      </c>
    </row>
    <row r="2890" spans="1:5">
      <c r="A2890">
        <f>HYPERLINK("http://www.twitter.com/nycoem/status/525469050806476800", "525469050806476800")</f>
        <v>0</v>
      </c>
      <c r="B2890" s="2">
        <v>41936.0898032407</v>
      </c>
      <c r="C2890">
        <v>0</v>
      </c>
      <c r="D2890">
        <v>5</v>
      </c>
      <c r="E2890" t="s">
        <v>2881</v>
      </c>
    </row>
    <row r="2891" spans="1:5">
      <c r="A2891">
        <f>HYPERLINK("http://www.twitter.com/nycoem/status/525469038194216961", "525469038194216961")</f>
        <v>0</v>
      </c>
      <c r="B2891" s="2">
        <v>41936.0897685185</v>
      </c>
      <c r="C2891">
        <v>0</v>
      </c>
      <c r="D2891">
        <v>7</v>
      </c>
      <c r="E2891" t="s">
        <v>2882</v>
      </c>
    </row>
    <row r="2892" spans="1:5">
      <c r="A2892">
        <f>HYPERLINK("http://www.twitter.com/nycoem/status/525469024441098241", "525469024441098241")</f>
        <v>0</v>
      </c>
      <c r="B2892" s="2">
        <v>41936.0897222222</v>
      </c>
      <c r="C2892">
        <v>0</v>
      </c>
      <c r="D2892">
        <v>7</v>
      </c>
      <c r="E2892" t="s">
        <v>2883</v>
      </c>
    </row>
    <row r="2893" spans="1:5">
      <c r="A2893">
        <f>HYPERLINK("http://www.twitter.com/nycoem/status/525468973136355330", "525468973136355330")</f>
        <v>0</v>
      </c>
      <c r="B2893" s="2">
        <v>41936.0895833333</v>
      </c>
      <c r="C2893">
        <v>0</v>
      </c>
      <c r="D2893">
        <v>13</v>
      </c>
      <c r="E2893" t="s">
        <v>2884</v>
      </c>
    </row>
    <row r="2894" spans="1:5">
      <c r="A2894">
        <f>HYPERLINK("http://www.twitter.com/nycoem/status/525468623406911488", "525468623406911488")</f>
        <v>0</v>
      </c>
      <c r="B2894" s="2">
        <v>41936.0886226852</v>
      </c>
      <c r="C2894">
        <v>0</v>
      </c>
      <c r="D2894">
        <v>50</v>
      </c>
      <c r="E2894" t="s">
        <v>2885</v>
      </c>
    </row>
    <row r="2895" spans="1:5">
      <c r="A2895">
        <f>HYPERLINK("http://www.twitter.com/nycoem/status/525468608458412032", "525468608458412032")</f>
        <v>0</v>
      </c>
      <c r="B2895" s="2">
        <v>41936.0885763889</v>
      </c>
      <c r="C2895">
        <v>0</v>
      </c>
      <c r="D2895">
        <v>37</v>
      </c>
      <c r="E2895" t="s">
        <v>2886</v>
      </c>
    </row>
    <row r="2896" spans="1:5">
      <c r="A2896">
        <f>HYPERLINK("http://www.twitter.com/nycoem/status/525468551004839936", "525468551004839936")</f>
        <v>0</v>
      </c>
      <c r="B2896" s="2">
        <v>41936.0884143518</v>
      </c>
      <c r="C2896">
        <v>0</v>
      </c>
      <c r="D2896">
        <v>13</v>
      </c>
      <c r="E2896" t="s">
        <v>2887</v>
      </c>
    </row>
    <row r="2897" spans="1:5">
      <c r="A2897">
        <f>HYPERLINK("http://www.twitter.com/nycoem/status/525468538740686849", "525468538740686849")</f>
        <v>0</v>
      </c>
      <c r="B2897" s="2">
        <v>41936.0883912037</v>
      </c>
      <c r="C2897">
        <v>0</v>
      </c>
      <c r="D2897">
        <v>9</v>
      </c>
      <c r="E2897" t="s">
        <v>2888</v>
      </c>
    </row>
    <row r="2898" spans="1:5">
      <c r="A2898">
        <f>HYPERLINK("http://www.twitter.com/nycoem/status/525468523926401024", "525468523926401024")</f>
        <v>0</v>
      </c>
      <c r="B2898" s="2">
        <v>41936.0883449074</v>
      </c>
      <c r="C2898">
        <v>0</v>
      </c>
      <c r="D2898">
        <v>5</v>
      </c>
      <c r="E2898" t="s">
        <v>2889</v>
      </c>
    </row>
    <row r="2899" spans="1:5">
      <c r="A2899">
        <f>HYPERLINK("http://www.twitter.com/nycoem/status/525468513667153920", "525468513667153920")</f>
        <v>0</v>
      </c>
      <c r="B2899" s="2">
        <v>41936.0883217593</v>
      </c>
      <c r="C2899">
        <v>0</v>
      </c>
      <c r="D2899">
        <v>4</v>
      </c>
      <c r="E2899" t="s">
        <v>2890</v>
      </c>
    </row>
    <row r="2900" spans="1:5">
      <c r="A2900">
        <f>HYPERLINK("http://www.twitter.com/nycoem/status/525467930629517312", "525467930629517312")</f>
        <v>0</v>
      </c>
      <c r="B2900" s="2">
        <v>41936.086712963</v>
      </c>
      <c r="C2900">
        <v>0</v>
      </c>
      <c r="D2900">
        <v>49</v>
      </c>
      <c r="E2900" t="s">
        <v>2891</v>
      </c>
    </row>
    <row r="2901" spans="1:5">
      <c r="A2901">
        <f>HYPERLINK("http://www.twitter.com/nycoem/status/525467019249213441", "525467019249213441")</f>
        <v>0</v>
      </c>
      <c r="B2901" s="2">
        <v>41936.0841898148</v>
      </c>
      <c r="C2901">
        <v>0</v>
      </c>
      <c r="D2901">
        <v>31</v>
      </c>
      <c r="E2901" t="s">
        <v>2892</v>
      </c>
    </row>
    <row r="2902" spans="1:5">
      <c r="A2902">
        <f>HYPERLINK("http://www.twitter.com/nycoem/status/525466672992616448", "525466672992616448")</f>
        <v>0</v>
      </c>
      <c r="B2902" s="2">
        <v>41936.0832407407</v>
      </c>
      <c r="C2902">
        <v>0</v>
      </c>
      <c r="D2902">
        <v>29</v>
      </c>
      <c r="E2902" t="s">
        <v>2893</v>
      </c>
    </row>
    <row r="2903" spans="1:5">
      <c r="A2903">
        <f>HYPERLINK("http://www.twitter.com/nycoem/status/525466191566221312", "525466191566221312")</f>
        <v>0</v>
      </c>
      <c r="B2903" s="2">
        <v>41936.0819097222</v>
      </c>
      <c r="C2903">
        <v>0</v>
      </c>
      <c r="D2903">
        <v>12</v>
      </c>
      <c r="E2903" t="s">
        <v>2894</v>
      </c>
    </row>
    <row r="2904" spans="1:5">
      <c r="A2904">
        <f>HYPERLINK("http://www.twitter.com/nycoem/status/525465732587737089", "525465732587737089")</f>
        <v>0</v>
      </c>
      <c r="B2904" s="2">
        <v>41936.0806481481</v>
      </c>
      <c r="C2904">
        <v>0</v>
      </c>
      <c r="D2904">
        <v>47</v>
      </c>
      <c r="E2904" t="s">
        <v>2895</v>
      </c>
    </row>
    <row r="2905" spans="1:5">
      <c r="A2905">
        <f>HYPERLINK("http://www.twitter.com/nycoem/status/525465402667970560", "525465402667970560")</f>
        <v>0</v>
      </c>
      <c r="B2905" s="2">
        <v>41936.0797337963</v>
      </c>
      <c r="C2905">
        <v>0</v>
      </c>
      <c r="D2905">
        <v>28</v>
      </c>
      <c r="E2905" t="s">
        <v>2896</v>
      </c>
    </row>
    <row r="2906" spans="1:5">
      <c r="A2906">
        <f>HYPERLINK("http://www.twitter.com/nycoem/status/525465057988456448", "525465057988456448")</f>
        <v>0</v>
      </c>
      <c r="B2906" s="2">
        <v>41936.0787847222</v>
      </c>
      <c r="C2906">
        <v>0</v>
      </c>
      <c r="D2906">
        <v>50</v>
      </c>
      <c r="E2906" t="s">
        <v>2897</v>
      </c>
    </row>
    <row r="2907" spans="1:5">
      <c r="A2907">
        <f>HYPERLINK("http://www.twitter.com/nycoem/status/525464930708103169", "525464930708103169")</f>
        <v>0</v>
      </c>
      <c r="B2907" s="2">
        <v>41936.0784259259</v>
      </c>
      <c r="C2907">
        <v>0</v>
      </c>
      <c r="D2907">
        <v>114</v>
      </c>
      <c r="E2907" t="s">
        <v>2898</v>
      </c>
    </row>
    <row r="2908" spans="1:5">
      <c r="A2908">
        <f>HYPERLINK("http://www.twitter.com/nycoem/status/525464550037278720", "525464550037278720")</f>
        <v>0</v>
      </c>
      <c r="B2908" s="2">
        <v>41936.0773842593</v>
      </c>
      <c r="C2908">
        <v>0</v>
      </c>
      <c r="D2908">
        <v>49</v>
      </c>
      <c r="E2908" t="s">
        <v>2899</v>
      </c>
    </row>
    <row r="2909" spans="1:5">
      <c r="A2909">
        <f>HYPERLINK("http://www.twitter.com/nycoem/status/525464448346378241", "525464448346378241")</f>
        <v>0</v>
      </c>
      <c r="B2909" s="2">
        <v>41936.0770949074</v>
      </c>
      <c r="C2909">
        <v>0</v>
      </c>
      <c r="D2909">
        <v>56</v>
      </c>
      <c r="E2909" t="s">
        <v>2900</v>
      </c>
    </row>
    <row r="2910" spans="1:5">
      <c r="A2910">
        <f>HYPERLINK("http://www.twitter.com/nycoem/status/525464336060649473", "525464336060649473")</f>
        <v>0</v>
      </c>
      <c r="B2910" s="2">
        <v>41936.0767939815</v>
      </c>
      <c r="C2910">
        <v>0</v>
      </c>
      <c r="D2910">
        <v>52</v>
      </c>
      <c r="E2910" t="s">
        <v>2901</v>
      </c>
    </row>
    <row r="2911" spans="1:5">
      <c r="A2911">
        <f>HYPERLINK("http://www.twitter.com/nycoem/status/525464318901760000", "525464318901760000")</f>
        <v>0</v>
      </c>
      <c r="B2911" s="2">
        <v>41936.0767361111</v>
      </c>
      <c r="C2911">
        <v>0</v>
      </c>
      <c r="D2911">
        <v>39</v>
      </c>
      <c r="E2911" t="s">
        <v>2902</v>
      </c>
    </row>
    <row r="2912" spans="1:5">
      <c r="A2912">
        <f>HYPERLINK("http://www.twitter.com/nycoem/status/525464306708930560", "525464306708930560")</f>
        <v>0</v>
      </c>
      <c r="B2912" s="2">
        <v>41936.076712963</v>
      </c>
      <c r="C2912">
        <v>0</v>
      </c>
      <c r="D2912">
        <v>59</v>
      </c>
      <c r="E2912" t="s">
        <v>2903</v>
      </c>
    </row>
    <row r="2913" spans="1:5">
      <c r="A2913">
        <f>HYPERLINK("http://www.twitter.com/nycoem/status/525463916219215873", "525463916219215873")</f>
        <v>0</v>
      </c>
      <c r="B2913" s="2">
        <v>41936.075625</v>
      </c>
      <c r="C2913">
        <v>0</v>
      </c>
      <c r="D2913">
        <v>57</v>
      </c>
      <c r="E2913" t="s">
        <v>2904</v>
      </c>
    </row>
    <row r="2914" spans="1:5">
      <c r="A2914">
        <f>HYPERLINK("http://www.twitter.com/nycoem/status/525457866518724608", "525457866518724608")</f>
        <v>0</v>
      </c>
      <c r="B2914" s="2">
        <v>41936.0589351852</v>
      </c>
      <c r="C2914">
        <v>0</v>
      </c>
      <c r="D2914">
        <v>6</v>
      </c>
      <c r="E2914" t="s">
        <v>2905</v>
      </c>
    </row>
    <row r="2915" spans="1:5">
      <c r="A2915">
        <f>HYPERLINK("http://www.twitter.com/nycoem/status/525451141774315521", "525451141774315521")</f>
        <v>0</v>
      </c>
      <c r="B2915" s="2">
        <v>41936.0403819444</v>
      </c>
      <c r="C2915">
        <v>0</v>
      </c>
      <c r="D2915">
        <v>4</v>
      </c>
      <c r="E2915" t="s">
        <v>2906</v>
      </c>
    </row>
    <row r="2916" spans="1:5">
      <c r="A2916">
        <f>HYPERLINK("http://www.twitter.com/nycoem/status/525420776309403648", "525420776309403648")</f>
        <v>0</v>
      </c>
      <c r="B2916" s="2">
        <v>41935.9565856481</v>
      </c>
      <c r="C2916">
        <v>0</v>
      </c>
      <c r="D2916">
        <v>0</v>
      </c>
      <c r="E2916" t="s">
        <v>2907</v>
      </c>
    </row>
    <row r="2917" spans="1:5">
      <c r="A2917">
        <f>HYPERLINK("http://www.twitter.com/nycoem/status/525420735830175744", "525420735830175744")</f>
        <v>0</v>
      </c>
      <c r="B2917" s="2">
        <v>41935.9564699074</v>
      </c>
      <c r="C2917">
        <v>0</v>
      </c>
      <c r="D2917">
        <v>0</v>
      </c>
      <c r="E2917" t="s">
        <v>2908</v>
      </c>
    </row>
    <row r="2918" spans="1:5">
      <c r="A2918">
        <f>HYPERLINK("http://www.twitter.com/nycoem/status/525420672768802816", "525420672768802816")</f>
        <v>0</v>
      </c>
      <c r="B2918" s="2">
        <v>41935.9562962963</v>
      </c>
      <c r="C2918">
        <v>0</v>
      </c>
      <c r="D2918">
        <v>0</v>
      </c>
      <c r="E2918" t="s">
        <v>2909</v>
      </c>
    </row>
    <row r="2919" spans="1:5">
      <c r="A2919">
        <f>HYPERLINK("http://www.twitter.com/nycoem/status/525420563771428865", "525420563771428865")</f>
        <v>0</v>
      </c>
      <c r="B2919" s="2">
        <v>41935.9559953704</v>
      </c>
      <c r="C2919">
        <v>0</v>
      </c>
      <c r="D2919">
        <v>0</v>
      </c>
      <c r="E2919" t="s">
        <v>2910</v>
      </c>
    </row>
    <row r="2920" spans="1:5">
      <c r="A2920">
        <f>HYPERLINK("http://www.twitter.com/nycoem/status/525420269633306624", "525420269633306624")</f>
        <v>0</v>
      </c>
      <c r="B2920" s="2">
        <v>41935.9551851852</v>
      </c>
      <c r="C2920">
        <v>0</v>
      </c>
      <c r="D2920">
        <v>3</v>
      </c>
      <c r="E2920" t="s">
        <v>2911</v>
      </c>
    </row>
    <row r="2921" spans="1:5">
      <c r="A2921">
        <f>HYPERLINK("http://www.twitter.com/nycoem/status/525416002612633600", "525416002612633600")</f>
        <v>0</v>
      </c>
      <c r="B2921" s="2">
        <v>41935.9434143519</v>
      </c>
      <c r="C2921">
        <v>0</v>
      </c>
      <c r="D2921">
        <v>16</v>
      </c>
      <c r="E2921" t="s">
        <v>2912</v>
      </c>
    </row>
    <row r="2922" spans="1:5">
      <c r="A2922">
        <f>HYPERLINK("http://www.twitter.com/nycoem/status/525415991594201089", "525415991594201089")</f>
        <v>0</v>
      </c>
      <c r="B2922" s="2">
        <v>41935.9433796296</v>
      </c>
      <c r="C2922">
        <v>0</v>
      </c>
      <c r="D2922">
        <v>8</v>
      </c>
      <c r="E2922" t="s">
        <v>2913</v>
      </c>
    </row>
    <row r="2923" spans="1:5">
      <c r="A2923">
        <f>HYPERLINK("http://www.twitter.com/nycoem/status/525415981825662977", "525415981825662977")</f>
        <v>0</v>
      </c>
      <c r="B2923" s="2">
        <v>41935.9433564815</v>
      </c>
      <c r="C2923">
        <v>0</v>
      </c>
      <c r="D2923">
        <v>11</v>
      </c>
      <c r="E2923" t="s">
        <v>2914</v>
      </c>
    </row>
    <row r="2924" spans="1:5">
      <c r="A2924">
        <f>HYPERLINK("http://www.twitter.com/nycoem/status/525415971818053632", "525415971818053632")</f>
        <v>0</v>
      </c>
      <c r="B2924" s="2">
        <v>41935.9433333333</v>
      </c>
      <c r="C2924">
        <v>0</v>
      </c>
      <c r="D2924">
        <v>12</v>
      </c>
      <c r="E2924" t="s">
        <v>2915</v>
      </c>
    </row>
    <row r="2925" spans="1:5">
      <c r="A2925">
        <f>HYPERLINK("http://www.twitter.com/nycoem/status/525415946782248961", "525415946782248961")</f>
        <v>0</v>
      </c>
      <c r="B2925" s="2">
        <v>41935.9432638889</v>
      </c>
      <c r="C2925">
        <v>0</v>
      </c>
      <c r="D2925">
        <v>11</v>
      </c>
      <c r="E2925" t="s">
        <v>2916</v>
      </c>
    </row>
    <row r="2926" spans="1:5">
      <c r="A2926">
        <f>HYPERLINK("http://www.twitter.com/nycoem/status/525415306018451456", "525415306018451456")</f>
        <v>0</v>
      </c>
      <c r="B2926" s="2">
        <v>41935.9414930556</v>
      </c>
      <c r="C2926">
        <v>0</v>
      </c>
      <c r="D2926">
        <v>3</v>
      </c>
      <c r="E2926" t="s">
        <v>2917</v>
      </c>
    </row>
    <row r="2927" spans="1:5">
      <c r="A2927">
        <f>HYPERLINK("http://www.twitter.com/nycoem/status/525400339890315266", "525400339890315266")</f>
        <v>0</v>
      </c>
      <c r="B2927" s="2">
        <v>41935.9001967593</v>
      </c>
      <c r="C2927">
        <v>1</v>
      </c>
      <c r="D2927">
        <v>3</v>
      </c>
      <c r="E2927" t="s">
        <v>2918</v>
      </c>
    </row>
    <row r="2928" spans="1:5">
      <c r="A2928">
        <f>HYPERLINK("http://www.twitter.com/nycoem/status/525400300761677829", "525400300761677829")</f>
        <v>0</v>
      </c>
      <c r="B2928" s="2">
        <v>41935.9000810185</v>
      </c>
      <c r="C2928">
        <v>0</v>
      </c>
      <c r="D2928">
        <v>2</v>
      </c>
      <c r="E2928" t="s">
        <v>2919</v>
      </c>
    </row>
    <row r="2929" spans="1:5">
      <c r="A2929">
        <f>HYPERLINK("http://www.twitter.com/nycoem/status/525384257209118723", "525384257209118723")</f>
        <v>0</v>
      </c>
      <c r="B2929" s="2">
        <v>41935.8558101852</v>
      </c>
      <c r="C2929">
        <v>0</v>
      </c>
      <c r="D2929">
        <v>7</v>
      </c>
      <c r="E2929" t="s">
        <v>2920</v>
      </c>
    </row>
    <row r="2930" spans="1:5">
      <c r="A2930">
        <f>HYPERLINK("http://www.twitter.com/nycoem/status/525378555111542785", "525378555111542785")</f>
        <v>0</v>
      </c>
      <c r="B2930" s="2">
        <v>41935.8400810185</v>
      </c>
      <c r="C2930">
        <v>0</v>
      </c>
      <c r="D2930">
        <v>4</v>
      </c>
      <c r="E2930" t="s">
        <v>2921</v>
      </c>
    </row>
    <row r="2931" spans="1:5">
      <c r="A2931">
        <f>HYPERLINK("http://www.twitter.com/nycoem/status/525377418740387840", "525377418740387840")</f>
        <v>0</v>
      </c>
      <c r="B2931" s="2">
        <v>41935.8369444444</v>
      </c>
      <c r="C2931">
        <v>0</v>
      </c>
      <c r="D2931">
        <v>1</v>
      </c>
      <c r="E2931" t="s">
        <v>2922</v>
      </c>
    </row>
    <row r="2932" spans="1:5">
      <c r="A2932">
        <f>HYPERLINK("http://www.twitter.com/nycoem/status/525377315212369921", "525377315212369921")</f>
        <v>0</v>
      </c>
      <c r="B2932" s="2">
        <v>41935.8366550926</v>
      </c>
      <c r="C2932">
        <v>0</v>
      </c>
      <c r="D2932">
        <v>0</v>
      </c>
      <c r="E2932" t="s">
        <v>2923</v>
      </c>
    </row>
    <row r="2933" spans="1:5">
      <c r="A2933">
        <f>HYPERLINK("http://www.twitter.com/nycoem/status/525376646971686912", "525376646971686912")</f>
        <v>0</v>
      </c>
      <c r="B2933" s="2">
        <v>41935.8348148148</v>
      </c>
      <c r="C2933">
        <v>0</v>
      </c>
      <c r="D2933">
        <v>0</v>
      </c>
      <c r="E2933" t="s">
        <v>2924</v>
      </c>
    </row>
    <row r="2934" spans="1:5">
      <c r="A2934">
        <f>HYPERLINK("http://www.twitter.com/nycoem/status/525375467323682816", "525375467323682816")</f>
        <v>0</v>
      </c>
      <c r="B2934" s="2">
        <v>41935.8315625</v>
      </c>
      <c r="C2934">
        <v>1</v>
      </c>
      <c r="D2934">
        <v>0</v>
      </c>
      <c r="E2934" t="s">
        <v>2925</v>
      </c>
    </row>
    <row r="2935" spans="1:5">
      <c r="A2935">
        <f>HYPERLINK("http://www.twitter.com/nycoem/status/525375408938975233", "525375408938975233")</f>
        <v>0</v>
      </c>
      <c r="B2935" s="2">
        <v>41935.831400463</v>
      </c>
      <c r="C2935">
        <v>0</v>
      </c>
      <c r="D2935">
        <v>0</v>
      </c>
      <c r="E2935" t="s">
        <v>2926</v>
      </c>
    </row>
    <row r="2936" spans="1:5">
      <c r="A2936">
        <f>HYPERLINK("http://www.twitter.com/nycoem/status/525375336662728705", "525375336662728705")</f>
        <v>0</v>
      </c>
      <c r="B2936" s="2">
        <v>41935.8311921296</v>
      </c>
      <c r="C2936">
        <v>0</v>
      </c>
      <c r="D2936">
        <v>0</v>
      </c>
      <c r="E2936" t="s">
        <v>2927</v>
      </c>
    </row>
    <row r="2937" spans="1:5">
      <c r="A2937">
        <f>HYPERLINK("http://www.twitter.com/nycoem/status/525373059138863104", "525373059138863104")</f>
        <v>0</v>
      </c>
      <c r="B2937" s="2">
        <v>41935.8249074074</v>
      </c>
      <c r="C2937">
        <v>0</v>
      </c>
      <c r="D2937">
        <v>6</v>
      </c>
      <c r="E2937" t="s">
        <v>2928</v>
      </c>
    </row>
    <row r="2938" spans="1:5">
      <c r="A2938">
        <f>HYPERLINK("http://www.twitter.com/nycoem/status/525372140363984897", "525372140363984897")</f>
        <v>0</v>
      </c>
      <c r="B2938" s="2">
        <v>41935.8223726852</v>
      </c>
      <c r="C2938">
        <v>1</v>
      </c>
      <c r="D2938">
        <v>4</v>
      </c>
      <c r="E2938" t="s">
        <v>2929</v>
      </c>
    </row>
    <row r="2939" spans="1:5">
      <c r="A2939">
        <f>HYPERLINK("http://www.twitter.com/nycoem/status/525371087631450112", "525371087631450112")</f>
        <v>0</v>
      </c>
      <c r="B2939" s="2">
        <v>41935.8194675926</v>
      </c>
      <c r="C2939">
        <v>0</v>
      </c>
      <c r="D2939">
        <v>6</v>
      </c>
      <c r="E2939" t="s">
        <v>2930</v>
      </c>
    </row>
    <row r="2940" spans="1:5">
      <c r="A2940">
        <f>HYPERLINK("http://www.twitter.com/nycoem/status/525313243137720320", "525313243137720320")</f>
        <v>0</v>
      </c>
      <c r="B2940" s="2">
        <v>41935.659849537</v>
      </c>
      <c r="C2940">
        <v>4</v>
      </c>
      <c r="D2940">
        <v>4</v>
      </c>
      <c r="E2940" t="s">
        <v>2931</v>
      </c>
    </row>
    <row r="2941" spans="1:5">
      <c r="A2941">
        <f>HYPERLINK("http://www.twitter.com/nycoem/status/525301797079220224", "525301797079220224")</f>
        <v>0</v>
      </c>
      <c r="B2941" s="2">
        <v>41935.6282638889</v>
      </c>
      <c r="C2941">
        <v>4</v>
      </c>
      <c r="D2941">
        <v>10</v>
      </c>
      <c r="E2941" t="s">
        <v>2932</v>
      </c>
    </row>
    <row r="2942" spans="1:5">
      <c r="A2942">
        <f>HYPERLINK("http://www.twitter.com/nycoem/status/524955909903368192", "524955909903368192")</f>
        <v>0</v>
      </c>
      <c r="B2942" s="2">
        <v>41934.6737962963</v>
      </c>
      <c r="C2942">
        <v>1</v>
      </c>
      <c r="D2942">
        <v>3</v>
      </c>
      <c r="E2942" t="s">
        <v>2933</v>
      </c>
    </row>
    <row r="2943" spans="1:5">
      <c r="A2943">
        <f>HYPERLINK("http://www.twitter.com/nycoem/status/524927030572613634", "524927030572613634")</f>
        <v>0</v>
      </c>
      <c r="B2943" s="2">
        <v>41934.5941087963</v>
      </c>
      <c r="C2943">
        <v>2</v>
      </c>
      <c r="D2943">
        <v>5</v>
      </c>
      <c r="E2943" t="s">
        <v>2934</v>
      </c>
    </row>
    <row r="2944" spans="1:5">
      <c r="A2944">
        <f>HYPERLINK("http://www.twitter.com/nycoem/status/524923970945310720", "524923970945310720")</f>
        <v>0</v>
      </c>
      <c r="B2944" s="2">
        <v>41934.5856597222</v>
      </c>
      <c r="C2944">
        <v>0</v>
      </c>
      <c r="D2944">
        <v>0</v>
      </c>
      <c r="E2944" t="s">
        <v>2935</v>
      </c>
    </row>
    <row r="2945" spans="1:5">
      <c r="A2945">
        <f>HYPERLINK("http://www.twitter.com/nycoem/status/524922798482153473", "524922798482153473")</f>
        <v>0</v>
      </c>
      <c r="B2945" s="2">
        <v>41934.5824305556</v>
      </c>
      <c r="C2945">
        <v>0</v>
      </c>
      <c r="D2945">
        <v>1</v>
      </c>
      <c r="E2945" t="s">
        <v>2936</v>
      </c>
    </row>
    <row r="2946" spans="1:5">
      <c r="A2946">
        <f>HYPERLINK("http://www.twitter.com/nycoem/status/524639062217728000", "524639062217728000")</f>
        <v>0</v>
      </c>
      <c r="B2946" s="2">
        <v>41933.7994675926</v>
      </c>
      <c r="C2946">
        <v>1</v>
      </c>
      <c r="D2946">
        <v>4</v>
      </c>
      <c r="E2946" t="s">
        <v>2937</v>
      </c>
    </row>
    <row r="2947" spans="1:5">
      <c r="A2947">
        <f>HYPERLINK("http://www.twitter.com/nycoem/status/524634429709635585", "524634429709635585")</f>
        <v>0</v>
      </c>
      <c r="B2947" s="2">
        <v>41933.7866782407</v>
      </c>
      <c r="C2947">
        <v>0</v>
      </c>
      <c r="D2947">
        <v>2</v>
      </c>
      <c r="E2947" t="s">
        <v>2938</v>
      </c>
    </row>
    <row r="2948" spans="1:5">
      <c r="A2948">
        <f>HYPERLINK("http://www.twitter.com/nycoem/status/524555773016559616", "524555773016559616")</f>
        <v>0</v>
      </c>
      <c r="B2948" s="2">
        <v>41933.5696296296</v>
      </c>
      <c r="C2948">
        <v>1</v>
      </c>
      <c r="D2948">
        <v>5</v>
      </c>
      <c r="E2948" t="s">
        <v>2939</v>
      </c>
    </row>
    <row r="2949" spans="1:5">
      <c r="A2949">
        <f>HYPERLINK("http://www.twitter.com/nycoem/status/524315493700616193", "524315493700616193")</f>
        <v>0</v>
      </c>
      <c r="B2949" s="2">
        <v>41932.9065856481</v>
      </c>
      <c r="C2949">
        <v>1</v>
      </c>
      <c r="D2949">
        <v>1</v>
      </c>
      <c r="E2949" t="s">
        <v>2940</v>
      </c>
    </row>
    <row r="2950" spans="1:5">
      <c r="A2950">
        <f>HYPERLINK("http://www.twitter.com/nycoem/status/524291521646845954", "524291521646845954")</f>
        <v>0</v>
      </c>
      <c r="B2950" s="2">
        <v>41932.8404398148</v>
      </c>
      <c r="C2950">
        <v>0</v>
      </c>
      <c r="D2950">
        <v>4</v>
      </c>
      <c r="E2950" t="s">
        <v>2941</v>
      </c>
    </row>
    <row r="2951" spans="1:5">
      <c r="A2951">
        <f>HYPERLINK("http://www.twitter.com/nycoem/status/524290351071117313", "524290351071117313")</f>
        <v>0</v>
      </c>
      <c r="B2951" s="2">
        <v>41932.8372106481</v>
      </c>
      <c r="C2951">
        <v>0</v>
      </c>
      <c r="D2951">
        <v>2</v>
      </c>
      <c r="E2951" t="s">
        <v>2942</v>
      </c>
    </row>
    <row r="2952" spans="1:5">
      <c r="A2952">
        <f>HYPERLINK("http://www.twitter.com/nycoem/status/524259048162488320", "524259048162488320")</f>
        <v>0</v>
      </c>
      <c r="B2952" s="2">
        <v>41932.7508333333</v>
      </c>
      <c r="C2952">
        <v>5</v>
      </c>
      <c r="D2952">
        <v>5</v>
      </c>
      <c r="E2952" t="s">
        <v>2943</v>
      </c>
    </row>
    <row r="2953" spans="1:5">
      <c r="A2953">
        <f>HYPERLINK("http://www.twitter.com/nycoem/status/524229978540736512", "524229978540736512")</f>
        <v>0</v>
      </c>
      <c r="B2953" s="2">
        <v>41932.6706134259</v>
      </c>
      <c r="C2953">
        <v>16</v>
      </c>
      <c r="D2953">
        <v>35</v>
      </c>
      <c r="E2953" t="s">
        <v>2944</v>
      </c>
    </row>
    <row r="2954" spans="1:5">
      <c r="A2954">
        <f>HYPERLINK("http://www.twitter.com/nycoem/status/524187140713103361", "524187140713103361")</f>
        <v>0</v>
      </c>
      <c r="B2954" s="2">
        <v>41932.5523958333</v>
      </c>
      <c r="C2954">
        <v>0</v>
      </c>
      <c r="D2954">
        <v>61</v>
      </c>
      <c r="E2954" t="s">
        <v>2945</v>
      </c>
    </row>
    <row r="2955" spans="1:5">
      <c r="A2955">
        <f>HYPERLINK("http://www.twitter.com/nycoem/status/524182134391840768", "524182134391840768")</f>
        <v>0</v>
      </c>
      <c r="B2955" s="2">
        <v>41932.538587963</v>
      </c>
      <c r="C2955">
        <v>1</v>
      </c>
      <c r="D2955">
        <v>1</v>
      </c>
      <c r="E2955" t="s">
        <v>2946</v>
      </c>
    </row>
    <row r="2956" spans="1:5">
      <c r="A2956">
        <f>HYPERLINK("http://www.twitter.com/nycoem/status/523877886244421633", "523877886244421633")</f>
        <v>0</v>
      </c>
      <c r="B2956" s="2">
        <v>41931.6990162037</v>
      </c>
      <c r="C2956">
        <v>4</v>
      </c>
      <c r="D2956">
        <v>4</v>
      </c>
      <c r="E2956" t="s">
        <v>2947</v>
      </c>
    </row>
    <row r="2957" spans="1:5">
      <c r="A2957">
        <f>HYPERLINK("http://www.twitter.com/nycoem/status/523877593208983554", "523877593208983554")</f>
        <v>0</v>
      </c>
      <c r="B2957" s="2">
        <v>41931.6982175926</v>
      </c>
      <c r="C2957">
        <v>0</v>
      </c>
      <c r="D2957">
        <v>0</v>
      </c>
      <c r="E2957" t="s">
        <v>2948</v>
      </c>
    </row>
    <row r="2958" spans="1:5">
      <c r="A2958">
        <f>HYPERLINK("http://www.twitter.com/nycoem/status/523185576074551296", "523185576074551296")</f>
        <v>0</v>
      </c>
      <c r="B2958" s="2">
        <v>41929.7886111111</v>
      </c>
      <c r="C2958">
        <v>0</v>
      </c>
      <c r="D2958">
        <v>1</v>
      </c>
      <c r="E2958" t="s">
        <v>2949</v>
      </c>
    </row>
    <row r="2959" spans="1:5">
      <c r="A2959">
        <f>HYPERLINK("http://www.twitter.com/nycoem/status/523170269457047552", "523170269457047552")</f>
        <v>0</v>
      </c>
      <c r="B2959" s="2">
        <v>41929.7463657407</v>
      </c>
      <c r="C2959">
        <v>2</v>
      </c>
      <c r="D2959">
        <v>3</v>
      </c>
      <c r="E2959" t="s">
        <v>2950</v>
      </c>
    </row>
    <row r="2960" spans="1:5">
      <c r="A2960">
        <f>HYPERLINK("http://www.twitter.com/nycoem/status/523170108156706816", "523170108156706816")</f>
        <v>0</v>
      </c>
      <c r="B2960" s="2">
        <v>41929.7459259259</v>
      </c>
      <c r="C2960">
        <v>2</v>
      </c>
      <c r="D2960">
        <v>3</v>
      </c>
      <c r="E2960" t="s">
        <v>2951</v>
      </c>
    </row>
    <row r="2961" spans="1:5">
      <c r="A2961">
        <f>HYPERLINK("http://www.twitter.com/nycoem/status/523100276170178560", "523100276170178560")</f>
        <v>0</v>
      </c>
      <c r="B2961" s="2">
        <v>41929.5532291667</v>
      </c>
      <c r="C2961">
        <v>1</v>
      </c>
      <c r="D2961">
        <v>1</v>
      </c>
      <c r="E2961" t="s">
        <v>2952</v>
      </c>
    </row>
    <row r="2962" spans="1:5">
      <c r="A2962">
        <f>HYPERLINK("http://www.twitter.com/nycoem/status/523098716119764992", "523098716119764992")</f>
        <v>0</v>
      </c>
      <c r="B2962" s="2">
        <v>41929.5489236111</v>
      </c>
      <c r="C2962">
        <v>2</v>
      </c>
      <c r="D2962">
        <v>3</v>
      </c>
      <c r="E2962" t="s">
        <v>2953</v>
      </c>
    </row>
    <row r="2963" spans="1:5">
      <c r="A2963">
        <f>HYPERLINK("http://www.twitter.com/nycoem/status/522775716442935296", "522775716442935296")</f>
        <v>0</v>
      </c>
      <c r="B2963" s="2">
        <v>41928.6576157407</v>
      </c>
      <c r="C2963">
        <v>1</v>
      </c>
      <c r="D2963">
        <v>2</v>
      </c>
      <c r="E2963" t="s">
        <v>2954</v>
      </c>
    </row>
    <row r="2964" spans="1:5">
      <c r="A2964">
        <f>HYPERLINK("http://www.twitter.com/nycoem/status/522760037744508929", "522760037744508929")</f>
        <v>0</v>
      </c>
      <c r="B2964" s="2">
        <v>41928.6143518519</v>
      </c>
      <c r="C2964">
        <v>2</v>
      </c>
      <c r="D2964">
        <v>14</v>
      </c>
      <c r="E2964" t="s">
        <v>2955</v>
      </c>
    </row>
    <row r="2965" spans="1:5">
      <c r="A2965">
        <f>HYPERLINK("http://www.twitter.com/nycoem/status/522734569234399234", "522734569234399234")</f>
        <v>0</v>
      </c>
      <c r="B2965" s="2">
        <v>41928.5440625</v>
      </c>
      <c r="C2965">
        <v>0</v>
      </c>
      <c r="D2965">
        <v>11</v>
      </c>
      <c r="E2965" t="s">
        <v>2956</v>
      </c>
    </row>
    <row r="2966" spans="1:5">
      <c r="A2966">
        <f>HYPERLINK("http://www.twitter.com/nycoem/status/522436374264573952", "522436374264573952")</f>
        <v>0</v>
      </c>
      <c r="B2966" s="2">
        <v>41927.7212037037</v>
      </c>
      <c r="C2966">
        <v>1</v>
      </c>
      <c r="D2966">
        <v>2</v>
      </c>
      <c r="E2966" t="s">
        <v>2957</v>
      </c>
    </row>
    <row r="2967" spans="1:5">
      <c r="A2967">
        <f>HYPERLINK("http://www.twitter.com/nycoem/status/522436281746591744", "522436281746591744")</f>
        <v>0</v>
      </c>
      <c r="B2967" s="2">
        <v>41927.7209490741</v>
      </c>
      <c r="C2967">
        <v>0</v>
      </c>
      <c r="D2967">
        <v>4</v>
      </c>
      <c r="E2967" t="s">
        <v>2958</v>
      </c>
    </row>
    <row r="2968" spans="1:5">
      <c r="A2968">
        <f>HYPERLINK("http://www.twitter.com/nycoem/status/522436228101439488", "522436228101439488")</f>
        <v>0</v>
      </c>
      <c r="B2968" s="2">
        <v>41927.7207986111</v>
      </c>
      <c r="C2968">
        <v>1</v>
      </c>
      <c r="D2968">
        <v>7</v>
      </c>
      <c r="E2968" t="s">
        <v>2959</v>
      </c>
    </row>
    <row r="2969" spans="1:5">
      <c r="A2969">
        <f>HYPERLINK("http://www.twitter.com/nycoem/status/522420559955898368", "522420559955898368")</f>
        <v>0</v>
      </c>
      <c r="B2969" s="2">
        <v>41927.6775694444</v>
      </c>
      <c r="C2969">
        <v>2</v>
      </c>
      <c r="D2969">
        <v>3</v>
      </c>
      <c r="E2969" t="s">
        <v>2960</v>
      </c>
    </row>
    <row r="2970" spans="1:5">
      <c r="A2970">
        <f>HYPERLINK("http://www.twitter.com/nycoem/status/522394716189782017", "522394716189782017")</f>
        <v>0</v>
      </c>
      <c r="B2970" s="2">
        <v>41927.60625</v>
      </c>
      <c r="C2970">
        <v>0</v>
      </c>
      <c r="D2970">
        <v>367</v>
      </c>
      <c r="E2970" t="s">
        <v>2961</v>
      </c>
    </row>
    <row r="2971" spans="1:5">
      <c r="A2971">
        <f>HYPERLINK("http://www.twitter.com/nycoem/status/522372634634620928", "522372634634620928")</f>
        <v>0</v>
      </c>
      <c r="B2971" s="2">
        <v>41927.5453125</v>
      </c>
      <c r="C2971">
        <v>0</v>
      </c>
      <c r="D2971">
        <v>1</v>
      </c>
      <c r="E2971" t="s">
        <v>2962</v>
      </c>
    </row>
    <row r="2972" spans="1:5">
      <c r="A2972">
        <f>HYPERLINK("http://www.twitter.com/nycoem/status/522122425212100609", "522122425212100609")</f>
        <v>0</v>
      </c>
      <c r="B2972" s="2">
        <v>41926.8548726852</v>
      </c>
      <c r="C2972">
        <v>0</v>
      </c>
      <c r="D2972">
        <v>2</v>
      </c>
      <c r="E2972" t="s">
        <v>2963</v>
      </c>
    </row>
    <row r="2973" spans="1:5">
      <c r="A2973">
        <f>HYPERLINK("http://www.twitter.com/nycoem/status/522100881832288256", "522100881832288256")</f>
        <v>0</v>
      </c>
      <c r="B2973" s="2">
        <v>41926.7954282407</v>
      </c>
      <c r="C2973">
        <v>0</v>
      </c>
      <c r="D2973">
        <v>4</v>
      </c>
      <c r="E2973" t="s">
        <v>2964</v>
      </c>
    </row>
    <row r="2974" spans="1:5">
      <c r="A2974">
        <f>HYPERLINK("http://www.twitter.com/nycoem/status/522053004342853632", "522053004342853632")</f>
        <v>0</v>
      </c>
      <c r="B2974" s="2">
        <v>41926.6633101852</v>
      </c>
      <c r="C2974">
        <v>3</v>
      </c>
      <c r="D2974">
        <v>1</v>
      </c>
      <c r="E2974" t="s">
        <v>2965</v>
      </c>
    </row>
    <row r="2975" spans="1:5">
      <c r="A2975">
        <f>HYPERLINK("http://www.twitter.com/nycoem/status/520648753926389760", "520648753926389760")</f>
        <v>0</v>
      </c>
      <c r="B2975" s="2">
        <v>41922.7883101852</v>
      </c>
      <c r="C2975">
        <v>3</v>
      </c>
      <c r="D2975">
        <v>9</v>
      </c>
      <c r="E2975" t="s">
        <v>2966</v>
      </c>
    </row>
    <row r="2976" spans="1:5">
      <c r="A2976">
        <f>HYPERLINK("http://www.twitter.com/nycoem/status/520607245307248641", "520607245307248641")</f>
        <v>0</v>
      </c>
      <c r="B2976" s="2">
        <v>41922.6737731481</v>
      </c>
      <c r="C2976">
        <v>1</v>
      </c>
      <c r="D2976">
        <v>0</v>
      </c>
      <c r="E2976" t="s">
        <v>2967</v>
      </c>
    </row>
    <row r="2977" spans="1:5">
      <c r="A2977">
        <f>HYPERLINK("http://www.twitter.com/nycoem/status/520580427741138944", "520580427741138944")</f>
        <v>0</v>
      </c>
      <c r="B2977" s="2">
        <v>41922.5997685185</v>
      </c>
      <c r="C2977">
        <v>0</v>
      </c>
      <c r="D2977">
        <v>2</v>
      </c>
      <c r="E2977" t="s">
        <v>2968</v>
      </c>
    </row>
    <row r="2978" spans="1:5">
      <c r="A2978">
        <f>HYPERLINK("http://www.twitter.com/nycoem/status/520290190926311425", "520290190926311425")</f>
        <v>0</v>
      </c>
      <c r="B2978" s="2">
        <v>41921.7988657407</v>
      </c>
      <c r="C2978">
        <v>0</v>
      </c>
      <c r="D2978">
        <v>3</v>
      </c>
      <c r="E2978" t="s">
        <v>2969</v>
      </c>
    </row>
    <row r="2979" spans="1:5">
      <c r="A2979">
        <f>HYPERLINK("http://www.twitter.com/nycoem/status/520238670729986050", "520238670729986050")</f>
        <v>0</v>
      </c>
      <c r="B2979" s="2">
        <v>41921.6567013889</v>
      </c>
      <c r="C2979">
        <v>1</v>
      </c>
      <c r="D2979">
        <v>2</v>
      </c>
      <c r="E2979" t="s">
        <v>2970</v>
      </c>
    </row>
    <row r="2980" spans="1:5">
      <c r="A2980">
        <f>HYPERLINK("http://www.twitter.com/nycoem/status/520011990358847488", "520011990358847488")</f>
        <v>0</v>
      </c>
      <c r="B2980" s="2">
        <v>41921.0311805556</v>
      </c>
      <c r="C2980">
        <v>0</v>
      </c>
      <c r="D2980">
        <v>10</v>
      </c>
      <c r="E2980" t="s">
        <v>2971</v>
      </c>
    </row>
    <row r="2981" spans="1:5">
      <c r="A2981">
        <f>HYPERLINK("http://www.twitter.com/nycoem/status/519886089516253184", "519886089516253184")</f>
        <v>0</v>
      </c>
      <c r="B2981" s="2">
        <v>41920.6837615741</v>
      </c>
      <c r="C2981">
        <v>0</v>
      </c>
      <c r="D2981">
        <v>4</v>
      </c>
      <c r="E2981" t="s">
        <v>2972</v>
      </c>
    </row>
    <row r="2982" spans="1:5">
      <c r="A2982">
        <f>HYPERLINK("http://www.twitter.com/nycoem/status/519880363817320448", "519880363817320448")</f>
        <v>0</v>
      </c>
      <c r="B2982" s="2">
        <v>41920.667962963</v>
      </c>
      <c r="C2982">
        <v>2</v>
      </c>
      <c r="D2982">
        <v>6</v>
      </c>
      <c r="E2982" t="s">
        <v>2973</v>
      </c>
    </row>
    <row r="2983" spans="1:5">
      <c r="A2983">
        <f>HYPERLINK("http://www.twitter.com/nycoem/status/519851180231786496", "519851180231786496")</f>
        <v>0</v>
      </c>
      <c r="B2983" s="2">
        <v>41920.5874305556</v>
      </c>
      <c r="C2983">
        <v>2</v>
      </c>
      <c r="D2983">
        <v>0</v>
      </c>
      <c r="E2983" t="s">
        <v>2974</v>
      </c>
    </row>
    <row r="2984" spans="1:5">
      <c r="A2984">
        <f>HYPERLINK("http://www.twitter.com/nycoem/status/519484855558885376", "519484855558885376")</f>
        <v>0</v>
      </c>
      <c r="B2984" s="2">
        <v>41919.5765625</v>
      </c>
      <c r="C2984">
        <v>1</v>
      </c>
      <c r="D2984">
        <v>7</v>
      </c>
      <c r="E2984" t="s">
        <v>2975</v>
      </c>
    </row>
    <row r="2985" spans="1:5">
      <c r="A2985">
        <f>HYPERLINK("http://www.twitter.com/nycoem/status/519470980226617344", "519470980226617344")</f>
        <v>0</v>
      </c>
      <c r="B2985" s="2">
        <v>41919.538275463</v>
      </c>
      <c r="C2985">
        <v>0</v>
      </c>
      <c r="D2985">
        <v>5</v>
      </c>
      <c r="E2985" t="s">
        <v>2976</v>
      </c>
    </row>
    <row r="2986" spans="1:5">
      <c r="A2986">
        <f>HYPERLINK("http://www.twitter.com/nycoem/status/519199424355262464", "519199424355262464")</f>
        <v>0</v>
      </c>
      <c r="B2986" s="2">
        <v>41918.7889236111</v>
      </c>
      <c r="C2986">
        <v>0</v>
      </c>
      <c r="D2986">
        <v>0</v>
      </c>
      <c r="E2986" t="s">
        <v>2977</v>
      </c>
    </row>
    <row r="2987" spans="1:5">
      <c r="A2987">
        <f>HYPERLINK("http://www.twitter.com/nycoem/status/519151494176989184", "519151494176989184")</f>
        <v>0</v>
      </c>
      <c r="B2987" s="2">
        <v>41918.6566666667</v>
      </c>
      <c r="C2987">
        <v>1</v>
      </c>
      <c r="D2987">
        <v>2</v>
      </c>
      <c r="E2987" t="s">
        <v>2978</v>
      </c>
    </row>
    <row r="2988" spans="1:5">
      <c r="A2988">
        <f>HYPERLINK("http://www.twitter.com/nycoem/status/519130332164280320", "519130332164280320")</f>
        <v>0</v>
      </c>
      <c r="B2988" s="2">
        <v>41918.5982638889</v>
      </c>
      <c r="C2988">
        <v>0</v>
      </c>
      <c r="D2988">
        <v>4</v>
      </c>
      <c r="E2988" t="s">
        <v>2979</v>
      </c>
    </row>
    <row r="2989" spans="1:5">
      <c r="A2989">
        <f>HYPERLINK("http://www.twitter.com/nycoem/status/518885916820402178", "518885916820402178")</f>
        <v>0</v>
      </c>
      <c r="B2989" s="2">
        <v>41917.9238078704</v>
      </c>
      <c r="C2989">
        <v>3</v>
      </c>
      <c r="D2989">
        <v>10</v>
      </c>
      <c r="E2989" t="s">
        <v>2980</v>
      </c>
    </row>
    <row r="2990" spans="1:5">
      <c r="A2990">
        <f>HYPERLINK("http://www.twitter.com/nycoem/status/518384309317943299", "518384309317943299")</f>
        <v>0</v>
      </c>
      <c r="B2990" s="2">
        <v>41916.5396412037</v>
      </c>
      <c r="C2990">
        <v>1</v>
      </c>
      <c r="D2990">
        <v>6</v>
      </c>
      <c r="E2990" t="s">
        <v>2981</v>
      </c>
    </row>
    <row r="2991" spans="1:5">
      <c r="A2991">
        <f>HYPERLINK("http://www.twitter.com/nycoem/status/518164178067267584", "518164178067267584")</f>
        <v>0</v>
      </c>
      <c r="B2991" s="2">
        <v>41915.9321875</v>
      </c>
      <c r="C2991">
        <v>0</v>
      </c>
      <c r="D2991">
        <v>2</v>
      </c>
      <c r="E2991" t="s">
        <v>2982</v>
      </c>
    </row>
    <row r="2992" spans="1:5">
      <c r="A2992">
        <f>HYPERLINK("http://www.twitter.com/nycoem/status/518117133273030656", "518117133273030656")</f>
        <v>0</v>
      </c>
      <c r="B2992" s="2">
        <v>41915.8023726852</v>
      </c>
      <c r="C2992">
        <v>1</v>
      </c>
      <c r="D2992">
        <v>2</v>
      </c>
      <c r="E2992" t="s">
        <v>2983</v>
      </c>
    </row>
    <row r="2993" spans="1:5">
      <c r="A2993">
        <f>HYPERLINK("http://www.twitter.com/nycoem/status/518063114416570368", "518063114416570368")</f>
        <v>0</v>
      </c>
      <c r="B2993" s="2">
        <v>41915.6533101852</v>
      </c>
      <c r="C2993">
        <v>1</v>
      </c>
      <c r="D2993">
        <v>7</v>
      </c>
      <c r="E2993" t="s">
        <v>2984</v>
      </c>
    </row>
    <row r="2994" spans="1:5">
      <c r="A2994">
        <f>HYPERLINK("http://www.twitter.com/nycoem/status/517754468105224192", "517754468105224192")</f>
        <v>0</v>
      </c>
      <c r="B2994" s="2">
        <v>41914.8016087963</v>
      </c>
      <c r="C2994">
        <v>1</v>
      </c>
      <c r="D2994">
        <v>3</v>
      </c>
      <c r="E2994" t="s">
        <v>2985</v>
      </c>
    </row>
    <row r="2995" spans="1:5">
      <c r="A2995">
        <f>HYPERLINK("http://www.twitter.com/nycoem/status/517706243260309504", "517706243260309504")</f>
        <v>0</v>
      </c>
      <c r="B2995" s="2">
        <v>41914.6685300926</v>
      </c>
      <c r="C2995">
        <v>0</v>
      </c>
      <c r="D2995">
        <v>0</v>
      </c>
      <c r="E2995" t="s">
        <v>2986</v>
      </c>
    </row>
    <row r="2996" spans="1:5">
      <c r="A2996">
        <f>HYPERLINK("http://www.twitter.com/nycoem/status/517365228015992832", "517365228015992832")</f>
        <v>0</v>
      </c>
      <c r="B2996" s="2">
        <v>41913.7275115741</v>
      </c>
      <c r="C2996">
        <v>0</v>
      </c>
      <c r="D2996">
        <v>0</v>
      </c>
      <c r="E2996" t="s">
        <v>2987</v>
      </c>
    </row>
    <row r="2997" spans="1:5">
      <c r="A2997">
        <f>HYPERLINK("http://www.twitter.com/nycoem/status/517343695902101504", "517343695902101504")</f>
        <v>0</v>
      </c>
      <c r="B2997" s="2">
        <v>41913.6680902778</v>
      </c>
      <c r="C2997">
        <v>1</v>
      </c>
      <c r="D2997">
        <v>2</v>
      </c>
      <c r="E2997" t="s">
        <v>2988</v>
      </c>
    </row>
    <row r="2998" spans="1:5">
      <c r="A2998">
        <f>HYPERLINK("http://www.twitter.com/nycoem/status/517330743446740992", "517330743446740992")</f>
        <v>0</v>
      </c>
      <c r="B2998" s="2">
        <v>41913.632349537</v>
      </c>
      <c r="C2998">
        <v>1</v>
      </c>
      <c r="D2998">
        <v>1</v>
      </c>
      <c r="E2998" t="s">
        <v>2989</v>
      </c>
    </row>
    <row r="2999" spans="1:5">
      <c r="A2999">
        <f>HYPERLINK("http://www.twitter.com/nycoem/status/517090344069234689", "517090344069234689")</f>
        <v>0</v>
      </c>
      <c r="B2999" s="2">
        <v>41912.9689699074</v>
      </c>
      <c r="C2999">
        <v>1</v>
      </c>
      <c r="D2999">
        <v>0</v>
      </c>
      <c r="E2999" t="s">
        <v>2990</v>
      </c>
    </row>
    <row r="3000" spans="1:5">
      <c r="A3000">
        <f>HYPERLINK("http://www.twitter.com/nycoem/status/517074075001577472", "517074075001577472")</f>
        <v>0</v>
      </c>
      <c r="B3000" s="2">
        <v>41912.9240740741</v>
      </c>
      <c r="C3000">
        <v>1</v>
      </c>
      <c r="D3000">
        <v>5</v>
      </c>
      <c r="E3000" t="s">
        <v>2991</v>
      </c>
    </row>
    <row r="3001" spans="1:5">
      <c r="A3001">
        <f>HYPERLINK("http://www.twitter.com/nycoem/status/516969777827696640", "516969777827696640")</f>
        <v>0</v>
      </c>
      <c r="B3001" s="2">
        <v>41912.6362731481</v>
      </c>
      <c r="C3001">
        <v>0</v>
      </c>
      <c r="D3001">
        <v>4</v>
      </c>
      <c r="E3001" t="s">
        <v>2992</v>
      </c>
    </row>
    <row r="3002" spans="1:5">
      <c r="A3002">
        <f>HYPERLINK("http://www.twitter.com/nycoem/status/516927973002588163", "516927973002588163")</f>
        <v>0</v>
      </c>
      <c r="B3002" s="2">
        <v>41912.5209143519</v>
      </c>
      <c r="C3002">
        <v>0</v>
      </c>
      <c r="D3002">
        <v>1</v>
      </c>
      <c r="E3002" t="s">
        <v>2993</v>
      </c>
    </row>
    <row r="3003" spans="1:5">
      <c r="A3003">
        <f>HYPERLINK("http://www.twitter.com/nycoem/status/516921923767660544", "516921923767660544")</f>
        <v>0</v>
      </c>
      <c r="B3003" s="2">
        <v>41912.504224537</v>
      </c>
      <c r="C3003">
        <v>0</v>
      </c>
      <c r="D3003">
        <v>0</v>
      </c>
      <c r="E3003" t="s">
        <v>2994</v>
      </c>
    </row>
    <row r="3004" spans="1:5">
      <c r="A3004">
        <f>HYPERLINK("http://www.twitter.com/nycoem/status/516676865751531520", "516676865751531520")</f>
        <v>0</v>
      </c>
      <c r="B3004" s="2">
        <v>41911.8279861111</v>
      </c>
      <c r="C3004">
        <v>0</v>
      </c>
      <c r="D3004">
        <v>0</v>
      </c>
      <c r="E3004" t="s">
        <v>2995</v>
      </c>
    </row>
    <row r="3005" spans="1:5">
      <c r="A3005">
        <f>HYPERLINK("http://www.twitter.com/nycoem/status/516645240066031616", "516645240066031616")</f>
        <v>0</v>
      </c>
      <c r="B3005" s="2">
        <v>41911.7407175926</v>
      </c>
      <c r="C3005">
        <v>0</v>
      </c>
      <c r="D3005">
        <v>2</v>
      </c>
      <c r="E3005" t="s">
        <v>2996</v>
      </c>
    </row>
    <row r="3006" spans="1:5">
      <c r="A3006">
        <f>HYPERLINK("http://www.twitter.com/nycoem/status/516626060273012736", "516626060273012736")</f>
        <v>0</v>
      </c>
      <c r="B3006" s="2">
        <v>41911.6877893519</v>
      </c>
      <c r="C3006">
        <v>1</v>
      </c>
      <c r="D3006">
        <v>3</v>
      </c>
      <c r="E3006" t="s">
        <v>2997</v>
      </c>
    </row>
    <row r="3007" spans="1:5">
      <c r="A3007">
        <f>HYPERLINK("http://www.twitter.com/nycoem/status/516617177672478720", "516617177672478720")</f>
        <v>0</v>
      </c>
      <c r="B3007" s="2">
        <v>41911.663287037</v>
      </c>
      <c r="C3007">
        <v>0</v>
      </c>
      <c r="D3007">
        <v>3</v>
      </c>
      <c r="E3007" t="s">
        <v>2998</v>
      </c>
    </row>
    <row r="3008" spans="1:5">
      <c r="A3008">
        <f>HYPERLINK("http://www.twitter.com/nycoem/status/516594503223111680", "516594503223111680")</f>
        <v>0</v>
      </c>
      <c r="B3008" s="2">
        <v>41911.6007175926</v>
      </c>
      <c r="C3008">
        <v>1</v>
      </c>
      <c r="D3008">
        <v>7</v>
      </c>
      <c r="E3008" t="s">
        <v>2999</v>
      </c>
    </row>
    <row r="3009" spans="1:5">
      <c r="A3009">
        <f>HYPERLINK("http://www.twitter.com/nycoem/status/515624435660099585", "515624435660099585")</f>
        <v>0</v>
      </c>
      <c r="B3009" s="2">
        <v>41908.9238310185</v>
      </c>
      <c r="C3009">
        <v>2</v>
      </c>
      <c r="D3009">
        <v>4</v>
      </c>
      <c r="E3009" t="s">
        <v>3000</v>
      </c>
    </row>
    <row r="3010" spans="1:5">
      <c r="A3010">
        <f>HYPERLINK("http://www.twitter.com/nycoem/status/515580403617652736", "515580403617652736")</f>
        <v>0</v>
      </c>
      <c r="B3010" s="2">
        <v>41908.8023263889</v>
      </c>
      <c r="C3010">
        <v>1</v>
      </c>
      <c r="D3010">
        <v>0</v>
      </c>
      <c r="E3010" t="s">
        <v>3001</v>
      </c>
    </row>
    <row r="3011" spans="1:5">
      <c r="A3011">
        <f>HYPERLINK("http://www.twitter.com/nycoem/status/515528764131127297", "515528764131127297")</f>
        <v>0</v>
      </c>
      <c r="B3011" s="2">
        <v>41908.659837963</v>
      </c>
      <c r="C3011">
        <v>1</v>
      </c>
      <c r="D3011">
        <v>5</v>
      </c>
      <c r="E3011" t="s">
        <v>3002</v>
      </c>
    </row>
    <row r="3012" spans="1:5">
      <c r="A3012">
        <f>HYPERLINK("http://www.twitter.com/nycoem/status/515257069038215168", "515257069038215168")</f>
        <v>0</v>
      </c>
      <c r="B3012" s="2">
        <v>41907.9100925926</v>
      </c>
      <c r="C3012">
        <v>2</v>
      </c>
      <c r="D3012">
        <v>3</v>
      </c>
      <c r="E3012" t="s">
        <v>3003</v>
      </c>
    </row>
    <row r="3013" spans="1:5">
      <c r="A3013">
        <f>HYPERLINK("http://www.twitter.com/nycoem/status/515170202380951552", "515170202380951552")</f>
        <v>0</v>
      </c>
      <c r="B3013" s="2">
        <v>41907.6703935185</v>
      </c>
      <c r="C3013">
        <v>0</v>
      </c>
      <c r="D3013">
        <v>1</v>
      </c>
      <c r="E3013" t="s">
        <v>3004</v>
      </c>
    </row>
    <row r="3014" spans="1:5">
      <c r="A3014">
        <f>HYPERLINK("http://www.twitter.com/nycoem/status/515121124091625472", "515121124091625472")</f>
        <v>0</v>
      </c>
      <c r="B3014" s="2">
        <v>41907.5349652778</v>
      </c>
      <c r="C3014">
        <v>1</v>
      </c>
      <c r="D3014">
        <v>6</v>
      </c>
      <c r="E3014" t="s">
        <v>3005</v>
      </c>
    </row>
    <row r="3015" spans="1:5">
      <c r="A3015">
        <f>HYPERLINK("http://www.twitter.com/nycoem/status/514912824968347648", "514912824968347648")</f>
        <v>0</v>
      </c>
      <c r="B3015" s="2">
        <v>41906.960162037</v>
      </c>
      <c r="C3015">
        <v>0</v>
      </c>
      <c r="D3015">
        <v>0</v>
      </c>
      <c r="E3015" t="s">
        <v>3006</v>
      </c>
    </row>
    <row r="3016" spans="1:5">
      <c r="A3016">
        <f>HYPERLINK("http://www.twitter.com/nycoem/status/514885757862150144", "514885757862150144")</f>
        <v>0</v>
      </c>
      <c r="B3016" s="2">
        <v>41906.885474537</v>
      </c>
      <c r="C3016">
        <v>0</v>
      </c>
      <c r="D3016">
        <v>19</v>
      </c>
      <c r="E3016" t="s">
        <v>3007</v>
      </c>
    </row>
    <row r="3017" spans="1:5">
      <c r="A3017">
        <f>HYPERLINK("http://www.twitter.com/nycoem/status/514851940560560129", "514851940560560129")</f>
        <v>0</v>
      </c>
      <c r="B3017" s="2">
        <v>41906.7921527778</v>
      </c>
      <c r="C3017">
        <v>0</v>
      </c>
      <c r="D3017">
        <v>3</v>
      </c>
      <c r="E3017" t="s">
        <v>3008</v>
      </c>
    </row>
    <row r="3018" spans="1:5">
      <c r="A3018">
        <f>HYPERLINK("http://www.twitter.com/nycoem/status/514825489224318978", "514825489224318978")</f>
        <v>0</v>
      </c>
      <c r="B3018" s="2">
        <v>41906.7191666667</v>
      </c>
      <c r="C3018">
        <v>0</v>
      </c>
      <c r="D3018">
        <v>1</v>
      </c>
      <c r="E3018" t="s">
        <v>3009</v>
      </c>
    </row>
    <row r="3019" spans="1:5">
      <c r="A3019">
        <f>HYPERLINK("http://www.twitter.com/nycoem/status/514806684124860419", "514806684124860419")</f>
        <v>0</v>
      </c>
      <c r="B3019" s="2">
        <v>41906.6672685185</v>
      </c>
      <c r="C3019">
        <v>2</v>
      </c>
      <c r="D3019">
        <v>0</v>
      </c>
      <c r="E3019" t="s">
        <v>3010</v>
      </c>
    </row>
    <row r="3020" spans="1:5">
      <c r="A3020">
        <f>HYPERLINK("http://www.twitter.com/nycoem/status/514803972314767361", "514803972314767361")</f>
        <v>0</v>
      </c>
      <c r="B3020" s="2">
        <v>41906.6597916667</v>
      </c>
      <c r="C3020">
        <v>2</v>
      </c>
      <c r="D3020">
        <v>1</v>
      </c>
      <c r="E3020" t="s">
        <v>3011</v>
      </c>
    </row>
    <row r="3021" spans="1:5">
      <c r="A3021">
        <f>HYPERLINK("http://www.twitter.com/nycoem/status/514792798428876800", "514792798428876800")</f>
        <v>0</v>
      </c>
      <c r="B3021" s="2">
        <v>41906.6289583333</v>
      </c>
      <c r="C3021">
        <v>1</v>
      </c>
      <c r="D3021">
        <v>3</v>
      </c>
      <c r="E3021" t="s">
        <v>3012</v>
      </c>
    </row>
    <row r="3022" spans="1:5">
      <c r="A3022">
        <f>HYPERLINK("http://www.twitter.com/nycoem/status/514493301383516160", "514493301383516160")</f>
        <v>0</v>
      </c>
      <c r="B3022" s="2">
        <v>41905.8025</v>
      </c>
      <c r="C3022">
        <v>1</v>
      </c>
      <c r="D3022">
        <v>2</v>
      </c>
      <c r="E3022" t="s">
        <v>3013</v>
      </c>
    </row>
    <row r="3023" spans="1:5">
      <c r="A3023">
        <f>HYPERLINK("http://www.twitter.com/nycoem/status/514490492005126144", "514490492005126144")</f>
        <v>0</v>
      </c>
      <c r="B3023" s="2">
        <v>41905.7947453704</v>
      </c>
      <c r="C3023">
        <v>0</v>
      </c>
      <c r="D3023">
        <v>4</v>
      </c>
      <c r="E3023" t="s">
        <v>3014</v>
      </c>
    </row>
    <row r="3024" spans="1:5">
      <c r="A3024">
        <f>HYPERLINK("http://www.twitter.com/nycoem/status/514489212272656384", "514489212272656384")</f>
        <v>0</v>
      </c>
      <c r="B3024" s="2">
        <v>41905.7912152778</v>
      </c>
      <c r="C3024">
        <v>0</v>
      </c>
      <c r="D3024">
        <v>0</v>
      </c>
      <c r="E3024" t="s">
        <v>3015</v>
      </c>
    </row>
    <row r="3025" spans="1:5">
      <c r="A3025">
        <f>HYPERLINK("http://www.twitter.com/nycoem/status/514487315415068672", "514487315415068672")</f>
        <v>0</v>
      </c>
      <c r="B3025" s="2">
        <v>41905.7859837963</v>
      </c>
      <c r="C3025">
        <v>1</v>
      </c>
      <c r="D3025">
        <v>1</v>
      </c>
      <c r="E3025" t="s">
        <v>3016</v>
      </c>
    </row>
    <row r="3026" spans="1:5">
      <c r="A3026">
        <f>HYPERLINK("http://www.twitter.com/nycoem/status/514486096911433728", "514486096911433728")</f>
        <v>0</v>
      </c>
      <c r="B3026" s="2">
        <v>41905.7826157407</v>
      </c>
      <c r="C3026">
        <v>4</v>
      </c>
      <c r="D3026">
        <v>10</v>
      </c>
      <c r="E3026" t="s">
        <v>3017</v>
      </c>
    </row>
    <row r="3027" spans="1:5">
      <c r="A3027">
        <f>HYPERLINK("http://www.twitter.com/nycoem/status/514482797676089344", "514482797676089344")</f>
        <v>0</v>
      </c>
      <c r="B3027" s="2">
        <v>41905.7735185185</v>
      </c>
      <c r="C3027">
        <v>0</v>
      </c>
      <c r="D3027">
        <v>0</v>
      </c>
      <c r="E3027" t="s">
        <v>3018</v>
      </c>
    </row>
    <row r="3028" spans="1:5">
      <c r="A3028">
        <f>HYPERLINK("http://www.twitter.com/nycoem/status/514478924332802048", "514478924332802048")</f>
        <v>0</v>
      </c>
      <c r="B3028" s="2">
        <v>41905.7628240741</v>
      </c>
      <c r="C3028">
        <v>5</v>
      </c>
      <c r="D3028">
        <v>8</v>
      </c>
      <c r="E3028" t="s">
        <v>3019</v>
      </c>
    </row>
    <row r="3029" spans="1:5">
      <c r="A3029">
        <f>HYPERLINK("http://www.twitter.com/nycoem/status/514441600353972224", "514441600353972224")</f>
        <v>0</v>
      </c>
      <c r="B3029" s="2">
        <v>41905.659837963</v>
      </c>
      <c r="C3029">
        <v>1</v>
      </c>
      <c r="D3029">
        <v>4</v>
      </c>
      <c r="E3029" t="s">
        <v>3020</v>
      </c>
    </row>
    <row r="3030" spans="1:5">
      <c r="A3030">
        <f>HYPERLINK("http://www.twitter.com/nycoem/status/514398941971222528", "514398941971222528")</f>
        <v>0</v>
      </c>
      <c r="B3030" s="2">
        <v>41905.5421180556</v>
      </c>
      <c r="C3030">
        <v>1</v>
      </c>
      <c r="D3030">
        <v>5</v>
      </c>
      <c r="E3030" t="s">
        <v>3021</v>
      </c>
    </row>
    <row r="3031" spans="1:5">
      <c r="A3031">
        <f>HYPERLINK("http://www.twitter.com/nycoem/status/514394338533863424", "514394338533863424")</f>
        <v>0</v>
      </c>
      <c r="B3031" s="2">
        <v>41905.5294097222</v>
      </c>
      <c r="C3031">
        <v>1</v>
      </c>
      <c r="D3031">
        <v>2</v>
      </c>
      <c r="E3031" t="s">
        <v>3022</v>
      </c>
    </row>
    <row r="3032" spans="1:5">
      <c r="A3032">
        <f>HYPERLINK("http://www.twitter.com/nycoem/status/514125754402349057", "514125754402349057")</f>
        <v>0</v>
      </c>
      <c r="B3032" s="2">
        <v>41904.7882638889</v>
      </c>
      <c r="C3032">
        <v>0</v>
      </c>
      <c r="D3032">
        <v>0</v>
      </c>
      <c r="E3032" t="s">
        <v>3023</v>
      </c>
    </row>
    <row r="3033" spans="1:5">
      <c r="A3033">
        <f>HYPERLINK("http://www.twitter.com/nycoem/status/514080553310904320", "514080553310904320")</f>
        <v>0</v>
      </c>
      <c r="B3033" s="2">
        <v>41904.6635300926</v>
      </c>
      <c r="C3033">
        <v>0</v>
      </c>
      <c r="D3033">
        <v>0</v>
      </c>
      <c r="E3033" t="s">
        <v>3024</v>
      </c>
    </row>
    <row r="3034" spans="1:5">
      <c r="A3034">
        <f>HYPERLINK("http://www.twitter.com/nycoem/status/514033980237414400", "514033980237414400")</f>
        <v>0</v>
      </c>
      <c r="B3034" s="2">
        <v>41904.5350115741</v>
      </c>
      <c r="C3034">
        <v>0</v>
      </c>
      <c r="D3034">
        <v>3</v>
      </c>
      <c r="E3034" t="s">
        <v>3025</v>
      </c>
    </row>
    <row r="3035" spans="1:5">
      <c r="A3035">
        <f>HYPERLINK("http://www.twitter.com/nycoem/status/513385043495235584", "513385043495235584")</f>
        <v>0</v>
      </c>
      <c r="B3035" s="2">
        <v>41902.7442939815</v>
      </c>
      <c r="C3035">
        <v>0</v>
      </c>
      <c r="D3035">
        <v>0</v>
      </c>
      <c r="E3035" t="s">
        <v>3026</v>
      </c>
    </row>
    <row r="3036" spans="1:5">
      <c r="A3036">
        <f>HYPERLINK("http://www.twitter.com/nycoem/status/513361979655094272", "513361979655094272")</f>
        <v>0</v>
      </c>
      <c r="B3036" s="2">
        <v>41902.6806481481</v>
      </c>
      <c r="C3036">
        <v>0</v>
      </c>
      <c r="D3036">
        <v>4</v>
      </c>
      <c r="E3036" t="s">
        <v>3027</v>
      </c>
    </row>
    <row r="3037" spans="1:5">
      <c r="A3037">
        <f>HYPERLINK("http://www.twitter.com/nycoem/status/513038599638753280", "513038599638753280")</f>
        <v>0</v>
      </c>
      <c r="B3037" s="2">
        <v>41901.788287037</v>
      </c>
      <c r="C3037">
        <v>3</v>
      </c>
      <c r="D3037">
        <v>9</v>
      </c>
      <c r="E3037" t="s">
        <v>3028</v>
      </c>
    </row>
    <row r="3038" spans="1:5">
      <c r="A3038">
        <f>HYPERLINK("http://www.twitter.com/nycoem/status/513017642752671744", "513017642752671744")</f>
        <v>0</v>
      </c>
      <c r="B3038" s="2">
        <v>41901.730462963</v>
      </c>
      <c r="C3038">
        <v>3</v>
      </c>
      <c r="D3038">
        <v>0</v>
      </c>
      <c r="E3038" t="s">
        <v>3029</v>
      </c>
    </row>
    <row r="3039" spans="1:5">
      <c r="A3039">
        <f>HYPERLINK("http://www.twitter.com/nycoem/status/513017137477464065", "513017137477464065")</f>
        <v>0</v>
      </c>
      <c r="B3039" s="2">
        <v>41901.7290625</v>
      </c>
      <c r="C3039">
        <v>0</v>
      </c>
      <c r="D3039">
        <v>0</v>
      </c>
      <c r="E3039" t="s">
        <v>3030</v>
      </c>
    </row>
    <row r="3040" spans="1:5">
      <c r="A3040">
        <f>HYPERLINK("http://www.twitter.com/nycoem/status/513016662438584320", "513016662438584320")</f>
        <v>0</v>
      </c>
      <c r="B3040" s="2">
        <v>41901.7277546296</v>
      </c>
      <c r="C3040">
        <v>0</v>
      </c>
      <c r="D3040">
        <v>0</v>
      </c>
      <c r="E3040" t="s">
        <v>3031</v>
      </c>
    </row>
    <row r="3041" spans="1:5">
      <c r="A3041">
        <f>HYPERLINK("http://www.twitter.com/nycoem/status/513016294464290816", "513016294464290816")</f>
        <v>0</v>
      </c>
      <c r="B3041" s="2">
        <v>41901.7267361111</v>
      </c>
      <c r="C3041">
        <v>0</v>
      </c>
      <c r="D3041">
        <v>0</v>
      </c>
      <c r="E3041" t="s">
        <v>3032</v>
      </c>
    </row>
    <row r="3042" spans="1:5">
      <c r="A3042">
        <f>HYPERLINK("http://www.twitter.com/nycoem/status/513016072950521856", "513016072950521856")</f>
        <v>0</v>
      </c>
      <c r="B3042" s="2">
        <v>41901.7261226852</v>
      </c>
      <c r="C3042">
        <v>0</v>
      </c>
      <c r="D3042">
        <v>2</v>
      </c>
      <c r="E3042" t="s">
        <v>3033</v>
      </c>
    </row>
    <row r="3043" spans="1:5">
      <c r="A3043">
        <f>HYPERLINK("http://www.twitter.com/nycoem/status/513015566983241728", "513015566983241728")</f>
        <v>0</v>
      </c>
      <c r="B3043" s="2">
        <v>41901.7247337963</v>
      </c>
      <c r="C3043">
        <v>1</v>
      </c>
      <c r="D3043">
        <v>2</v>
      </c>
      <c r="E3043" t="s">
        <v>3034</v>
      </c>
    </row>
    <row r="3044" spans="1:5">
      <c r="A3044">
        <f>HYPERLINK("http://www.twitter.com/nycoem/status/513015152728637441", "513015152728637441")</f>
        <v>0</v>
      </c>
      <c r="B3044" s="2">
        <v>41901.723587963</v>
      </c>
      <c r="C3044">
        <v>0</v>
      </c>
      <c r="D3044">
        <v>0</v>
      </c>
      <c r="E3044" t="s">
        <v>3035</v>
      </c>
    </row>
    <row r="3045" spans="1:5">
      <c r="A3045">
        <f>HYPERLINK("http://www.twitter.com/nycoem/status/513014904320966656", "513014904320966656")</f>
        <v>0</v>
      </c>
      <c r="B3045" s="2">
        <v>41901.7229050926</v>
      </c>
      <c r="C3045">
        <v>0</v>
      </c>
      <c r="D3045">
        <v>0</v>
      </c>
      <c r="E3045" t="s">
        <v>3036</v>
      </c>
    </row>
    <row r="3046" spans="1:5">
      <c r="A3046">
        <f>HYPERLINK("http://www.twitter.com/nycoem/status/513014343978713089", "513014343978713089")</f>
        <v>0</v>
      </c>
      <c r="B3046" s="2">
        <v>41901.7213541667</v>
      </c>
      <c r="C3046">
        <v>2</v>
      </c>
      <c r="D3046">
        <v>2</v>
      </c>
      <c r="E3046" t="s">
        <v>3037</v>
      </c>
    </row>
    <row r="3047" spans="1:5">
      <c r="A3047">
        <f>HYPERLINK("http://www.twitter.com/nycoem/status/513013742527709184", "513013742527709184")</f>
        <v>0</v>
      </c>
      <c r="B3047" s="2">
        <v>41901.7196990741</v>
      </c>
      <c r="C3047">
        <v>0</v>
      </c>
      <c r="D3047">
        <v>2</v>
      </c>
      <c r="E3047" t="s">
        <v>3038</v>
      </c>
    </row>
    <row r="3048" spans="1:5">
      <c r="A3048">
        <f>HYPERLINK("http://www.twitter.com/nycoem/status/513013070168612864", "513013070168612864")</f>
        <v>0</v>
      </c>
      <c r="B3048" s="2">
        <v>41901.7178356481</v>
      </c>
      <c r="C3048">
        <v>0</v>
      </c>
      <c r="D3048">
        <v>0</v>
      </c>
      <c r="E3048" t="s">
        <v>3039</v>
      </c>
    </row>
    <row r="3049" spans="1:5">
      <c r="A3049">
        <f>HYPERLINK("http://www.twitter.com/nycoem/status/513012245853650944", "513012245853650944")</f>
        <v>0</v>
      </c>
      <c r="B3049" s="2">
        <v>41901.7155671296</v>
      </c>
      <c r="C3049">
        <v>1</v>
      </c>
      <c r="D3049">
        <v>2</v>
      </c>
      <c r="E3049" t="s">
        <v>3040</v>
      </c>
    </row>
    <row r="3050" spans="1:5">
      <c r="A3050">
        <f>HYPERLINK("http://www.twitter.com/nycoem/status/513011798711496704", "513011798711496704")</f>
        <v>0</v>
      </c>
      <c r="B3050" s="2">
        <v>41901.7143287037</v>
      </c>
      <c r="C3050">
        <v>1</v>
      </c>
      <c r="D3050">
        <v>1</v>
      </c>
      <c r="E3050" t="s">
        <v>3041</v>
      </c>
    </row>
    <row r="3051" spans="1:5">
      <c r="A3051">
        <f>HYPERLINK("http://www.twitter.com/nycoem/status/513011395571765249", "513011395571765249")</f>
        <v>0</v>
      </c>
      <c r="B3051" s="2">
        <v>41901.7132175926</v>
      </c>
      <c r="C3051">
        <v>0</v>
      </c>
      <c r="D3051">
        <v>2</v>
      </c>
      <c r="E3051" t="s">
        <v>3042</v>
      </c>
    </row>
    <row r="3052" spans="1:5">
      <c r="A3052">
        <f>HYPERLINK("http://www.twitter.com/nycoem/status/513011157373042688", "513011157373042688")</f>
        <v>0</v>
      </c>
      <c r="B3052" s="2">
        <v>41901.7125578704</v>
      </c>
      <c r="C3052">
        <v>1</v>
      </c>
      <c r="D3052">
        <v>1</v>
      </c>
      <c r="E3052" t="s">
        <v>3043</v>
      </c>
    </row>
    <row r="3053" spans="1:5">
      <c r="A3053">
        <f>HYPERLINK("http://www.twitter.com/nycoem/status/513010053478350848", "513010053478350848")</f>
        <v>0</v>
      </c>
      <c r="B3053" s="2">
        <v>41901.7095138889</v>
      </c>
      <c r="C3053">
        <v>0</v>
      </c>
      <c r="D3053">
        <v>2</v>
      </c>
      <c r="E3053" t="s">
        <v>3044</v>
      </c>
    </row>
    <row r="3054" spans="1:5">
      <c r="A3054">
        <f>HYPERLINK("http://www.twitter.com/nycoem/status/513009444155039745", "513009444155039745")</f>
        <v>0</v>
      </c>
      <c r="B3054" s="2">
        <v>41901.7078356482</v>
      </c>
      <c r="C3054">
        <v>0</v>
      </c>
      <c r="D3054">
        <v>3</v>
      </c>
      <c r="E3054" t="s">
        <v>3045</v>
      </c>
    </row>
    <row r="3055" spans="1:5">
      <c r="A3055">
        <f>HYPERLINK("http://www.twitter.com/nycoem/status/512996715348381696", "512996715348381696")</f>
        <v>0</v>
      </c>
      <c r="B3055" s="2">
        <v>41901.6727083333</v>
      </c>
      <c r="C3055">
        <v>1</v>
      </c>
      <c r="D3055">
        <v>0</v>
      </c>
      <c r="E3055" t="s">
        <v>3046</v>
      </c>
    </row>
    <row r="3056" spans="1:5">
      <c r="A3056">
        <f>HYPERLINK("http://www.twitter.com/nycoem/status/512993446228156416", "512993446228156416")</f>
        <v>0</v>
      </c>
      <c r="B3056" s="2">
        <v>41901.6636921296</v>
      </c>
      <c r="C3056">
        <v>1</v>
      </c>
      <c r="D3056">
        <v>2</v>
      </c>
      <c r="E3056" t="s">
        <v>3047</v>
      </c>
    </row>
    <row r="3057" spans="1:5">
      <c r="A3057">
        <f>HYPERLINK("http://www.twitter.com/nycoem/status/512951825704960000", "512951825704960000")</f>
        <v>0</v>
      </c>
      <c r="B3057" s="2">
        <v>41901.5488425926</v>
      </c>
      <c r="C3057">
        <v>0</v>
      </c>
      <c r="D3057">
        <v>1</v>
      </c>
      <c r="E3057" t="s">
        <v>3048</v>
      </c>
    </row>
    <row r="3058" spans="1:5">
      <c r="A3058">
        <f>HYPERLINK("http://www.twitter.com/nycoem/status/512720283010990081", "512720283010990081")</f>
        <v>0</v>
      </c>
      <c r="B3058" s="2">
        <v>41900.9099074074</v>
      </c>
      <c r="C3058">
        <v>1</v>
      </c>
      <c r="D3058">
        <v>1</v>
      </c>
      <c r="E3058" t="s">
        <v>3049</v>
      </c>
    </row>
    <row r="3059" spans="1:5">
      <c r="A3059">
        <f>HYPERLINK("http://www.twitter.com/nycoem/status/512679272302280704", "512679272302280704")</f>
        <v>0</v>
      </c>
      <c r="B3059" s="2">
        <v>41900.7967361111</v>
      </c>
      <c r="C3059">
        <v>0</v>
      </c>
      <c r="D3059">
        <v>4</v>
      </c>
      <c r="E3059" t="s">
        <v>3050</v>
      </c>
    </row>
    <row r="3060" spans="1:5">
      <c r="A3060">
        <f>HYPERLINK("http://www.twitter.com/nycoem/status/512671796613877760", "512671796613877760")</f>
        <v>0</v>
      </c>
      <c r="B3060" s="2">
        <v>41900.776099537</v>
      </c>
      <c r="C3060">
        <v>0</v>
      </c>
      <c r="D3060">
        <v>0</v>
      </c>
      <c r="E3060" t="s">
        <v>3051</v>
      </c>
    </row>
    <row r="3061" spans="1:5">
      <c r="A3061">
        <f>HYPERLINK("http://www.twitter.com/nycoem/status/512640202528272385", "512640202528272385")</f>
        <v>0</v>
      </c>
      <c r="B3061" s="2">
        <v>41900.6889236111</v>
      </c>
      <c r="C3061">
        <v>1</v>
      </c>
      <c r="D3061">
        <v>3</v>
      </c>
      <c r="E3061" t="s">
        <v>3052</v>
      </c>
    </row>
    <row r="3062" spans="1:5">
      <c r="A3062">
        <f>HYPERLINK("http://www.twitter.com/nycoem/status/512631114050306048", "512631114050306048")</f>
        <v>0</v>
      </c>
      <c r="B3062" s="2">
        <v>41900.6638425926</v>
      </c>
      <c r="C3062">
        <v>2</v>
      </c>
      <c r="D3062">
        <v>3</v>
      </c>
      <c r="E3062" t="s">
        <v>3053</v>
      </c>
    </row>
    <row r="3063" spans="1:5">
      <c r="A3063">
        <f>HYPERLINK("http://www.twitter.com/nycoem/status/512614778519687169", "512614778519687169")</f>
        <v>0</v>
      </c>
      <c r="B3063" s="2">
        <v>41900.6187615741</v>
      </c>
      <c r="C3063">
        <v>0</v>
      </c>
      <c r="D3063">
        <v>1</v>
      </c>
      <c r="E3063" t="s">
        <v>3054</v>
      </c>
    </row>
    <row r="3064" spans="1:5">
      <c r="A3064">
        <f>HYPERLINK("http://www.twitter.com/nycoem/status/512604625401565184", "512604625401565184")</f>
        <v>0</v>
      </c>
      <c r="B3064" s="2">
        <v>41900.5907523148</v>
      </c>
      <c r="C3064">
        <v>0</v>
      </c>
      <c r="D3064">
        <v>1</v>
      </c>
      <c r="E3064" t="s">
        <v>3055</v>
      </c>
    </row>
    <row r="3065" spans="1:5">
      <c r="A3065">
        <f>HYPERLINK("http://www.twitter.com/nycoem/status/512356677312471043", "512356677312471043")</f>
        <v>0</v>
      </c>
      <c r="B3065" s="2">
        <v>41899.9065393519</v>
      </c>
      <c r="C3065">
        <v>2</v>
      </c>
      <c r="D3065">
        <v>4</v>
      </c>
      <c r="E3065" t="s">
        <v>3056</v>
      </c>
    </row>
    <row r="3066" spans="1:5">
      <c r="A3066">
        <f>HYPERLINK("http://www.twitter.com/nycoem/status/512312603767758850", "512312603767758850")</f>
        <v>0</v>
      </c>
      <c r="B3066" s="2">
        <v>41899.7849189815</v>
      </c>
      <c r="C3066">
        <v>1</v>
      </c>
      <c r="D3066">
        <v>2</v>
      </c>
      <c r="E3066" t="s">
        <v>3057</v>
      </c>
    </row>
    <row r="3067" spans="1:5">
      <c r="A3067">
        <f>HYPERLINK("http://www.twitter.com/nycoem/status/512266042987773952", "512266042987773952")</f>
        <v>0</v>
      </c>
      <c r="B3067" s="2">
        <v>41899.6564351852</v>
      </c>
      <c r="C3067">
        <v>0</v>
      </c>
      <c r="D3067">
        <v>5</v>
      </c>
      <c r="E3067" t="s">
        <v>3058</v>
      </c>
    </row>
    <row r="3068" spans="1:5">
      <c r="A3068">
        <f>HYPERLINK("http://www.twitter.com/nycoem/status/512224706544803841", "512224706544803841")</f>
        <v>0</v>
      </c>
      <c r="B3068" s="2">
        <v>41899.5423726852</v>
      </c>
      <c r="C3068">
        <v>0</v>
      </c>
      <c r="D3068">
        <v>5</v>
      </c>
      <c r="E3068" t="s">
        <v>3059</v>
      </c>
    </row>
    <row r="3069" spans="1:5">
      <c r="A3069">
        <f>HYPERLINK("http://www.twitter.com/nycoem/status/512028583737315328", "512028583737315328")</f>
        <v>0</v>
      </c>
      <c r="B3069" s="2">
        <v>41899.0011805556</v>
      </c>
      <c r="C3069">
        <v>3</v>
      </c>
      <c r="D3069">
        <v>1</v>
      </c>
      <c r="E3069" t="s">
        <v>3060</v>
      </c>
    </row>
    <row r="3070" spans="1:5">
      <c r="A3070">
        <f>HYPERLINK("http://www.twitter.com/nycoem/status/512001776909049856", "512001776909049856")</f>
        <v>0</v>
      </c>
      <c r="B3070" s="2">
        <v>41898.9271990741</v>
      </c>
      <c r="C3070">
        <v>0</v>
      </c>
      <c r="D3070">
        <v>2</v>
      </c>
      <c r="E3070" t="s">
        <v>3061</v>
      </c>
    </row>
    <row r="3071" spans="1:5">
      <c r="A3071">
        <f>HYPERLINK("http://www.twitter.com/nycoem/status/511955287868444673", "511955287868444673")</f>
        <v>0</v>
      </c>
      <c r="B3071" s="2">
        <v>41898.798912037</v>
      </c>
      <c r="C3071">
        <v>0</v>
      </c>
      <c r="D3071">
        <v>0</v>
      </c>
      <c r="E3071" t="s">
        <v>3062</v>
      </c>
    </row>
    <row r="3072" spans="1:5">
      <c r="A3072">
        <f>HYPERLINK("http://www.twitter.com/nycoem/status/511940622413201408", "511940622413201408")</f>
        <v>0</v>
      </c>
      <c r="B3072" s="2">
        <v>41898.7584490741</v>
      </c>
      <c r="C3072">
        <v>2</v>
      </c>
      <c r="D3072">
        <v>0</v>
      </c>
      <c r="E3072" t="s">
        <v>3063</v>
      </c>
    </row>
    <row r="3073" spans="1:5">
      <c r="A3073">
        <f>HYPERLINK("http://www.twitter.com/nycoem/status/511903618854039554", "511903618854039554")</f>
        <v>0</v>
      </c>
      <c r="B3073" s="2">
        <v>41898.6563425926</v>
      </c>
      <c r="C3073">
        <v>2</v>
      </c>
      <c r="D3073">
        <v>4</v>
      </c>
      <c r="E3073" t="s">
        <v>3064</v>
      </c>
    </row>
    <row r="3074" spans="1:5">
      <c r="A3074">
        <f>HYPERLINK("http://www.twitter.com/nycoem/status/511652014313709568", "511652014313709568")</f>
        <v>0</v>
      </c>
      <c r="B3074" s="2">
        <v>41897.962037037</v>
      </c>
      <c r="C3074">
        <v>1</v>
      </c>
      <c r="D3074">
        <v>4</v>
      </c>
      <c r="E3074" t="s">
        <v>3065</v>
      </c>
    </row>
    <row r="3075" spans="1:5">
      <c r="A3075">
        <f>HYPERLINK("http://www.twitter.com/nycoem/status/511631872829706240", "511631872829706240")</f>
        <v>0</v>
      </c>
      <c r="B3075" s="2">
        <v>41897.9064583333</v>
      </c>
      <c r="C3075">
        <v>0</v>
      </c>
      <c r="D3075">
        <v>0</v>
      </c>
      <c r="E3075" t="s">
        <v>3066</v>
      </c>
    </row>
    <row r="3076" spans="1:5">
      <c r="A3076">
        <f>HYPERLINK("http://www.twitter.com/nycoem/status/511589121283067904", "511589121283067904")</f>
        <v>0</v>
      </c>
      <c r="B3076" s="2">
        <v>41897.7884953704</v>
      </c>
      <c r="C3076">
        <v>0</v>
      </c>
      <c r="D3076">
        <v>0</v>
      </c>
      <c r="E3076" t="s">
        <v>3067</v>
      </c>
    </row>
    <row r="3077" spans="1:5">
      <c r="A3077">
        <f>HYPERLINK("http://www.twitter.com/nycoem/status/511546336555302912", "511546336555302912")</f>
        <v>0</v>
      </c>
      <c r="B3077" s="2">
        <v>41897.6704282407</v>
      </c>
      <c r="C3077">
        <v>2</v>
      </c>
      <c r="D3077">
        <v>7</v>
      </c>
      <c r="E3077" t="s">
        <v>3068</v>
      </c>
    </row>
    <row r="3078" spans="1:5">
      <c r="A3078">
        <f>HYPERLINK("http://www.twitter.com/nycoem/status/511502442971025408", "511502442971025408")</f>
        <v>0</v>
      </c>
      <c r="B3078" s="2">
        <v>41897.5493055556</v>
      </c>
      <c r="C3078">
        <v>0</v>
      </c>
      <c r="D3078">
        <v>3</v>
      </c>
      <c r="E3078" t="s">
        <v>3069</v>
      </c>
    </row>
    <row r="3079" spans="1:5">
      <c r="A3079">
        <f>HYPERLINK("http://www.twitter.com/nycoem/status/511500399858421760", "511500399858421760")</f>
        <v>0</v>
      </c>
      <c r="B3079" s="2">
        <v>41897.5436689815</v>
      </c>
      <c r="C3079">
        <v>0</v>
      </c>
      <c r="D3079">
        <v>7</v>
      </c>
      <c r="E3079" t="s">
        <v>3070</v>
      </c>
    </row>
    <row r="3080" spans="1:5">
      <c r="A3080">
        <f>HYPERLINK("http://www.twitter.com/nycoem/status/511497449610162176", "511497449610162176")</f>
        <v>0</v>
      </c>
      <c r="B3080" s="2">
        <v>41897.5355208333</v>
      </c>
      <c r="C3080">
        <v>18</v>
      </c>
      <c r="D3080">
        <v>42</v>
      </c>
      <c r="E3080" t="s">
        <v>3071</v>
      </c>
    </row>
    <row r="3081" spans="1:5">
      <c r="A3081">
        <f>HYPERLINK("http://www.twitter.com/nycoem/status/510908321231306753", "510908321231306753")</f>
        <v>0</v>
      </c>
      <c r="B3081" s="2">
        <v>41895.909837963</v>
      </c>
      <c r="C3081">
        <v>2</v>
      </c>
      <c r="D3081">
        <v>12</v>
      </c>
      <c r="E3081" t="s">
        <v>3072</v>
      </c>
    </row>
    <row r="3082" spans="1:5">
      <c r="A3082">
        <f>HYPERLINK("http://www.twitter.com/nycoem/status/510905799913521153", "510905799913521153")</f>
        <v>0</v>
      </c>
      <c r="B3082" s="2">
        <v>41895.9028819444</v>
      </c>
      <c r="C3082">
        <v>1</v>
      </c>
      <c r="D3082">
        <v>5</v>
      </c>
      <c r="E3082" t="s">
        <v>3073</v>
      </c>
    </row>
    <row r="3083" spans="1:5">
      <c r="A3083">
        <f>HYPERLINK("http://www.twitter.com/nycoem/status/510775404039528448", "510775404039528448")</f>
        <v>0</v>
      </c>
      <c r="B3083" s="2">
        <v>41895.5430555556</v>
      </c>
      <c r="C3083">
        <v>0</v>
      </c>
      <c r="D3083">
        <v>2</v>
      </c>
      <c r="E3083" t="s">
        <v>3074</v>
      </c>
    </row>
    <row r="3084" spans="1:5">
      <c r="A3084">
        <f>HYPERLINK("http://www.twitter.com/nycoem/status/510537371205775360", "510537371205775360")</f>
        <v>0</v>
      </c>
      <c r="B3084" s="2">
        <v>41894.8862152778</v>
      </c>
      <c r="C3084">
        <v>3</v>
      </c>
      <c r="D3084">
        <v>0</v>
      </c>
      <c r="E3084" t="s">
        <v>3075</v>
      </c>
    </row>
    <row r="3085" spans="1:5">
      <c r="A3085">
        <f>HYPERLINK("http://www.twitter.com/nycoem/status/510521715622166528", "510521715622166528")</f>
        <v>0</v>
      </c>
      <c r="B3085" s="2">
        <v>41894.8430092593</v>
      </c>
      <c r="C3085">
        <v>0</v>
      </c>
      <c r="D3085">
        <v>3</v>
      </c>
      <c r="E3085" t="s">
        <v>3076</v>
      </c>
    </row>
    <row r="3086" spans="1:5">
      <c r="A3086">
        <f>HYPERLINK("http://www.twitter.com/nycoem/status/510507042952728577", "510507042952728577")</f>
        <v>0</v>
      </c>
      <c r="B3086" s="2">
        <v>41894.8025231482</v>
      </c>
      <c r="C3086">
        <v>1</v>
      </c>
      <c r="D3086">
        <v>2</v>
      </c>
      <c r="E3086" t="s">
        <v>3077</v>
      </c>
    </row>
    <row r="3087" spans="1:5">
      <c r="A3087">
        <f>HYPERLINK("http://www.twitter.com/nycoem/status/510505725731569664", "510505725731569664")</f>
        <v>0</v>
      </c>
      <c r="B3087" s="2">
        <v>41894.7988888889</v>
      </c>
      <c r="C3087">
        <v>3</v>
      </c>
      <c r="D3087">
        <v>4</v>
      </c>
      <c r="E3087" t="s">
        <v>3078</v>
      </c>
    </row>
    <row r="3088" spans="1:5">
      <c r="A3088">
        <f>HYPERLINK("http://www.twitter.com/nycoem/status/510470040106565632", "510470040106565632")</f>
        <v>0</v>
      </c>
      <c r="B3088" s="2">
        <v>41894.7004166667</v>
      </c>
      <c r="C3088">
        <v>2</v>
      </c>
      <c r="D3088">
        <v>0</v>
      </c>
      <c r="E3088" t="s">
        <v>3079</v>
      </c>
    </row>
    <row r="3089" spans="1:5">
      <c r="A3089">
        <f>HYPERLINK("http://www.twitter.com/nycoem/status/510463601128509440", "510463601128509440")</f>
        <v>0</v>
      </c>
      <c r="B3089" s="2">
        <v>41894.682650463</v>
      </c>
      <c r="C3089">
        <v>5</v>
      </c>
      <c r="D3089">
        <v>17</v>
      </c>
      <c r="E3089" t="s">
        <v>3080</v>
      </c>
    </row>
    <row r="3090" spans="1:5">
      <c r="A3090">
        <f>HYPERLINK("http://www.twitter.com/nycoem/status/510455351838519296", "510455351838519296")</f>
        <v>0</v>
      </c>
      <c r="B3090" s="2">
        <v>41894.6598842593</v>
      </c>
      <c r="C3090">
        <v>1</v>
      </c>
      <c r="D3090">
        <v>6</v>
      </c>
      <c r="E3090" t="s">
        <v>3081</v>
      </c>
    </row>
    <row r="3091" spans="1:5">
      <c r="A3091">
        <f>HYPERLINK("http://www.twitter.com/nycoem/status/510423318638657536", "510423318638657536")</f>
        <v>0</v>
      </c>
      <c r="B3091" s="2">
        <v>41894.5714930556</v>
      </c>
      <c r="C3091">
        <v>3</v>
      </c>
      <c r="D3091">
        <v>3</v>
      </c>
      <c r="E3091" t="s">
        <v>3082</v>
      </c>
    </row>
    <row r="3092" spans="1:5">
      <c r="A3092">
        <f>HYPERLINK("http://www.twitter.com/nycoem/status/510411362158538752", "510411362158538752")</f>
        <v>0</v>
      </c>
      <c r="B3092" s="2">
        <v>41894.5384953704</v>
      </c>
      <c r="C3092">
        <v>2</v>
      </c>
      <c r="D3092">
        <v>2</v>
      </c>
      <c r="E3092" t="s">
        <v>3083</v>
      </c>
    </row>
    <row r="3093" spans="1:5">
      <c r="A3093">
        <f>HYPERLINK("http://www.twitter.com/nycoem/status/510188733363392512", "510188733363392512")</f>
        <v>0</v>
      </c>
      <c r="B3093" s="2">
        <v>41893.9241550926</v>
      </c>
      <c r="C3093">
        <v>6</v>
      </c>
      <c r="D3093">
        <v>8</v>
      </c>
      <c r="E3093" t="s">
        <v>3084</v>
      </c>
    </row>
    <row r="3094" spans="1:5">
      <c r="A3094">
        <f>HYPERLINK("http://www.twitter.com/nycoem/status/510188490941030402", "510188490941030402")</f>
        <v>0</v>
      </c>
      <c r="B3094" s="2">
        <v>41893.9234837963</v>
      </c>
      <c r="C3094">
        <v>1</v>
      </c>
      <c r="D3094">
        <v>4</v>
      </c>
      <c r="E3094" t="s">
        <v>3085</v>
      </c>
    </row>
    <row r="3095" spans="1:5">
      <c r="A3095">
        <f>HYPERLINK("http://www.twitter.com/nycoem/status/510095646637191168", "510095646637191168")</f>
        <v>0</v>
      </c>
      <c r="B3095" s="2">
        <v>41893.6672800926</v>
      </c>
      <c r="C3095">
        <v>6</v>
      </c>
      <c r="D3095">
        <v>15</v>
      </c>
      <c r="E3095" t="s">
        <v>3086</v>
      </c>
    </row>
    <row r="3096" spans="1:5">
      <c r="A3096">
        <f>HYPERLINK("http://www.twitter.com/nycoem/status/510071602172919808", "510071602172919808")</f>
        <v>0</v>
      </c>
      <c r="B3096" s="2">
        <v>41893.6009375</v>
      </c>
      <c r="C3096">
        <v>0</v>
      </c>
      <c r="D3096">
        <v>46</v>
      </c>
      <c r="E3096" t="s">
        <v>3087</v>
      </c>
    </row>
    <row r="3097" spans="1:5">
      <c r="A3097">
        <f>HYPERLINK("http://www.twitter.com/nycoem/status/510071444597121024", "510071444597121024")</f>
        <v>0</v>
      </c>
      <c r="B3097" s="2">
        <v>41893.6004976852</v>
      </c>
      <c r="C3097">
        <v>0</v>
      </c>
      <c r="D3097">
        <v>1254</v>
      </c>
      <c r="E3097" t="s">
        <v>3088</v>
      </c>
    </row>
    <row r="3098" spans="1:5">
      <c r="A3098">
        <f>HYPERLINK("http://www.twitter.com/nycoem/status/510049091783753728", "510049091783753728")</f>
        <v>0</v>
      </c>
      <c r="B3098" s="2">
        <v>41893.5388194444</v>
      </c>
      <c r="C3098">
        <v>17</v>
      </c>
      <c r="D3098">
        <v>23</v>
      </c>
      <c r="E3098" t="s">
        <v>3089</v>
      </c>
    </row>
    <row r="3099" spans="1:5">
      <c r="A3099">
        <f>HYPERLINK("http://www.twitter.com/nycoem/status/510048401271324672", "510048401271324672")</f>
        <v>0</v>
      </c>
      <c r="B3099" s="2">
        <v>41893.5369097222</v>
      </c>
      <c r="C3099">
        <v>1</v>
      </c>
      <c r="D3099">
        <v>1</v>
      </c>
      <c r="E3099" t="s">
        <v>3090</v>
      </c>
    </row>
    <row r="3100" spans="1:5">
      <c r="A3100">
        <f>HYPERLINK("http://www.twitter.com/nycoem/status/509827415963885568", "509827415963885568")</f>
        <v>0</v>
      </c>
      <c r="B3100" s="2">
        <v>41892.9271064815</v>
      </c>
      <c r="C3100">
        <v>0</v>
      </c>
      <c r="D3100">
        <v>3</v>
      </c>
      <c r="E3100" t="s">
        <v>3091</v>
      </c>
    </row>
    <row r="3101" spans="1:5">
      <c r="A3101">
        <f>HYPERLINK("http://www.twitter.com/nycoem/status/509778502892388352", "509778502892388352")</f>
        <v>0</v>
      </c>
      <c r="B3101" s="2">
        <v>41892.7921296296</v>
      </c>
      <c r="C3101">
        <v>0</v>
      </c>
      <c r="D3101">
        <v>1</v>
      </c>
      <c r="E3101" t="s">
        <v>3092</v>
      </c>
    </row>
    <row r="3102" spans="1:5">
      <c r="A3102">
        <f>HYPERLINK("http://www.twitter.com/nycoem/status/509753477883781120", "509753477883781120")</f>
        <v>0</v>
      </c>
      <c r="B3102" s="2">
        <v>41892.7230787037</v>
      </c>
      <c r="C3102">
        <v>1</v>
      </c>
      <c r="D3102">
        <v>0</v>
      </c>
      <c r="E3102" t="s">
        <v>3093</v>
      </c>
    </row>
    <row r="3103" spans="1:5">
      <c r="A3103">
        <f>HYPERLINK("http://www.twitter.com/nycoem/status/509736839352426496", "509736839352426496")</f>
        <v>0</v>
      </c>
      <c r="B3103" s="2">
        <v>41892.6771643519</v>
      </c>
      <c r="C3103">
        <v>2</v>
      </c>
      <c r="D3103">
        <v>2</v>
      </c>
      <c r="E3103" t="s">
        <v>3094</v>
      </c>
    </row>
    <row r="3104" spans="1:5">
      <c r="A3104">
        <f>HYPERLINK("http://www.twitter.com/nycoem/status/509717897955246080", "509717897955246080")</f>
        <v>0</v>
      </c>
      <c r="B3104" s="2">
        <v>41892.6248958333</v>
      </c>
      <c r="C3104">
        <v>0</v>
      </c>
      <c r="D3104">
        <v>0</v>
      </c>
      <c r="E3104" t="s">
        <v>3095</v>
      </c>
    </row>
    <row r="3105" spans="1:5">
      <c r="A3105">
        <f>HYPERLINK("http://www.twitter.com/nycoem/status/509695664834744320", "509695664834744320")</f>
        <v>0</v>
      </c>
      <c r="B3105" s="2">
        <v>41892.5635416667</v>
      </c>
      <c r="C3105">
        <v>1</v>
      </c>
      <c r="D3105">
        <v>5</v>
      </c>
      <c r="E3105" t="s">
        <v>3096</v>
      </c>
    </row>
    <row r="3106" spans="1:5">
      <c r="A3106">
        <f>HYPERLINK("http://www.twitter.com/nycoem/status/509416637930692608", "509416637930692608")</f>
        <v>0</v>
      </c>
      <c r="B3106" s="2">
        <v>41891.7935763889</v>
      </c>
      <c r="C3106">
        <v>0</v>
      </c>
      <c r="D3106">
        <v>1</v>
      </c>
      <c r="E3106" t="s">
        <v>3097</v>
      </c>
    </row>
    <row r="3107" spans="1:5">
      <c r="A3107">
        <f>HYPERLINK("http://www.twitter.com/nycoem/status/509413472556576768", "509413472556576768")</f>
        <v>0</v>
      </c>
      <c r="B3107" s="2">
        <v>41891.784837963</v>
      </c>
      <c r="C3107">
        <v>0</v>
      </c>
      <c r="D3107">
        <v>2</v>
      </c>
      <c r="E3107" t="s">
        <v>3098</v>
      </c>
    </row>
    <row r="3108" spans="1:5">
      <c r="A3108">
        <f>HYPERLINK("http://www.twitter.com/nycoem/status/509411526131081216", "509411526131081216")</f>
        <v>0</v>
      </c>
      <c r="B3108" s="2">
        <v>41891.7794675926</v>
      </c>
      <c r="C3108">
        <v>0</v>
      </c>
      <c r="D3108">
        <v>3</v>
      </c>
      <c r="E3108" t="s">
        <v>3099</v>
      </c>
    </row>
    <row r="3109" spans="1:5">
      <c r="A3109">
        <f>HYPERLINK("http://www.twitter.com/nycoem/status/509411370979565568", "509411370979565568")</f>
        <v>0</v>
      </c>
      <c r="B3109" s="2">
        <v>41891.7790393519</v>
      </c>
      <c r="C3109">
        <v>0</v>
      </c>
      <c r="D3109">
        <v>2</v>
      </c>
      <c r="E3109" t="s">
        <v>3100</v>
      </c>
    </row>
    <row r="3110" spans="1:5">
      <c r="A3110">
        <f>HYPERLINK("http://www.twitter.com/nycoem/status/509378249823354880", "509378249823354880")</f>
        <v>0</v>
      </c>
      <c r="B3110" s="2">
        <v>41891.687650463</v>
      </c>
      <c r="C3110">
        <v>0</v>
      </c>
      <c r="D3110">
        <v>0</v>
      </c>
      <c r="E3110" t="s">
        <v>3101</v>
      </c>
    </row>
    <row r="3111" spans="1:5">
      <c r="A3111">
        <f>HYPERLINK("http://www.twitter.com/nycoem/status/509367738222276609", "509367738222276609")</f>
        <v>0</v>
      </c>
      <c r="B3111" s="2">
        <v>41891.6586458333</v>
      </c>
      <c r="C3111">
        <v>6</v>
      </c>
      <c r="D3111">
        <v>3</v>
      </c>
      <c r="E3111" t="s">
        <v>3102</v>
      </c>
    </row>
    <row r="3112" spans="1:5">
      <c r="A3112">
        <f>HYPERLINK("http://www.twitter.com/nycoem/status/509366950154481665", "509366950154481665")</f>
        <v>0</v>
      </c>
      <c r="B3112" s="2">
        <v>41891.6564699074</v>
      </c>
      <c r="C3112">
        <v>2</v>
      </c>
      <c r="D3112">
        <v>7</v>
      </c>
      <c r="E3112" t="s">
        <v>3103</v>
      </c>
    </row>
    <row r="3113" spans="1:5">
      <c r="A3113">
        <f>HYPERLINK("http://www.twitter.com/nycoem/status/509342289333075968", "509342289333075968")</f>
        <v>0</v>
      </c>
      <c r="B3113" s="2">
        <v>41891.5884143518</v>
      </c>
      <c r="C3113">
        <v>0</v>
      </c>
      <c r="D3113">
        <v>0</v>
      </c>
      <c r="E3113" t="s">
        <v>3104</v>
      </c>
    </row>
    <row r="3114" spans="1:5">
      <c r="A3114">
        <f>HYPERLINK("http://www.twitter.com/nycoem/status/509327999603585027", "509327999603585027")</f>
        <v>0</v>
      </c>
      <c r="B3114" s="2">
        <v>41891.5489814815</v>
      </c>
      <c r="C3114">
        <v>2</v>
      </c>
      <c r="D3114">
        <v>5</v>
      </c>
      <c r="E3114" t="s">
        <v>3105</v>
      </c>
    </row>
    <row r="3115" spans="1:5">
      <c r="A3115">
        <f>HYPERLINK("http://www.twitter.com/nycoem/status/509319128780664832", "509319128780664832")</f>
        <v>0</v>
      </c>
      <c r="B3115" s="2">
        <v>41891.5245023148</v>
      </c>
      <c r="C3115">
        <v>0</v>
      </c>
      <c r="D3115">
        <v>3</v>
      </c>
      <c r="E3115" t="s">
        <v>3106</v>
      </c>
    </row>
    <row r="3116" spans="1:5">
      <c r="A3116">
        <f>HYPERLINK("http://www.twitter.com/nycoem/status/509111505280061443", "509111505280061443")</f>
        <v>0</v>
      </c>
      <c r="B3116" s="2">
        <v>41890.9515740741</v>
      </c>
      <c r="C3116">
        <v>0</v>
      </c>
      <c r="D3116">
        <v>4</v>
      </c>
      <c r="E3116" t="s">
        <v>3107</v>
      </c>
    </row>
    <row r="3117" spans="1:5">
      <c r="A3117">
        <f>HYPERLINK("http://www.twitter.com/nycoem/status/509096418196598785", "509096418196598785")</f>
        <v>0</v>
      </c>
      <c r="B3117" s="2">
        <v>41890.9099421296</v>
      </c>
      <c r="C3117">
        <v>1</v>
      </c>
      <c r="D3117">
        <v>2</v>
      </c>
      <c r="E3117" t="s">
        <v>3108</v>
      </c>
    </row>
    <row r="3118" spans="1:5">
      <c r="A3118">
        <f>HYPERLINK("http://www.twitter.com/nycoem/status/509054930225999873", "509054930225999873")</f>
        <v>0</v>
      </c>
      <c r="B3118" s="2">
        <v>41890.7954513889</v>
      </c>
      <c r="C3118">
        <v>0</v>
      </c>
      <c r="D3118">
        <v>0</v>
      </c>
      <c r="E3118" t="s">
        <v>3109</v>
      </c>
    </row>
    <row r="3119" spans="1:5">
      <c r="A3119">
        <f>HYPERLINK("http://www.twitter.com/nycoem/status/509015308074749952", "509015308074749952")</f>
        <v>0</v>
      </c>
      <c r="B3119" s="2">
        <v>41890.6861226852</v>
      </c>
      <c r="C3119">
        <v>0</v>
      </c>
      <c r="D3119">
        <v>4</v>
      </c>
      <c r="E3119" t="s">
        <v>3110</v>
      </c>
    </row>
    <row r="3120" spans="1:5">
      <c r="A3120">
        <f>HYPERLINK("http://www.twitter.com/nycoem/status/509013249439059968", "509013249439059968")</f>
        <v>0</v>
      </c>
      <c r="B3120" s="2">
        <v>41890.6804398148</v>
      </c>
      <c r="C3120">
        <v>0</v>
      </c>
      <c r="D3120">
        <v>0</v>
      </c>
      <c r="E3120" t="s">
        <v>3111</v>
      </c>
    </row>
    <row r="3121" spans="1:5">
      <c r="A3121">
        <f>HYPERLINK("http://www.twitter.com/nycoem/status/509007028199915521", "509007028199915521")</f>
        <v>0</v>
      </c>
      <c r="B3121" s="2">
        <v>41890.663275463</v>
      </c>
      <c r="C3121">
        <v>1</v>
      </c>
      <c r="D3121">
        <v>4</v>
      </c>
      <c r="E3121" t="s">
        <v>3112</v>
      </c>
    </row>
    <row r="3122" spans="1:5">
      <c r="A3122">
        <f>HYPERLINK("http://www.twitter.com/nycoem/status/508965548299132929", "508965548299132929")</f>
        <v>0</v>
      </c>
      <c r="B3122" s="2">
        <v>41890.5488078704</v>
      </c>
      <c r="C3122">
        <v>1</v>
      </c>
      <c r="D3122">
        <v>4</v>
      </c>
      <c r="E3122" t="s">
        <v>3113</v>
      </c>
    </row>
    <row r="3123" spans="1:5">
      <c r="A3123">
        <f>HYPERLINK("http://www.twitter.com/nycoem/status/508336729670303744", "508336729670303744")</f>
        <v>0</v>
      </c>
      <c r="B3123" s="2">
        <v>41888.813599537</v>
      </c>
      <c r="C3123">
        <v>1</v>
      </c>
      <c r="D3123">
        <v>8</v>
      </c>
      <c r="E3123" t="s">
        <v>3114</v>
      </c>
    </row>
    <row r="3124" spans="1:5">
      <c r="A3124">
        <f>HYPERLINK("http://www.twitter.com/nycoem/status/508287536188628993", "508287536188628993")</f>
        <v>0</v>
      </c>
      <c r="B3124" s="2">
        <v>41888.6778472222</v>
      </c>
      <c r="C3124">
        <v>0</v>
      </c>
      <c r="D3124">
        <v>4</v>
      </c>
      <c r="E3124" t="s">
        <v>3115</v>
      </c>
    </row>
    <row r="3125" spans="1:5">
      <c r="A3125">
        <f>HYPERLINK("http://www.twitter.com/nycoem/status/508236949984129024", "508236949984129024")</f>
        <v>0</v>
      </c>
      <c r="B3125" s="2">
        <v>41888.5382638889</v>
      </c>
      <c r="C3125">
        <v>2</v>
      </c>
      <c r="D3125">
        <v>4</v>
      </c>
      <c r="E3125" t="s">
        <v>3116</v>
      </c>
    </row>
    <row r="3126" spans="1:5">
      <c r="A3126">
        <f>HYPERLINK("http://www.twitter.com/nycoem/status/508025542579597313", "508025542579597313")</f>
        <v>0</v>
      </c>
      <c r="B3126" s="2">
        <v>41887.9548842593</v>
      </c>
      <c r="C3126">
        <v>2</v>
      </c>
      <c r="D3126">
        <v>1</v>
      </c>
      <c r="E3126" t="s">
        <v>3117</v>
      </c>
    </row>
    <row r="3127" spans="1:5">
      <c r="A3127">
        <f>HYPERLINK("http://www.twitter.com/nycoem/status/508006203323334656", "508006203323334656")</f>
        <v>0</v>
      </c>
      <c r="B3127" s="2">
        <v>41887.9015162037</v>
      </c>
      <c r="C3127">
        <v>1</v>
      </c>
      <c r="D3127">
        <v>3</v>
      </c>
      <c r="E3127" t="s">
        <v>3118</v>
      </c>
    </row>
    <row r="3128" spans="1:5">
      <c r="A3128">
        <f>HYPERLINK("http://www.twitter.com/nycoem/status/507999505292472320", "507999505292472320")</f>
        <v>0</v>
      </c>
      <c r="B3128" s="2">
        <v>41887.8830324074</v>
      </c>
      <c r="C3128">
        <v>2</v>
      </c>
      <c r="D3128">
        <v>3</v>
      </c>
      <c r="E3128" t="s">
        <v>3119</v>
      </c>
    </row>
    <row r="3129" spans="1:5">
      <c r="A3129">
        <f>HYPERLINK("http://www.twitter.com/nycoem/status/507967823826944000", "507967823826944000")</f>
        <v>0</v>
      </c>
      <c r="B3129" s="2">
        <v>41887.7956134259</v>
      </c>
      <c r="C3129">
        <v>2</v>
      </c>
      <c r="D3129">
        <v>8</v>
      </c>
      <c r="E3129" t="s">
        <v>3120</v>
      </c>
    </row>
    <row r="3130" spans="1:5">
      <c r="A3130">
        <f>HYPERLINK("http://www.twitter.com/nycoem/status/507963107088822272", "507963107088822272")</f>
        <v>0</v>
      </c>
      <c r="B3130" s="2">
        <v>41887.7825925926</v>
      </c>
      <c r="C3130">
        <v>1</v>
      </c>
      <c r="D3130">
        <v>3</v>
      </c>
      <c r="E3130" t="s">
        <v>3121</v>
      </c>
    </row>
    <row r="3131" spans="1:5">
      <c r="A3131">
        <f>HYPERLINK("http://www.twitter.com/nycoem/status/507962311760695296", "507962311760695296")</f>
        <v>0</v>
      </c>
      <c r="B3131" s="2">
        <v>41887.7804050926</v>
      </c>
      <c r="C3131">
        <v>2</v>
      </c>
      <c r="D3131">
        <v>7</v>
      </c>
      <c r="E3131" t="s">
        <v>3122</v>
      </c>
    </row>
    <row r="3132" spans="1:5">
      <c r="A3132">
        <f>HYPERLINK("http://www.twitter.com/nycoem/status/507962216688398336", "507962216688398336")</f>
        <v>0</v>
      </c>
      <c r="B3132" s="2">
        <v>41887.7801388889</v>
      </c>
      <c r="C3132">
        <v>10</v>
      </c>
      <c r="D3132">
        <v>21</v>
      </c>
      <c r="E3132" t="s">
        <v>3123</v>
      </c>
    </row>
    <row r="3133" spans="1:5">
      <c r="A3133">
        <f>HYPERLINK("http://www.twitter.com/nycoem/status/507962018381709312", "507962018381709312")</f>
        <v>0</v>
      </c>
      <c r="B3133" s="2">
        <v>41887.7795949074</v>
      </c>
      <c r="C3133">
        <v>0</v>
      </c>
      <c r="D3133">
        <v>2</v>
      </c>
      <c r="E3133" t="s">
        <v>3124</v>
      </c>
    </row>
    <row r="3134" spans="1:5">
      <c r="A3134">
        <f>HYPERLINK("http://www.twitter.com/nycoem/status/507961319916847104", "507961319916847104")</f>
        <v>0</v>
      </c>
      <c r="B3134" s="2">
        <v>41887.777662037</v>
      </c>
      <c r="C3134">
        <v>0</v>
      </c>
      <c r="D3134">
        <v>1</v>
      </c>
      <c r="E3134" t="s">
        <v>3125</v>
      </c>
    </row>
    <row r="3135" spans="1:5">
      <c r="A3135">
        <f>HYPERLINK("http://www.twitter.com/nycoem/status/507961191604707328", "507961191604707328")</f>
        <v>0</v>
      </c>
      <c r="B3135" s="2">
        <v>41887.7773148148</v>
      </c>
      <c r="C3135">
        <v>1</v>
      </c>
      <c r="D3135">
        <v>0</v>
      </c>
      <c r="E3135" t="s">
        <v>3126</v>
      </c>
    </row>
    <row r="3136" spans="1:5">
      <c r="A3136">
        <f>HYPERLINK("http://www.twitter.com/nycoem/status/507960358930501632", "507960358930501632")</f>
        <v>0</v>
      </c>
      <c r="B3136" s="2">
        <v>41887.7750115741</v>
      </c>
      <c r="C3136">
        <v>0</v>
      </c>
      <c r="D3136">
        <v>2</v>
      </c>
      <c r="E3136" t="s">
        <v>3127</v>
      </c>
    </row>
    <row r="3137" spans="1:5">
      <c r="A3137">
        <f>HYPERLINK("http://www.twitter.com/nycoem/status/507959207967334400", "507959207967334400")</f>
        <v>0</v>
      </c>
      <c r="B3137" s="2">
        <v>41887.7718402778</v>
      </c>
      <c r="C3137">
        <v>1</v>
      </c>
      <c r="D3137">
        <v>0</v>
      </c>
      <c r="E3137" t="s">
        <v>3128</v>
      </c>
    </row>
    <row r="3138" spans="1:5">
      <c r="A3138">
        <f>HYPERLINK("http://www.twitter.com/nycoem/status/507957834278256640", "507957834278256640")</f>
        <v>0</v>
      </c>
      <c r="B3138" s="2">
        <v>41887.7680439815</v>
      </c>
      <c r="C3138">
        <v>1</v>
      </c>
      <c r="D3138">
        <v>1</v>
      </c>
      <c r="E3138" t="s">
        <v>3129</v>
      </c>
    </row>
    <row r="3139" spans="1:5">
      <c r="A3139">
        <f>HYPERLINK("http://www.twitter.com/nycoem/status/507957672923394048", "507957672923394048")</f>
        <v>0</v>
      </c>
      <c r="B3139" s="2">
        <v>41887.7676041667</v>
      </c>
      <c r="C3139">
        <v>0</v>
      </c>
      <c r="D3139">
        <v>9</v>
      </c>
      <c r="E3139" t="s">
        <v>3130</v>
      </c>
    </row>
    <row r="3140" spans="1:5">
      <c r="A3140">
        <f>HYPERLINK("http://www.twitter.com/nycoem/status/507919042020388864", "507919042020388864")</f>
        <v>0</v>
      </c>
      <c r="B3140" s="2">
        <v>41887.6609953704</v>
      </c>
      <c r="C3140">
        <v>1</v>
      </c>
      <c r="D3140">
        <v>1</v>
      </c>
      <c r="E3140" t="s">
        <v>3131</v>
      </c>
    </row>
    <row r="3141" spans="1:5">
      <c r="A3141">
        <f>HYPERLINK("http://www.twitter.com/nycoem/status/507918362966753280", "507918362966753280")</f>
        <v>0</v>
      </c>
      <c r="B3141" s="2">
        <v>41887.6591319444</v>
      </c>
      <c r="C3141">
        <v>1</v>
      </c>
      <c r="D3141">
        <v>3</v>
      </c>
      <c r="E3141" t="s">
        <v>3132</v>
      </c>
    </row>
    <row r="3142" spans="1:5">
      <c r="A3142">
        <f>HYPERLINK("http://www.twitter.com/nycoem/status/507911601924878337", "507911601924878337")</f>
        <v>0</v>
      </c>
      <c r="B3142" s="2">
        <v>41887.640474537</v>
      </c>
      <c r="C3142">
        <v>0</v>
      </c>
      <c r="D3142">
        <v>3</v>
      </c>
      <c r="E3142" t="s">
        <v>3133</v>
      </c>
    </row>
    <row r="3143" spans="1:5">
      <c r="A3143">
        <f>HYPERLINK("http://www.twitter.com/nycoem/status/507904529531408384", "507904529531408384")</f>
        <v>0</v>
      </c>
      <c r="B3143" s="2">
        <v>41887.6209490741</v>
      </c>
      <c r="C3143">
        <v>3</v>
      </c>
      <c r="D3143">
        <v>10</v>
      </c>
      <c r="E3143" t="s">
        <v>3134</v>
      </c>
    </row>
    <row r="3144" spans="1:5">
      <c r="A3144">
        <f>HYPERLINK("http://www.twitter.com/nycoem/status/507902600063483904", "507902600063483904")</f>
        <v>0</v>
      </c>
      <c r="B3144" s="2">
        <v>41887.615625</v>
      </c>
      <c r="C3144">
        <v>0</v>
      </c>
      <c r="D3144">
        <v>0</v>
      </c>
      <c r="E3144" t="s">
        <v>3135</v>
      </c>
    </row>
    <row r="3145" spans="1:5">
      <c r="A3145">
        <f>HYPERLINK("http://www.twitter.com/nycoem/status/507889487767425024", "507889487767425024")</f>
        <v>0</v>
      </c>
      <c r="B3145" s="2">
        <v>41887.5794444444</v>
      </c>
      <c r="C3145">
        <v>0</v>
      </c>
      <c r="D3145">
        <v>2</v>
      </c>
      <c r="E3145" t="s">
        <v>3136</v>
      </c>
    </row>
    <row r="3146" spans="1:5">
      <c r="A3146">
        <f>HYPERLINK("http://www.twitter.com/nycoem/status/507877890399010816", "507877890399010816")</f>
        <v>0</v>
      </c>
      <c r="B3146" s="2">
        <v>41887.5474421296</v>
      </c>
      <c r="C3146">
        <v>0</v>
      </c>
      <c r="D3146">
        <v>0</v>
      </c>
      <c r="E3146" t="s">
        <v>3137</v>
      </c>
    </row>
    <row r="3147" spans="1:5">
      <c r="A3147">
        <f>HYPERLINK("http://www.twitter.com/nycoem/status/507874855967285248", "507874855967285248")</f>
        <v>0</v>
      </c>
      <c r="B3147" s="2">
        <v>41887.5390740741</v>
      </c>
      <c r="C3147">
        <v>1</v>
      </c>
      <c r="D3147">
        <v>7</v>
      </c>
      <c r="E3147" t="s">
        <v>3138</v>
      </c>
    </row>
    <row r="3148" spans="1:5">
      <c r="A3148">
        <f>HYPERLINK("http://www.twitter.com/nycoem/status/507872854202126336", "507872854202126336")</f>
        <v>0</v>
      </c>
      <c r="B3148" s="2">
        <v>41887.5335416667</v>
      </c>
      <c r="C3148">
        <v>1</v>
      </c>
      <c r="D3148">
        <v>3</v>
      </c>
      <c r="E3148" t="s">
        <v>3139</v>
      </c>
    </row>
    <row r="3149" spans="1:5">
      <c r="A3149">
        <f>HYPERLINK("http://www.twitter.com/nycoem/status/507871252900745216", "507871252900745216")</f>
        <v>0</v>
      </c>
      <c r="B3149" s="2">
        <v>41887.5291319444</v>
      </c>
      <c r="C3149">
        <v>0</v>
      </c>
      <c r="D3149">
        <v>3</v>
      </c>
      <c r="E3149" t="s">
        <v>3140</v>
      </c>
    </row>
    <row r="3150" spans="1:5">
      <c r="A3150">
        <f>HYPERLINK("http://www.twitter.com/nycoem/status/507870742739169281", "507870742739169281")</f>
        <v>0</v>
      </c>
      <c r="B3150" s="2">
        <v>41887.5277199074</v>
      </c>
      <c r="C3150">
        <v>1</v>
      </c>
      <c r="D3150">
        <v>3</v>
      </c>
      <c r="E3150" t="s">
        <v>3141</v>
      </c>
    </row>
    <row r="3151" spans="1:5">
      <c r="A3151">
        <f>HYPERLINK("http://www.twitter.com/nycoem/status/507868812990238720", "507868812990238720")</f>
        <v>0</v>
      </c>
      <c r="B3151" s="2">
        <v>41887.5223958333</v>
      </c>
      <c r="C3151">
        <v>0</v>
      </c>
      <c r="D3151">
        <v>2</v>
      </c>
      <c r="E3151" t="s">
        <v>3142</v>
      </c>
    </row>
    <row r="3152" spans="1:5">
      <c r="A3152">
        <f>HYPERLINK("http://www.twitter.com/nycoem/status/507867849495674880", "507867849495674880")</f>
        <v>0</v>
      </c>
      <c r="B3152" s="2">
        <v>41887.5197337963</v>
      </c>
      <c r="C3152">
        <v>0</v>
      </c>
      <c r="D3152">
        <v>1</v>
      </c>
      <c r="E3152" t="s">
        <v>3143</v>
      </c>
    </row>
    <row r="3153" spans="1:5">
      <c r="A3153">
        <f>HYPERLINK("http://www.twitter.com/nycoem/status/507861078168965121", "507861078168965121")</f>
        <v>0</v>
      </c>
      <c r="B3153" s="2">
        <v>41887.5010532407</v>
      </c>
      <c r="C3153">
        <v>2</v>
      </c>
      <c r="D3153">
        <v>8</v>
      </c>
      <c r="E3153" t="s">
        <v>3144</v>
      </c>
    </row>
    <row r="3154" spans="1:5">
      <c r="A3154">
        <f>HYPERLINK("http://www.twitter.com/nycoem/status/507650584598806528", "507650584598806528")</f>
        <v>0</v>
      </c>
      <c r="B3154" s="2">
        <v>41886.9201967593</v>
      </c>
      <c r="C3154">
        <v>1</v>
      </c>
      <c r="D3154">
        <v>6</v>
      </c>
      <c r="E3154" t="s">
        <v>3145</v>
      </c>
    </row>
    <row r="3155" spans="1:5">
      <c r="A3155">
        <f>HYPERLINK("http://www.twitter.com/nycoem/status/507602842039762944", "507602842039762944")</f>
        <v>0</v>
      </c>
      <c r="B3155" s="2">
        <v>41886.7884606481</v>
      </c>
      <c r="C3155">
        <v>0</v>
      </c>
      <c r="D3155">
        <v>5</v>
      </c>
      <c r="E3155" t="s">
        <v>3146</v>
      </c>
    </row>
    <row r="3156" spans="1:5">
      <c r="A3156">
        <f>HYPERLINK("http://www.twitter.com/nycoem/status/507593322094166016", "507593322094166016")</f>
        <v>0</v>
      </c>
      <c r="B3156" s="2">
        <v>41886.7621875</v>
      </c>
      <c r="C3156">
        <v>1</v>
      </c>
      <c r="D3156">
        <v>1</v>
      </c>
      <c r="E3156" t="s">
        <v>3147</v>
      </c>
    </row>
    <row r="3157" spans="1:5">
      <c r="A3157">
        <f>HYPERLINK("http://www.twitter.com/nycoem/status/507556238776102912", "507556238776102912")</f>
        <v>0</v>
      </c>
      <c r="B3157" s="2">
        <v>41886.659849537</v>
      </c>
      <c r="C3157">
        <v>2</v>
      </c>
      <c r="D3157">
        <v>4</v>
      </c>
      <c r="E3157" t="s">
        <v>3148</v>
      </c>
    </row>
    <row r="3158" spans="1:5">
      <c r="A3158">
        <f>HYPERLINK("http://www.twitter.com/nycoem/status/507531247359655936", "507531247359655936")</f>
        <v>0</v>
      </c>
      <c r="B3158" s="2">
        <v>41886.5908912037</v>
      </c>
      <c r="C3158">
        <v>0</v>
      </c>
      <c r="D3158">
        <v>8</v>
      </c>
      <c r="E3158" t="s">
        <v>3149</v>
      </c>
    </row>
    <row r="3159" spans="1:5">
      <c r="A3159">
        <f>HYPERLINK("http://www.twitter.com/nycoem/status/507512261486075904", "507512261486075904")</f>
        <v>0</v>
      </c>
      <c r="B3159" s="2">
        <v>41886.5384953704</v>
      </c>
      <c r="C3159">
        <v>1</v>
      </c>
      <c r="D3159">
        <v>2</v>
      </c>
      <c r="E3159" t="s">
        <v>3150</v>
      </c>
    </row>
    <row r="3160" spans="1:5">
      <c r="A3160">
        <f>HYPERLINK("http://www.twitter.com/nycoem/status/507506978881826816", "507506978881826816")</f>
        <v>0</v>
      </c>
      <c r="B3160" s="2">
        <v>41886.5239236111</v>
      </c>
      <c r="C3160">
        <v>0</v>
      </c>
      <c r="D3160">
        <v>0</v>
      </c>
      <c r="E3160" t="s">
        <v>3151</v>
      </c>
    </row>
    <row r="3161" spans="1:5">
      <c r="A3161">
        <f>HYPERLINK("http://www.twitter.com/nycoem/status/507340164998660098", "507340164998660098")</f>
        <v>0</v>
      </c>
      <c r="B3161" s="2">
        <v>41886.063599537</v>
      </c>
      <c r="C3161">
        <v>3</v>
      </c>
      <c r="D3161">
        <v>9</v>
      </c>
      <c r="E3161" t="s">
        <v>3152</v>
      </c>
    </row>
    <row r="3162" spans="1:5">
      <c r="A3162">
        <f>HYPERLINK("http://www.twitter.com/nycoem/status/507284494228131841", "507284494228131841")</f>
        <v>0</v>
      </c>
      <c r="B3162" s="2">
        <v>41885.9099768518</v>
      </c>
      <c r="C3162">
        <v>2</v>
      </c>
      <c r="D3162">
        <v>9</v>
      </c>
      <c r="E3162" t="s">
        <v>3153</v>
      </c>
    </row>
    <row r="3163" spans="1:5">
      <c r="A3163">
        <f>HYPERLINK("http://www.twitter.com/nycoem/status/507239209691013120", "507239209691013120")</f>
        <v>0</v>
      </c>
      <c r="B3163" s="2">
        <v>41885.7850231481</v>
      </c>
      <c r="C3163">
        <v>0</v>
      </c>
      <c r="D3163">
        <v>3</v>
      </c>
      <c r="E3163" t="s">
        <v>3154</v>
      </c>
    </row>
    <row r="3164" spans="1:5">
      <c r="A3164">
        <f>HYPERLINK("http://www.twitter.com/nycoem/status/507193840596688898", "507193840596688898")</f>
        <v>0</v>
      </c>
      <c r="B3164" s="2">
        <v>41885.6598263889</v>
      </c>
      <c r="C3164">
        <v>0</v>
      </c>
      <c r="D3164">
        <v>4</v>
      </c>
      <c r="E3164" t="s">
        <v>3155</v>
      </c>
    </row>
    <row r="3165" spans="1:5">
      <c r="A3165">
        <f>HYPERLINK("http://www.twitter.com/nycoem/status/506927102239965184", "506927102239965184")</f>
        <v>0</v>
      </c>
      <c r="B3165" s="2">
        <v>41884.9237731481</v>
      </c>
      <c r="C3165">
        <v>0</v>
      </c>
      <c r="D3165">
        <v>3</v>
      </c>
      <c r="E3165" t="s">
        <v>3156</v>
      </c>
    </row>
    <row r="3166" spans="1:5">
      <c r="A3166">
        <f>HYPERLINK("http://www.twitter.com/nycoem/status/506880557557755905", "506880557557755905")</f>
        <v>0</v>
      </c>
      <c r="B3166" s="2">
        <v>41884.7953240741</v>
      </c>
      <c r="C3166">
        <v>3</v>
      </c>
      <c r="D3166">
        <v>3</v>
      </c>
      <c r="E3166" t="s">
        <v>3157</v>
      </c>
    </row>
    <row r="3167" spans="1:5">
      <c r="A3167">
        <f>HYPERLINK("http://www.twitter.com/nycoem/status/506864557693095937", "506864557693095937")</f>
        <v>0</v>
      </c>
      <c r="B3167" s="2">
        <v>41884.7511805556</v>
      </c>
      <c r="C3167">
        <v>0</v>
      </c>
      <c r="D3167">
        <v>4</v>
      </c>
      <c r="E3167" t="s">
        <v>3158</v>
      </c>
    </row>
    <row r="3168" spans="1:5">
      <c r="A3168">
        <f>HYPERLINK("http://www.twitter.com/nycoem/status/506835275495243776", "506835275495243776")</f>
        <v>0</v>
      </c>
      <c r="B3168" s="2">
        <v>41884.6703703704</v>
      </c>
      <c r="C3168">
        <v>1</v>
      </c>
      <c r="D3168">
        <v>5</v>
      </c>
      <c r="E3168" t="s">
        <v>3159</v>
      </c>
    </row>
    <row r="3169" spans="1:5">
      <c r="A3169">
        <f>HYPERLINK("http://www.twitter.com/nycoem/status/506808220992962560", "506808220992962560")</f>
        <v>0</v>
      </c>
      <c r="B3169" s="2">
        <v>41884.5957175926</v>
      </c>
      <c r="C3169">
        <v>1</v>
      </c>
      <c r="D3169">
        <v>8</v>
      </c>
      <c r="E3169" t="s">
        <v>3160</v>
      </c>
    </row>
    <row r="3170" spans="1:5">
      <c r="A3170">
        <f>HYPERLINK("http://www.twitter.com/nycoem/status/506789249413570561", "506789249413570561")</f>
        <v>0</v>
      </c>
      <c r="B3170" s="2">
        <v>41884.5433680556</v>
      </c>
      <c r="C3170">
        <v>3</v>
      </c>
      <c r="D3170">
        <v>6</v>
      </c>
      <c r="E3170" t="s">
        <v>3161</v>
      </c>
    </row>
    <row r="3171" spans="1:5">
      <c r="A3171">
        <f>HYPERLINK("http://www.twitter.com/nycoem/status/506536475144777728", "506536475144777728")</f>
        <v>0</v>
      </c>
      <c r="B3171" s="2">
        <v>41883.8458449074</v>
      </c>
      <c r="C3171">
        <v>2</v>
      </c>
      <c r="D3171">
        <v>2</v>
      </c>
      <c r="E3171" t="s">
        <v>3162</v>
      </c>
    </row>
    <row r="3172" spans="1:5">
      <c r="A3172">
        <f>HYPERLINK("http://www.twitter.com/nycoem/status/506490187837612032", "506490187837612032")</f>
        <v>0</v>
      </c>
      <c r="B3172" s="2">
        <v>41883.7181134259</v>
      </c>
      <c r="C3172">
        <v>1</v>
      </c>
      <c r="D3172">
        <v>3</v>
      </c>
      <c r="E3172" t="s">
        <v>3163</v>
      </c>
    </row>
    <row r="3173" spans="1:5">
      <c r="A3173">
        <f>HYPERLINK("http://www.twitter.com/nycoem/status/505049461132128256", "505049461132128256")</f>
        <v>0</v>
      </c>
      <c r="B3173" s="2">
        <v>41879.7424652778</v>
      </c>
      <c r="C3173">
        <v>1</v>
      </c>
      <c r="D3173">
        <v>5</v>
      </c>
      <c r="E3173" t="s">
        <v>3164</v>
      </c>
    </row>
    <row r="3174" spans="1:5">
      <c r="A3174">
        <f>HYPERLINK("http://www.twitter.com/nycoem/status/504684570055561216", "504684570055561216")</f>
        <v>0</v>
      </c>
      <c r="B3174" s="2">
        <v>41878.7355555556</v>
      </c>
      <c r="C3174">
        <v>5</v>
      </c>
      <c r="D3174">
        <v>15</v>
      </c>
      <c r="E3174" t="s">
        <v>3165</v>
      </c>
    </row>
    <row r="3175" spans="1:5">
      <c r="A3175">
        <f>HYPERLINK("http://www.twitter.com/nycoem/status/503976920036704256", "503976920036704256")</f>
        <v>0</v>
      </c>
      <c r="B3175" s="2">
        <v>41876.7828125</v>
      </c>
      <c r="C3175">
        <v>3</v>
      </c>
      <c r="D3175">
        <v>6</v>
      </c>
      <c r="E3175" t="s">
        <v>3166</v>
      </c>
    </row>
    <row r="3176" spans="1:5">
      <c r="A3176">
        <f>HYPERLINK("http://www.twitter.com/nycoem/status/502911013667495936", "502911013667495936")</f>
        <v>0</v>
      </c>
      <c r="B3176" s="2">
        <v>41873.8414699074</v>
      </c>
      <c r="C3176">
        <v>1</v>
      </c>
      <c r="D3176">
        <v>4</v>
      </c>
      <c r="E3176" t="s">
        <v>3167</v>
      </c>
    </row>
    <row r="3177" spans="1:5">
      <c r="A3177">
        <f>HYPERLINK("http://www.twitter.com/nycoem/status/502526556095668226", "502526556095668226")</f>
        <v>0</v>
      </c>
      <c r="B3177" s="2">
        <v>41872.7805787037</v>
      </c>
      <c r="C3177">
        <v>4</v>
      </c>
      <c r="D3177">
        <v>4</v>
      </c>
      <c r="E3177" t="s">
        <v>3168</v>
      </c>
    </row>
    <row r="3178" spans="1:5">
      <c r="A3178">
        <f>HYPERLINK("http://www.twitter.com/nycoem/status/501779756229332993", "501779756229332993")</f>
        <v>0</v>
      </c>
      <c r="B3178" s="2">
        <v>41870.7198032407</v>
      </c>
      <c r="C3178">
        <v>0</v>
      </c>
      <c r="D3178">
        <v>78</v>
      </c>
      <c r="E3178" t="s">
        <v>3169</v>
      </c>
    </row>
    <row r="3179" spans="1:5">
      <c r="A3179">
        <f>HYPERLINK("http://www.twitter.com/nycoem/status/501753694686556160", "501753694686556160")</f>
        <v>0</v>
      </c>
      <c r="B3179" s="2">
        <v>41870.6478819444</v>
      </c>
      <c r="C3179">
        <v>0</v>
      </c>
      <c r="D3179">
        <v>1</v>
      </c>
      <c r="E3179" t="s">
        <v>3170</v>
      </c>
    </row>
    <row r="3180" spans="1:5">
      <c r="A3180">
        <f>HYPERLINK("http://www.twitter.com/nycoem/status/501424464224321536", "501424464224321536")</f>
        <v>0</v>
      </c>
      <c r="B3180" s="2">
        <v>41869.739375</v>
      </c>
      <c r="C3180">
        <v>1</v>
      </c>
      <c r="D3180">
        <v>3</v>
      </c>
      <c r="E3180" t="s">
        <v>3171</v>
      </c>
    </row>
    <row r="3181" spans="1:5">
      <c r="A3181">
        <f>HYPERLINK("http://www.twitter.com/nycoem/status/500402485631410179", "500402485631410179")</f>
        <v>0</v>
      </c>
      <c r="B3181" s="2">
        <v>41866.9192592593</v>
      </c>
      <c r="C3181">
        <v>11</v>
      </c>
      <c r="D3181">
        <v>13</v>
      </c>
      <c r="E3181" t="s">
        <v>3172</v>
      </c>
    </row>
    <row r="3182" spans="1:5">
      <c r="A3182">
        <f>HYPERLINK("http://www.twitter.com/nycoem/status/500319261932658688", "500319261932658688")</f>
        <v>0</v>
      </c>
      <c r="B3182" s="2">
        <v>41866.6896064815</v>
      </c>
      <c r="C3182">
        <v>2</v>
      </c>
      <c r="D3182">
        <v>3</v>
      </c>
      <c r="E3182" t="s">
        <v>3173</v>
      </c>
    </row>
    <row r="3183" spans="1:5">
      <c r="A3183">
        <f>HYPERLINK("http://www.twitter.com/nycoem/status/500314612710277120", "500314612710277120")</f>
        <v>0</v>
      </c>
      <c r="B3183" s="2">
        <v>41866.6767708333</v>
      </c>
      <c r="C3183">
        <v>7</v>
      </c>
      <c r="D3183">
        <v>5</v>
      </c>
      <c r="E3183" t="s">
        <v>3174</v>
      </c>
    </row>
    <row r="3184" spans="1:5">
      <c r="A3184">
        <f>HYPERLINK("http://www.twitter.com/nycoem/status/500311132998230016", "500311132998230016")</f>
        <v>0</v>
      </c>
      <c r="B3184" s="2">
        <v>41866.6671759259</v>
      </c>
      <c r="C3184">
        <v>0</v>
      </c>
      <c r="D3184">
        <v>3</v>
      </c>
      <c r="E3184" t="s">
        <v>3175</v>
      </c>
    </row>
    <row r="3185" spans="1:5">
      <c r="A3185">
        <f>HYPERLINK("http://www.twitter.com/nycoem/status/500283291363459073", "500283291363459073")</f>
        <v>0</v>
      </c>
      <c r="B3185" s="2">
        <v>41866.5903472222</v>
      </c>
      <c r="C3185">
        <v>1</v>
      </c>
      <c r="D3185">
        <v>3</v>
      </c>
      <c r="E3185" t="s">
        <v>3176</v>
      </c>
    </row>
    <row r="3186" spans="1:5">
      <c r="A3186">
        <f>HYPERLINK("http://www.twitter.com/nycoem/status/500267089773723649", "500267089773723649")</f>
        <v>0</v>
      </c>
      <c r="B3186" s="2">
        <v>41866.5456365741</v>
      </c>
      <c r="C3186">
        <v>0</v>
      </c>
      <c r="D3186">
        <v>0</v>
      </c>
      <c r="E3186" t="s">
        <v>3177</v>
      </c>
    </row>
    <row r="3187" spans="1:5">
      <c r="A3187">
        <f>HYPERLINK("http://www.twitter.com/nycoem/status/500049418457190400", "500049418457190400")</f>
        <v>0</v>
      </c>
      <c r="B3187" s="2">
        <v>41865.9449768519</v>
      </c>
      <c r="C3187">
        <v>0</v>
      </c>
      <c r="D3187">
        <v>3</v>
      </c>
      <c r="E3187" t="s">
        <v>3178</v>
      </c>
    </row>
    <row r="3188" spans="1:5">
      <c r="A3188">
        <f>HYPERLINK("http://www.twitter.com/nycoem/status/500049303185158144", "500049303185158144")</f>
        <v>0</v>
      </c>
      <c r="B3188" s="2">
        <v>41865.9446643519</v>
      </c>
      <c r="C3188">
        <v>1</v>
      </c>
      <c r="D3188">
        <v>0</v>
      </c>
      <c r="E3188" t="s">
        <v>3179</v>
      </c>
    </row>
    <row r="3189" spans="1:5">
      <c r="A3189">
        <f>HYPERLINK("http://www.twitter.com/nycoem/status/500000530207612928", "500000530207612928")</f>
        <v>0</v>
      </c>
      <c r="B3189" s="2">
        <v>41865.8100694444</v>
      </c>
      <c r="C3189">
        <v>1</v>
      </c>
      <c r="D3189">
        <v>0</v>
      </c>
      <c r="E3189" t="s">
        <v>3180</v>
      </c>
    </row>
    <row r="3190" spans="1:5">
      <c r="A3190">
        <f>HYPERLINK("http://www.twitter.com/nycoem/status/500000304331755520", "500000304331755520")</f>
        <v>0</v>
      </c>
      <c r="B3190" s="2">
        <v>41865.8094444444</v>
      </c>
      <c r="C3190">
        <v>0</v>
      </c>
      <c r="D3190">
        <v>0</v>
      </c>
      <c r="E3190" t="s">
        <v>3181</v>
      </c>
    </row>
    <row r="3191" spans="1:5">
      <c r="A3191">
        <f>HYPERLINK("http://www.twitter.com/nycoem/status/500000251991040000", "500000251991040000")</f>
        <v>0</v>
      </c>
      <c r="B3191" s="2">
        <v>41865.8093055556</v>
      </c>
      <c r="C3191">
        <v>2</v>
      </c>
      <c r="D3191">
        <v>0</v>
      </c>
      <c r="E3191" t="s">
        <v>3182</v>
      </c>
    </row>
    <row r="3192" spans="1:5">
      <c r="A3192">
        <f>HYPERLINK("http://www.twitter.com/nycoem/status/499988798416367617", "499988798416367617")</f>
        <v>0</v>
      </c>
      <c r="B3192" s="2">
        <v>41865.7776967593</v>
      </c>
      <c r="C3192">
        <v>2</v>
      </c>
      <c r="D3192">
        <v>9</v>
      </c>
      <c r="E3192" t="s">
        <v>3183</v>
      </c>
    </row>
    <row r="3193" spans="1:5">
      <c r="A3193">
        <f>HYPERLINK("http://www.twitter.com/nycoem/status/499984791920726016", "499984791920726016")</f>
        <v>0</v>
      </c>
      <c r="B3193" s="2">
        <v>41865.7666435185</v>
      </c>
      <c r="C3193">
        <v>0</v>
      </c>
      <c r="D3193">
        <v>2</v>
      </c>
      <c r="E3193" t="s">
        <v>3184</v>
      </c>
    </row>
    <row r="3194" spans="1:5">
      <c r="A3194">
        <f>HYPERLINK("http://www.twitter.com/nycoem/status/499984701646704641", "499984701646704641")</f>
        <v>0</v>
      </c>
      <c r="B3194" s="2">
        <v>41865.7663888889</v>
      </c>
      <c r="C3194">
        <v>0</v>
      </c>
      <c r="D3194">
        <v>1</v>
      </c>
      <c r="E3194" t="s">
        <v>3185</v>
      </c>
    </row>
    <row r="3195" spans="1:5">
      <c r="A3195">
        <f>HYPERLINK("http://www.twitter.com/nycoem/status/499983061682249729", "499983061682249729")</f>
        <v>0</v>
      </c>
      <c r="B3195" s="2">
        <v>41865.7618634259</v>
      </c>
      <c r="C3195">
        <v>0</v>
      </c>
      <c r="D3195">
        <v>1</v>
      </c>
      <c r="E3195" t="s">
        <v>3186</v>
      </c>
    </row>
    <row r="3196" spans="1:5">
      <c r="A3196">
        <f>HYPERLINK("http://www.twitter.com/nycoem/status/499982383635243008", "499982383635243008")</f>
        <v>0</v>
      </c>
      <c r="B3196" s="2">
        <v>41865.76</v>
      </c>
      <c r="C3196">
        <v>2</v>
      </c>
      <c r="D3196">
        <v>1</v>
      </c>
      <c r="E3196" t="s">
        <v>3187</v>
      </c>
    </row>
    <row r="3197" spans="1:5">
      <c r="A3197">
        <f>HYPERLINK("http://www.twitter.com/nycoem/status/499982304916553728", "499982304916553728")</f>
        <v>0</v>
      </c>
      <c r="B3197" s="2">
        <v>41865.7597800926</v>
      </c>
      <c r="C3197">
        <v>0</v>
      </c>
      <c r="D3197">
        <v>2</v>
      </c>
      <c r="E3197" t="s">
        <v>3188</v>
      </c>
    </row>
    <row r="3198" spans="1:5">
      <c r="A3198">
        <f>HYPERLINK("http://www.twitter.com/nycoem/status/499982291658358784", "499982291658358784")</f>
        <v>0</v>
      </c>
      <c r="B3198" s="2">
        <v>41865.7597453704</v>
      </c>
      <c r="C3198">
        <v>0</v>
      </c>
      <c r="D3198">
        <v>0</v>
      </c>
      <c r="E3198" t="s">
        <v>3189</v>
      </c>
    </row>
    <row r="3199" spans="1:5">
      <c r="A3199">
        <f>HYPERLINK("http://www.twitter.com/nycoem/status/499947368662716416", "499947368662716416")</f>
        <v>0</v>
      </c>
      <c r="B3199" s="2">
        <v>41865.6633680556</v>
      </c>
      <c r="C3199">
        <v>2</v>
      </c>
      <c r="D3199">
        <v>4</v>
      </c>
      <c r="E3199" t="s">
        <v>3190</v>
      </c>
    </row>
    <row r="3200" spans="1:5">
      <c r="A3200">
        <f>HYPERLINK("http://www.twitter.com/nycoem/status/499903446062206977", "499903446062206977")</f>
        <v>0</v>
      </c>
      <c r="B3200" s="2">
        <v>41865.5421643518</v>
      </c>
      <c r="C3200">
        <v>1</v>
      </c>
      <c r="D3200">
        <v>1</v>
      </c>
      <c r="E3200" t="s">
        <v>3191</v>
      </c>
    </row>
    <row r="3201" spans="1:5">
      <c r="A3201">
        <f>HYPERLINK("http://www.twitter.com/nycoem/status/499669304141697024", "499669304141697024")</f>
        <v>0</v>
      </c>
      <c r="B3201" s="2">
        <v>41864.8960648148</v>
      </c>
      <c r="C3201">
        <v>1</v>
      </c>
      <c r="D3201">
        <v>2</v>
      </c>
      <c r="E3201" t="s">
        <v>3192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2016-12-12T19:28:29Z</dcterms:created>
  <dcterms:modified xsi:type="dcterms:W3CDTF">2016-12-12T19:28:29Z</dcterms:modified>
</cp:coreProperties>
</file>