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Activity 2\"/>
    </mc:Choice>
  </mc:AlternateContent>
  <xr:revisionPtr revIDLastSave="0" documentId="13_ncr:1_{76E5A5CC-F9AE-46F3-8364-101E49A5CF83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Activity 02.2" sheetId="2" r:id="rId1"/>
    <sheet name="Activity 02.3" sheetId="3" r:id="rId2"/>
    <sheet name="Activity 02.4" sheetId="4" r:id="rId3"/>
    <sheet name="Activity 02.5" sheetId="5" r:id="rId4"/>
  </sheets>
  <externalReferences>
    <externalReference r:id="rId5"/>
  </externalReferences>
  <definedNames>
    <definedName name="Brand">[1]Sheet2!$O$3:$R$3</definedName>
    <definedName name="customers">[1]Sheet2!$N$15:$N$20</definedName>
    <definedName name="customers_icecream">#REF!</definedName>
    <definedName name="Types">[1]Sheet2!$N$4:$N$11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0" roundtripDataChecksum="a30feOxYHK0o1e8gDrLw/jTypFZbZ65MlM2Za6hbqU4="/>
    </ext>
  </extLst>
</workbook>
</file>

<file path=xl/calcChain.xml><?xml version="1.0" encoding="utf-8"?>
<calcChain xmlns="http://schemas.openxmlformats.org/spreadsheetml/2006/main">
  <c r="E32" i="5" l="1"/>
  <c r="E31" i="5"/>
  <c r="E30" i="5"/>
  <c r="E29" i="5"/>
  <c r="E28" i="5"/>
  <c r="E27" i="5"/>
  <c r="E26" i="5"/>
  <c r="I28" i="4"/>
  <c r="E25" i="5"/>
  <c r="E24" i="5"/>
  <c r="E23" i="5"/>
  <c r="E22" i="5"/>
  <c r="E21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3" i="5"/>
  <c r="I24" i="4"/>
  <c r="I25" i="4"/>
  <c r="I23" i="4"/>
  <c r="I26" i="4"/>
  <c r="I27" i="4"/>
  <c r="I22" i="4"/>
  <c r="I21" i="4"/>
  <c r="I20" i="4"/>
  <c r="C4" i="4"/>
  <c r="C5" i="4"/>
  <c r="C6" i="4"/>
  <c r="C7" i="4"/>
  <c r="C8" i="4"/>
  <c r="C9" i="4"/>
  <c r="C10" i="4"/>
  <c r="C11" i="4"/>
  <c r="C12" i="4"/>
  <c r="C13" i="4"/>
  <c r="C14" i="4"/>
  <c r="C3" i="4"/>
  <c r="J18" i="3"/>
  <c r="J17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3" i="5"/>
  <c r="K11" i="2"/>
  <c r="H11" i="2"/>
  <c r="K5" i="2"/>
  <c r="K6" i="2"/>
  <c r="K7" i="2"/>
  <c r="K8" i="2"/>
  <c r="K9" i="2"/>
  <c r="K4" i="2"/>
  <c r="G18" i="4"/>
  <c r="G17" i="4"/>
  <c r="E15" i="4"/>
  <c r="E17" i="4" s="1"/>
  <c r="E18" i="4" s="1"/>
  <c r="F15" i="4"/>
  <c r="F17" i="4" s="1"/>
  <c r="F18" i="4" s="1"/>
  <c r="G15" i="4"/>
  <c r="D15" i="4"/>
  <c r="D17" i="4" s="1"/>
  <c r="D18" i="4" s="1"/>
  <c r="I4" i="4"/>
  <c r="I5" i="4"/>
  <c r="I6" i="4"/>
  <c r="I7" i="4"/>
  <c r="I8" i="4"/>
  <c r="I9" i="4"/>
  <c r="I10" i="4"/>
  <c r="I11" i="4"/>
  <c r="I12" i="4"/>
  <c r="I13" i="4"/>
  <c r="I14" i="4"/>
  <c r="I3" i="4"/>
  <c r="H4" i="4"/>
  <c r="H5" i="4"/>
  <c r="H6" i="4"/>
  <c r="H7" i="4"/>
  <c r="H8" i="4"/>
  <c r="H9" i="4"/>
  <c r="H10" i="4"/>
  <c r="H11" i="4"/>
  <c r="H12" i="4"/>
  <c r="H13" i="4"/>
  <c r="H14" i="4"/>
  <c r="H3" i="4"/>
  <c r="J16" i="3"/>
  <c r="J15" i="3"/>
  <c r="J14" i="3"/>
  <c r="K4" i="3"/>
  <c r="K5" i="3"/>
  <c r="K6" i="3"/>
  <c r="K7" i="3"/>
  <c r="K8" i="3"/>
  <c r="K9" i="3"/>
  <c r="K10" i="3"/>
  <c r="K11" i="3"/>
  <c r="K3" i="3"/>
  <c r="D4" i="3"/>
  <c r="D5" i="3"/>
  <c r="D6" i="3"/>
  <c r="D7" i="3"/>
  <c r="D8" i="3"/>
  <c r="D9" i="3"/>
  <c r="D10" i="3"/>
  <c r="D11" i="3"/>
  <c r="D3" i="3"/>
  <c r="J4" i="3"/>
  <c r="J5" i="3"/>
  <c r="J6" i="3"/>
  <c r="J7" i="3"/>
  <c r="J8" i="3"/>
  <c r="J9" i="3"/>
  <c r="J10" i="3"/>
  <c r="J11" i="3"/>
  <c r="J3" i="3"/>
  <c r="I4" i="3"/>
  <c r="I5" i="3"/>
  <c r="I6" i="3"/>
  <c r="I7" i="3"/>
  <c r="I8" i="3"/>
  <c r="I9" i="3"/>
  <c r="I10" i="3"/>
  <c r="I11" i="3"/>
  <c r="I3" i="3"/>
  <c r="I5" i="2"/>
  <c r="J5" i="2" s="1"/>
  <c r="I6" i="2"/>
  <c r="J6" i="2" s="1"/>
  <c r="I7" i="2"/>
  <c r="J7" i="2" s="1"/>
  <c r="I8" i="2"/>
  <c r="J8" i="2" s="1"/>
  <c r="I9" i="2"/>
  <c r="J9" i="2" s="1"/>
  <c r="I4" i="2"/>
  <c r="J4" i="2" s="1"/>
  <c r="L15" i="2"/>
  <c r="G5" i="2"/>
  <c r="G6" i="2"/>
  <c r="G7" i="2"/>
  <c r="G8" i="2"/>
  <c r="G9" i="2"/>
  <c r="G4" i="2"/>
  <c r="D5" i="2"/>
  <c r="D6" i="2"/>
  <c r="D7" i="2"/>
  <c r="D8" i="2"/>
  <c r="D9" i="2"/>
  <c r="D4" i="2"/>
  <c r="H10" i="2"/>
  <c r="J11" i="2" l="1"/>
  <c r="L8" i="2"/>
  <c r="L7" i="2"/>
  <c r="L6" i="2"/>
  <c r="L5" i="2"/>
  <c r="L17" i="2" s="1"/>
  <c r="L9" i="2"/>
  <c r="L4" i="2"/>
  <c r="J10" i="2"/>
  <c r="K10" i="2"/>
  <c r="L16" i="2" l="1"/>
  <c r="L18" i="2"/>
  <c r="L11" i="2"/>
  <c r="L13" i="2"/>
  <c r="L14" i="2"/>
  <c r="L10" i="2"/>
</calcChain>
</file>

<file path=xl/sharedStrings.xml><?xml version="1.0" encoding="utf-8"?>
<sst xmlns="http://schemas.openxmlformats.org/spreadsheetml/2006/main" count="223" uniqueCount="143">
  <si>
    <t>Flavour</t>
  </si>
  <si>
    <t>Date</t>
  </si>
  <si>
    <t>Customer</t>
  </si>
  <si>
    <t>Customer Type</t>
  </si>
  <si>
    <t>Units</t>
  </si>
  <si>
    <t>Revenue</t>
  </si>
  <si>
    <t>Region</t>
  </si>
  <si>
    <t>Vanilla</t>
  </si>
  <si>
    <t>Samsons (PVT) LTD</t>
  </si>
  <si>
    <t>WholeSale</t>
  </si>
  <si>
    <t>South</t>
  </si>
  <si>
    <t>Jasons (PVT) LTD</t>
  </si>
  <si>
    <t>Retail</t>
  </si>
  <si>
    <t>North</t>
  </si>
  <si>
    <t>Chocolate</t>
  </si>
  <si>
    <t>Faluda</t>
  </si>
  <si>
    <t>Honey</t>
  </si>
  <si>
    <t>Strawberry</t>
  </si>
  <si>
    <t>Amal Stores</t>
  </si>
  <si>
    <t>East</t>
  </si>
  <si>
    <t>Fruit and Nut</t>
  </si>
  <si>
    <t>Namal Retialers</t>
  </si>
  <si>
    <t>West</t>
  </si>
  <si>
    <t>Black Current</t>
  </si>
  <si>
    <t>Suhada Stores</t>
  </si>
  <si>
    <t>Total Revenue</t>
  </si>
  <si>
    <t>Average of the revenue for the period</t>
  </si>
  <si>
    <t>Sum of the East region's revenues</t>
  </si>
  <si>
    <t>Sum of the West region which are retail</t>
  </si>
  <si>
    <t>Average of the Vanila flavour revenues</t>
  </si>
  <si>
    <t>No</t>
  </si>
  <si>
    <t>Initals</t>
  </si>
  <si>
    <t>Last Name</t>
  </si>
  <si>
    <t>Full Name</t>
  </si>
  <si>
    <t>Rank</t>
  </si>
  <si>
    <t>Date Joined</t>
  </si>
  <si>
    <t>Salary Code</t>
  </si>
  <si>
    <t>Basic Salary</t>
  </si>
  <si>
    <t>Service in Years</t>
  </si>
  <si>
    <t>Bonus</t>
  </si>
  <si>
    <t>Sport Club funds</t>
  </si>
  <si>
    <t>Total Salary</t>
  </si>
  <si>
    <t>SD</t>
  </si>
  <si>
    <t>Sriwardena</t>
  </si>
  <si>
    <t>ER</t>
  </si>
  <si>
    <t>Perera</t>
  </si>
  <si>
    <t>Trainee</t>
  </si>
  <si>
    <t>HH</t>
  </si>
  <si>
    <t>Ajmal</t>
  </si>
  <si>
    <t>Junior</t>
  </si>
  <si>
    <t>RNI</t>
  </si>
  <si>
    <t>Naeen</t>
  </si>
  <si>
    <t>TRV</t>
  </si>
  <si>
    <t>Snadali</t>
  </si>
  <si>
    <t>AHG</t>
  </si>
  <si>
    <t>Raj</t>
  </si>
  <si>
    <t>Manager</t>
  </si>
  <si>
    <t>Total</t>
  </si>
  <si>
    <t>Average</t>
  </si>
  <si>
    <t>Highest Total Salary</t>
  </si>
  <si>
    <t>Lowest Total Salary</t>
  </si>
  <si>
    <t xml:space="preserve">Number of Employees </t>
  </si>
  <si>
    <t>Number of Employees -Salary Less than 100000</t>
  </si>
  <si>
    <t>Total Salary for all trainee staff</t>
  </si>
  <si>
    <t>Average Salary for all Executive staff</t>
  </si>
  <si>
    <t xml:space="preserve"> Semester I - Subject  Marks</t>
  </si>
  <si>
    <t>Medium</t>
  </si>
  <si>
    <t>Name</t>
  </si>
  <si>
    <t>Accounting</t>
  </si>
  <si>
    <t>Business Studies</t>
  </si>
  <si>
    <t>Economics</t>
  </si>
  <si>
    <t>English</t>
  </si>
  <si>
    <t>PASS/Fail</t>
  </si>
  <si>
    <t>Kevin</t>
  </si>
  <si>
    <t>Sinhala</t>
  </si>
  <si>
    <t>Nihal</t>
  </si>
  <si>
    <t>Jeevani</t>
  </si>
  <si>
    <t>HA</t>
  </si>
  <si>
    <t>Nimesha</t>
  </si>
  <si>
    <t>Jevon</t>
  </si>
  <si>
    <t>Maria</t>
  </si>
  <si>
    <t>JH</t>
  </si>
  <si>
    <t>Josh</t>
  </si>
  <si>
    <t>PM</t>
  </si>
  <si>
    <t>Haris</t>
  </si>
  <si>
    <t>Ayomi</t>
  </si>
  <si>
    <t>Highest Average Mark</t>
  </si>
  <si>
    <t>Lowest Average Mark</t>
  </si>
  <si>
    <t>District</t>
  </si>
  <si>
    <t>City</t>
  </si>
  <si>
    <t>Outlet Code</t>
  </si>
  <si>
    <t>Sep</t>
  </si>
  <si>
    <t>Oct</t>
  </si>
  <si>
    <t xml:space="preserve">Nov </t>
  </si>
  <si>
    <t xml:space="preserve">Dec </t>
  </si>
  <si>
    <t>Maximum</t>
  </si>
  <si>
    <t>Colombo</t>
  </si>
  <si>
    <t>Nugegoda</t>
  </si>
  <si>
    <t>Kottawa</t>
  </si>
  <si>
    <t>Kandy</t>
  </si>
  <si>
    <t>Kadugannawa</t>
  </si>
  <si>
    <t>Gampola</t>
  </si>
  <si>
    <t>Nawalapitiya</t>
  </si>
  <si>
    <t>Gampaha</t>
  </si>
  <si>
    <t>Kelaniya</t>
  </si>
  <si>
    <t>Ja-Ela</t>
  </si>
  <si>
    <t>-</t>
  </si>
  <si>
    <t>Kandana</t>
  </si>
  <si>
    <t>Matara</t>
  </si>
  <si>
    <t>Weligama</t>
  </si>
  <si>
    <t>Kalutara</t>
  </si>
  <si>
    <t>Matugama</t>
  </si>
  <si>
    <t>Beruwala</t>
  </si>
  <si>
    <t>Total Sales</t>
  </si>
  <si>
    <t>Cost</t>
  </si>
  <si>
    <t>Profit</t>
  </si>
  <si>
    <t>Tax (10%)</t>
  </si>
  <si>
    <t>Total of the sales values greater than Rs.300,000 for the month of October</t>
  </si>
  <si>
    <t>Number of sales totals less than Rs.300,000 for the month of December</t>
  </si>
  <si>
    <t>Average of the sales values less than or equal to Rs.200,000 in the month of November</t>
  </si>
  <si>
    <t>Total of the sales values greater than Rs.150,000 where the city name starts with letter “K” for the month of October</t>
  </si>
  <si>
    <t>Average of the sales where sales value is between Rs.200,000 and Rs.300,000 for the month of December</t>
  </si>
  <si>
    <t>Number of cities with a sales income in the month of October</t>
  </si>
  <si>
    <t>Number of cities with a sales income in the month of September</t>
  </si>
  <si>
    <t>Unit Price</t>
  </si>
  <si>
    <t>Sales</t>
  </si>
  <si>
    <t>Discount</t>
  </si>
  <si>
    <t>What is the minimum unit price of an ice cream?</t>
  </si>
  <si>
    <t>What is the maximum unit price of an ice cream?</t>
  </si>
  <si>
    <t>Salary Card for the Month of February 2024</t>
  </si>
  <si>
    <t>Number of Students</t>
  </si>
  <si>
    <t>Number of cities with no income in the last 3 months</t>
  </si>
  <si>
    <t>How many vanilla flavour ice cream sales in region East?</t>
  </si>
  <si>
    <t>How many Chocolate flavour ice cream sales in region south?</t>
  </si>
  <si>
    <t>How many retail sales?</t>
  </si>
  <si>
    <t>How many wholesale sales?</t>
  </si>
  <si>
    <t>Average of the Samsons (PVT) LTD wholeSale revenues</t>
  </si>
  <si>
    <t>Ice Cream Sales - June 2023</t>
  </si>
  <si>
    <t>Number of cities which have covered a sales value of Rs.150,000 for last 3 months</t>
  </si>
  <si>
    <t>Executive</t>
  </si>
  <si>
    <t xml:space="preserve">Sales and Profit Report - September to December 2023								</t>
  </si>
  <si>
    <t>Average marks of English medium students for Accounting Subject</t>
  </si>
  <si>
    <t>Number of Student -Average Mark Less than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</si>
</sst>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s.-4009]\ #,##0.00"/>
    <numFmt numFmtId="165" formatCode="[$Rs.-849]\ #,##0.00"/>
    <numFmt numFmtId="166" formatCode="[$-409]mmmm\ d\,\ yyyy"/>
    <numFmt numFmtId="167" formatCode="_-[$Rs.-849]\ * #,##0.00_-;\-[$Rs.-849]\ * #,##0.00_-;_-[$Rs.-849]\ * &quot;-&quot;??_-;_-@"/>
    <numFmt numFmtId="168" formatCode="_-[$Rs.-849]\ * #,##0.00_-;\-[$Rs.-849]\ * #,##0.00_-;_-[$Rs.-849]\ * &quot;-&quot;??_-;_-@_-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22"/>
      <color theme="0"/>
      <name val="Calibri"/>
    </font>
    <font>
      <b/>
      <sz val="20"/>
      <color theme="1"/>
      <name val="&quot;Times New Roman&quot;"/>
    </font>
    <font>
      <sz val="9"/>
      <color theme="1"/>
      <name val="&quot;Google Sans Mono&quot;"/>
    </font>
    <font>
      <sz val="11"/>
      <color rgb="FF000000"/>
      <name val="Calibri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7"/>
      <color rgb="FF1F1F1F"/>
      <name val="Arial"/>
      <family val="2"/>
    </font>
    <font>
      <b/>
      <sz val="16"/>
      <color theme="1"/>
      <name val="Calibri"/>
      <family val="2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34998626667073579"/>
        <bgColor rgb="FFD8D8D8"/>
      </patternFill>
    </fill>
    <fill>
      <patternFill patternType="solid">
        <fgColor theme="6" tint="-0.249977111117893"/>
        <bgColor theme="6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/>
    <xf numFmtId="0" fontId="4" fillId="0" borderId="0" xfId="0" applyFont="1"/>
    <xf numFmtId="0" fontId="3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166" fontId="5" fillId="0" borderId="7" xfId="0" applyNumberFormat="1" applyFont="1" applyBorder="1"/>
    <xf numFmtId="0" fontId="5" fillId="0" borderId="7" xfId="0" applyFont="1" applyBorder="1" applyAlignment="1">
      <alignment horizontal="center"/>
    </xf>
    <xf numFmtId="167" fontId="5" fillId="0" borderId="7" xfId="0" applyNumberFormat="1" applyFont="1" applyBorder="1"/>
    <xf numFmtId="167" fontId="5" fillId="4" borderId="7" xfId="0" applyNumberFormat="1" applyFont="1" applyFill="1" applyBorder="1"/>
    <xf numFmtId="0" fontId="5" fillId="0" borderId="8" xfId="0" applyFont="1" applyBorder="1"/>
    <xf numFmtId="0" fontId="5" fillId="0" borderId="2" xfId="0" applyFont="1" applyBorder="1"/>
    <xf numFmtId="0" fontId="5" fillId="0" borderId="9" xfId="0" applyFont="1" applyBorder="1"/>
    <xf numFmtId="0" fontId="5" fillId="0" borderId="2" xfId="0" applyFont="1" applyBorder="1" applyAlignment="1">
      <alignment wrapText="1"/>
    </xf>
    <xf numFmtId="0" fontId="5" fillId="0" borderId="0" xfId="0" applyFont="1"/>
    <xf numFmtId="165" fontId="5" fillId="0" borderId="7" xfId="0" applyNumberFormat="1" applyFont="1" applyBorder="1"/>
    <xf numFmtId="165" fontId="5" fillId="7" borderId="7" xfId="0" applyNumberFormat="1" applyFont="1" applyFill="1" applyBorder="1"/>
    <xf numFmtId="0" fontId="5" fillId="8" borderId="7" xfId="0" applyFont="1" applyFill="1" applyBorder="1"/>
    <xf numFmtId="0" fontId="5" fillId="9" borderId="10" xfId="0" applyFont="1" applyFill="1" applyBorder="1" applyAlignment="1">
      <alignment horizontal="right"/>
    </xf>
    <xf numFmtId="0" fontId="5" fillId="9" borderId="7" xfId="0" applyFont="1" applyFill="1" applyBorder="1" applyAlignment="1">
      <alignment horizontal="right"/>
    </xf>
    <xf numFmtId="0" fontId="4" fillId="0" borderId="13" xfId="0" applyFont="1" applyBorder="1"/>
    <xf numFmtId="14" fontId="5" fillId="0" borderId="13" xfId="0" applyNumberFormat="1" applyFont="1" applyBorder="1"/>
    <xf numFmtId="164" fontId="5" fillId="0" borderId="13" xfId="0" applyNumberFormat="1" applyFont="1" applyBorder="1"/>
    <xf numFmtId="165" fontId="5" fillId="10" borderId="13" xfId="0" applyNumberFormat="1" applyFont="1" applyFill="1" applyBorder="1"/>
    <xf numFmtId="0" fontId="2" fillId="0" borderId="0" xfId="0" applyFont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7" xfId="0" applyFont="1" applyBorder="1" applyAlignment="1">
      <alignment vertical="center"/>
    </xf>
    <xf numFmtId="0" fontId="5" fillId="0" borderId="19" xfId="0" applyFont="1" applyBorder="1"/>
    <xf numFmtId="0" fontId="12" fillId="5" borderId="14" xfId="0" applyFont="1" applyFill="1" applyBorder="1" applyAlignment="1">
      <alignment horizontal="center" wrapText="1"/>
    </xf>
    <xf numFmtId="0" fontId="12" fillId="5" borderId="20" xfId="0" applyFont="1" applyFill="1" applyBorder="1" applyAlignment="1">
      <alignment horizontal="center" wrapText="1"/>
    </xf>
    <xf numFmtId="0" fontId="12" fillId="5" borderId="11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5" fillId="0" borderId="13" xfId="0" applyFont="1" applyBorder="1"/>
    <xf numFmtId="0" fontId="9" fillId="11" borderId="13" xfId="0" applyFont="1" applyFill="1" applyBorder="1"/>
    <xf numFmtId="0" fontId="5" fillId="0" borderId="13" xfId="0" applyFont="1" applyBorder="1" applyAlignment="1">
      <alignment horizontal="right"/>
    </xf>
    <xf numFmtId="0" fontId="5" fillId="10" borderId="13" xfId="0" applyFont="1" applyFill="1" applyBorder="1" applyAlignment="1">
      <alignment horizontal="right"/>
    </xf>
    <xf numFmtId="0" fontId="10" fillId="10" borderId="13" xfId="0" applyFont="1" applyFill="1" applyBorder="1"/>
    <xf numFmtId="165" fontId="5" fillId="8" borderId="7" xfId="0" applyNumberFormat="1" applyFont="1" applyFill="1" applyBorder="1"/>
    <xf numFmtId="0" fontId="12" fillId="4" borderId="7" xfId="0" applyFont="1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1" fillId="0" borderId="0" xfId="0" applyFont="1"/>
    <xf numFmtId="0" fontId="14" fillId="0" borderId="0" xfId="0" applyFont="1"/>
    <xf numFmtId="14" fontId="0" fillId="0" borderId="0" xfId="0" applyNumberFormat="1"/>
    <xf numFmtId="0" fontId="0" fillId="0" borderId="13" xfId="0" applyBorder="1"/>
    <xf numFmtId="168" fontId="0" fillId="0" borderId="0" xfId="0" applyNumberFormat="1"/>
    <xf numFmtId="1" fontId="5" fillId="0" borderId="7" xfId="0" applyNumberFormat="1" applyFont="1" applyBorder="1" applyAlignment="1">
      <alignment horizontal="center" vertical="center"/>
    </xf>
    <xf numFmtId="10" fontId="0" fillId="0" borderId="13" xfId="1" applyNumberFormat="1" applyFont="1" applyBorder="1"/>
    <xf numFmtId="0" fontId="7" fillId="3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5" fillId="4" borderId="1" xfId="0" applyFont="1" applyFill="1" applyBorder="1" applyAlignment="1">
      <alignment horizontal="right"/>
    </xf>
    <xf numFmtId="0" fontId="6" fillId="0" borderId="2" xfId="0" applyFont="1" applyBorder="1"/>
    <xf numFmtId="0" fontId="6" fillId="0" borderId="3" xfId="0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8" fillId="12" borderId="1" xfId="0" applyFont="1" applyFill="1" applyBorder="1" applyAlignment="1">
      <alignment horizontal="center"/>
    </xf>
    <xf numFmtId="0" fontId="6" fillId="13" borderId="2" xfId="0" applyFont="1" applyFill="1" applyBorder="1"/>
    <xf numFmtId="0" fontId="6" fillId="13" borderId="3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 applyAlignment="1">
      <alignment wrapText="1"/>
    </xf>
    <xf numFmtId="0" fontId="15" fillId="6" borderId="12" xfId="0" applyFont="1" applyFill="1" applyBorder="1" applyAlignment="1">
      <alignment horizontal="center"/>
    </xf>
    <xf numFmtId="0" fontId="16" fillId="0" borderId="8" xfId="0" applyFont="1" applyBorder="1"/>
    <xf numFmtId="0" fontId="15" fillId="15" borderId="12" xfId="0" applyFont="1" applyFill="1" applyBorder="1" applyAlignment="1">
      <alignment horizontal="center"/>
    </xf>
    <xf numFmtId="0" fontId="15" fillId="15" borderId="8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9" fontId="5" fillId="10" borderId="13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antha\Desktop\Pivot\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heet7"/>
      <sheetName val="Copy"/>
      <sheetName val="Sheet1"/>
      <sheetName val="Sheet6"/>
      <sheetName val="Sheet8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00"/>
  <sheetViews>
    <sheetView workbookViewId="0">
      <selection activeCell="G20" sqref="G20"/>
    </sheetView>
  </sheetViews>
  <sheetFormatPr defaultColWidth="14.42578125" defaultRowHeight="15" customHeight="1"/>
  <cols>
    <col min="1" max="2" width="8.7109375" customWidth="1"/>
    <col min="3" max="3" width="10.85546875" customWidth="1"/>
    <col min="4" max="4" width="19.140625" customWidth="1"/>
    <col min="5" max="5" width="9.5703125" bestFit="1" customWidth="1"/>
    <col min="6" max="6" width="17.5703125" bestFit="1" customWidth="1"/>
    <col min="7" max="7" width="11.7109375" customWidth="1"/>
    <col min="8" max="8" width="15.85546875" customWidth="1"/>
    <col min="9" max="9" width="11.85546875" customWidth="1"/>
    <col min="10" max="10" width="14.28515625" customWidth="1"/>
    <col min="11" max="11" width="19" customWidth="1"/>
    <col min="12" max="12" width="17.42578125" customWidth="1"/>
    <col min="13" max="13" width="12.5703125" bestFit="1" customWidth="1"/>
    <col min="14" max="26" width="8.7109375" customWidth="1"/>
  </cols>
  <sheetData>
    <row r="2" spans="1:13" ht="28.5">
      <c r="A2" s="49" t="s">
        <v>129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3" ht="30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</row>
    <row r="4" spans="1:13">
      <c r="A4" s="3">
        <v>1</v>
      </c>
      <c r="B4" s="4" t="s">
        <v>42</v>
      </c>
      <c r="C4" s="4" t="s">
        <v>43</v>
      </c>
      <c r="D4" s="4" t="str">
        <f>_xlfn.CONCAT(B4," ",UPPER(C4))</f>
        <v>SD SRIWARDENA</v>
      </c>
      <c r="E4" s="4" t="s">
        <v>139</v>
      </c>
      <c r="F4" s="5">
        <v>38048</v>
      </c>
      <c r="G4" s="6" t="str">
        <f>UPPER(LEFT(E4,3))&amp;YEAR(F4)</f>
        <v>EXE2004</v>
      </c>
      <c r="H4" s="7">
        <v>150000</v>
      </c>
      <c r="I4" s="47">
        <f ca="1">YEAR(TODAY())-YEAR(F4)</f>
        <v>20</v>
      </c>
      <c r="J4" s="7">
        <f ca="1">IF(I4&gt;10,H4*10%,0)</f>
        <v>15000</v>
      </c>
      <c r="K4" s="7">
        <f>VLOOKUP(E4,$C$13:$D$16,2,FALSE)*H4</f>
        <v>300</v>
      </c>
      <c r="L4" s="7">
        <f ca="1">H4+J4-K4</f>
        <v>164700</v>
      </c>
      <c r="M4" s="46"/>
    </row>
    <row r="5" spans="1:13">
      <c r="A5" s="3">
        <v>2</v>
      </c>
      <c r="B5" s="4" t="s">
        <v>44</v>
      </c>
      <c r="C5" s="4" t="s">
        <v>45</v>
      </c>
      <c r="D5" s="4" t="str">
        <f t="shared" ref="D5:D9" si="0">_xlfn.CONCAT(B5," ",UPPER(C5))</f>
        <v>ER PERERA</v>
      </c>
      <c r="E5" s="4" t="s">
        <v>46</v>
      </c>
      <c r="F5" s="5">
        <v>38880</v>
      </c>
      <c r="G5" s="6" t="str">
        <f t="shared" ref="G5:G9" si="1">UPPER(LEFT(E5,3))&amp;YEAR(F5)</f>
        <v>TRA2006</v>
      </c>
      <c r="H5" s="7">
        <v>75000</v>
      </c>
      <c r="I5" s="47">
        <f t="shared" ref="I5:I9" ca="1" si="2">YEAR(TODAY())-YEAR(F5)</f>
        <v>18</v>
      </c>
      <c r="J5" s="7">
        <f t="shared" ref="J5:J9" ca="1" si="3">IF(I5&gt;10,H5*10%,0)</f>
        <v>7500</v>
      </c>
      <c r="K5" s="7">
        <f t="shared" ref="K5:K9" si="4">VLOOKUP(E5,$C$13:$D$16,2,FALSE)*H5</f>
        <v>0</v>
      </c>
      <c r="L5" s="7">
        <f t="shared" ref="L5:L9" ca="1" si="5">H5+J5-K5</f>
        <v>82500</v>
      </c>
      <c r="M5" s="46"/>
    </row>
    <row r="6" spans="1:13">
      <c r="A6" s="3">
        <v>3</v>
      </c>
      <c r="B6" s="4" t="s">
        <v>47</v>
      </c>
      <c r="C6" s="4" t="s">
        <v>48</v>
      </c>
      <c r="D6" s="4" t="str">
        <f t="shared" si="0"/>
        <v>HH AJMAL</v>
      </c>
      <c r="E6" s="4" t="s">
        <v>49</v>
      </c>
      <c r="F6" s="5">
        <v>42433</v>
      </c>
      <c r="G6" s="6" t="str">
        <f t="shared" si="1"/>
        <v>JUN2016</v>
      </c>
      <c r="H6" s="7">
        <v>176000</v>
      </c>
      <c r="I6" s="47">
        <f t="shared" ca="1" si="2"/>
        <v>8</v>
      </c>
      <c r="J6" s="7">
        <f t="shared" ca="1" si="3"/>
        <v>0</v>
      </c>
      <c r="K6" s="7">
        <f t="shared" si="4"/>
        <v>176</v>
      </c>
      <c r="L6" s="7">
        <f t="shared" ca="1" si="5"/>
        <v>175824</v>
      </c>
      <c r="M6" s="46"/>
    </row>
    <row r="7" spans="1:13">
      <c r="A7" s="3">
        <v>4</v>
      </c>
      <c r="B7" s="4" t="s">
        <v>50</v>
      </c>
      <c r="C7" s="4" t="s">
        <v>51</v>
      </c>
      <c r="D7" s="4" t="str">
        <f t="shared" si="0"/>
        <v>RNI NAEEN</v>
      </c>
      <c r="E7" s="4" t="s">
        <v>139</v>
      </c>
      <c r="F7" s="5">
        <v>44562</v>
      </c>
      <c r="G7" s="6" t="str">
        <f t="shared" si="1"/>
        <v>EXE2022</v>
      </c>
      <c r="H7" s="7">
        <v>40000</v>
      </c>
      <c r="I7" s="47">
        <f t="shared" ca="1" si="2"/>
        <v>2</v>
      </c>
      <c r="J7" s="7">
        <f t="shared" ca="1" si="3"/>
        <v>0</v>
      </c>
      <c r="K7" s="7">
        <f t="shared" si="4"/>
        <v>80</v>
      </c>
      <c r="L7" s="7">
        <f t="shared" ca="1" si="5"/>
        <v>39920</v>
      </c>
      <c r="M7" s="46"/>
    </row>
    <row r="8" spans="1:13">
      <c r="A8" s="3">
        <v>5</v>
      </c>
      <c r="B8" s="4" t="s">
        <v>52</v>
      </c>
      <c r="C8" s="4" t="s">
        <v>53</v>
      </c>
      <c r="D8" s="4" t="str">
        <f t="shared" si="0"/>
        <v>TRV SNADALI</v>
      </c>
      <c r="E8" s="4" t="s">
        <v>139</v>
      </c>
      <c r="F8" s="5">
        <v>40413</v>
      </c>
      <c r="G8" s="6" t="str">
        <f t="shared" si="1"/>
        <v>EXE2010</v>
      </c>
      <c r="H8" s="7">
        <v>286000</v>
      </c>
      <c r="I8" s="47">
        <f t="shared" ca="1" si="2"/>
        <v>14</v>
      </c>
      <c r="J8" s="7">
        <f t="shared" ca="1" si="3"/>
        <v>28600</v>
      </c>
      <c r="K8" s="7">
        <f t="shared" si="4"/>
        <v>572</v>
      </c>
      <c r="L8" s="7">
        <f t="shared" ca="1" si="5"/>
        <v>314028</v>
      </c>
      <c r="M8" s="46"/>
    </row>
    <row r="9" spans="1:13">
      <c r="A9" s="3">
        <v>6</v>
      </c>
      <c r="B9" s="4" t="s">
        <v>54</v>
      </c>
      <c r="C9" s="4" t="s">
        <v>55</v>
      </c>
      <c r="D9" s="4" t="str">
        <f t="shared" si="0"/>
        <v>AHG RAJ</v>
      </c>
      <c r="E9" s="4" t="s">
        <v>56</v>
      </c>
      <c r="F9" s="5">
        <v>40793</v>
      </c>
      <c r="G9" s="6" t="str">
        <f t="shared" si="1"/>
        <v>MAN2011</v>
      </c>
      <c r="H9" s="7">
        <v>575000</v>
      </c>
      <c r="I9" s="47">
        <f t="shared" ca="1" si="2"/>
        <v>13</v>
      </c>
      <c r="J9" s="7">
        <f t="shared" ca="1" si="3"/>
        <v>57500</v>
      </c>
      <c r="K9" s="7">
        <f t="shared" si="4"/>
        <v>1437.5</v>
      </c>
      <c r="L9" s="7">
        <f t="shared" ca="1" si="5"/>
        <v>631062.5</v>
      </c>
      <c r="M9" s="46"/>
    </row>
    <row r="10" spans="1:13">
      <c r="A10" s="52" t="s">
        <v>57</v>
      </c>
      <c r="B10" s="53"/>
      <c r="C10" s="53"/>
      <c r="D10" s="53"/>
      <c r="E10" s="53"/>
      <c r="F10" s="53"/>
      <c r="G10" s="54"/>
      <c r="H10" s="8">
        <f>SUM(H4:H9)</f>
        <v>1302000</v>
      </c>
      <c r="I10" s="8"/>
      <c r="J10" s="8">
        <f t="shared" ref="J10:L10" ca="1" si="6">SUM(J4:J9)</f>
        <v>108600</v>
      </c>
      <c r="K10" s="8">
        <f t="shared" si="6"/>
        <v>2565.5</v>
      </c>
      <c r="L10" s="8">
        <f t="shared" ca="1" si="6"/>
        <v>1408034.5</v>
      </c>
    </row>
    <row r="11" spans="1:13">
      <c r="A11" s="52" t="s">
        <v>58</v>
      </c>
      <c r="B11" s="53"/>
      <c r="C11" s="53"/>
      <c r="D11" s="53"/>
      <c r="E11" s="53"/>
      <c r="F11" s="53"/>
      <c r="G11" s="54"/>
      <c r="H11" s="8">
        <f>AVERAGE(H4:H9)</f>
        <v>217000</v>
      </c>
      <c r="I11" s="8"/>
      <c r="J11" s="8">
        <f t="shared" ref="J11:L11" ca="1" si="7">AVERAGE(J4:J9)</f>
        <v>18100</v>
      </c>
      <c r="K11" s="8">
        <f t="shared" si="7"/>
        <v>427.58333333333331</v>
      </c>
      <c r="L11" s="8">
        <f t="shared" ca="1" si="7"/>
        <v>234672.41666666666</v>
      </c>
    </row>
    <row r="13" spans="1:13">
      <c r="C13" s="45" t="s">
        <v>56</v>
      </c>
      <c r="D13" s="48">
        <v>2.5000000000000001E-3</v>
      </c>
      <c r="I13" s="25" t="s">
        <v>59</v>
      </c>
      <c r="J13" s="24"/>
      <c r="K13" s="24"/>
      <c r="L13" s="7">
        <f ca="1">MAX(L4:L9)</f>
        <v>631062.5</v>
      </c>
    </row>
    <row r="14" spans="1:13">
      <c r="C14" s="45" t="s">
        <v>139</v>
      </c>
      <c r="D14" s="48">
        <v>2E-3</v>
      </c>
      <c r="I14" s="26" t="s">
        <v>60</v>
      </c>
      <c r="J14" s="10"/>
      <c r="K14" s="10"/>
      <c r="L14" s="7">
        <f ca="1">+MIN(L4:L9)</f>
        <v>39920</v>
      </c>
    </row>
    <row r="15" spans="1:13">
      <c r="C15" s="45" t="s">
        <v>49</v>
      </c>
      <c r="D15" s="48">
        <v>1E-3</v>
      </c>
      <c r="I15" s="26" t="s">
        <v>61</v>
      </c>
      <c r="J15" s="10"/>
      <c r="K15" s="10"/>
      <c r="L15" s="29">
        <f>COUNT(A4:A9)</f>
        <v>6</v>
      </c>
    </row>
    <row r="16" spans="1:13">
      <c r="C16" s="45" t="s">
        <v>46</v>
      </c>
      <c r="D16" s="48">
        <v>0</v>
      </c>
      <c r="I16" s="26" t="s">
        <v>62</v>
      </c>
      <c r="J16" s="10"/>
      <c r="K16" s="10"/>
      <c r="L16" s="29">
        <f ca="1">COUNTIF(L4:L9,"&lt;100000")</f>
        <v>2</v>
      </c>
    </row>
    <row r="17" spans="6:12">
      <c r="I17" s="27" t="s">
        <v>63</v>
      </c>
      <c r="J17" s="11"/>
      <c r="K17" s="11"/>
      <c r="L17" s="7">
        <f ca="1">SUMIF(E4:E9,"Trainee",L4:L9)</f>
        <v>82500</v>
      </c>
    </row>
    <row r="18" spans="6:12">
      <c r="I18" s="28" t="s">
        <v>64</v>
      </c>
      <c r="J18" s="12"/>
      <c r="K18" s="12"/>
      <c r="L18" s="7">
        <f ca="1">AVERAGEIF(E4:E9,"Executive",L4:L9)</f>
        <v>172882.66666666666</v>
      </c>
    </row>
    <row r="19" spans="6:12" ht="15" customHeight="1">
      <c r="F19" s="46"/>
      <c r="G19" s="46"/>
    </row>
    <row r="21" spans="6:12" ht="15.75" customHeight="1"/>
    <row r="22" spans="6:12" ht="15.75" customHeight="1">
      <c r="L22" s="44"/>
    </row>
    <row r="23" spans="6:12" ht="15.75" customHeight="1"/>
    <row r="24" spans="6:12" ht="15.75" customHeight="1"/>
    <row r="25" spans="6:12" ht="15.75" customHeight="1"/>
    <row r="26" spans="6:12" ht="15.75" customHeight="1"/>
    <row r="27" spans="6:12" ht="15.75" customHeight="1"/>
    <row r="28" spans="6:12" ht="15.75" customHeight="1"/>
    <row r="29" spans="6:12" ht="15.75" customHeight="1"/>
    <row r="30" spans="6:12" ht="15.75" customHeight="1"/>
    <row r="31" spans="6:12" ht="15.75" customHeight="1"/>
    <row r="32" spans="6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L2"/>
    <mergeCell ref="A10:G10"/>
    <mergeCell ref="A11:G1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9"/>
  <sheetViews>
    <sheetView workbookViewId="0">
      <selection activeCell="E20" sqref="E20"/>
    </sheetView>
  </sheetViews>
  <sheetFormatPr defaultColWidth="14.42578125" defaultRowHeight="15" customHeight="1"/>
  <cols>
    <col min="1" max="1" width="12.140625" customWidth="1"/>
    <col min="2" max="2" width="12.7109375" customWidth="1"/>
    <col min="3" max="3" width="12.85546875" customWidth="1"/>
    <col min="4" max="4" width="14.42578125" customWidth="1"/>
    <col min="5" max="5" width="13.28515625" customWidth="1"/>
    <col min="6" max="6" width="18.140625" customWidth="1"/>
    <col min="7" max="7" width="11.85546875" customWidth="1"/>
    <col min="8" max="8" width="9.140625" customWidth="1"/>
    <col min="9" max="9" width="8.7109375" customWidth="1"/>
    <col min="10" max="10" width="9.7109375" customWidth="1"/>
    <col min="11" max="11" width="10.85546875" customWidth="1"/>
    <col min="12" max="27" width="8.7109375" customWidth="1"/>
  </cols>
  <sheetData>
    <row r="1" spans="1:11" ht="26.25">
      <c r="A1" s="58" t="s">
        <v>65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15.75">
      <c r="A2" s="30" t="s">
        <v>66</v>
      </c>
      <c r="B2" s="31" t="s">
        <v>31</v>
      </c>
      <c r="C2" s="32" t="s">
        <v>67</v>
      </c>
      <c r="D2" s="32" t="s">
        <v>33</v>
      </c>
      <c r="E2" s="32" t="s">
        <v>68</v>
      </c>
      <c r="F2" s="32" t="s">
        <v>69</v>
      </c>
      <c r="G2" s="32" t="s">
        <v>70</v>
      </c>
      <c r="H2" s="32" t="s">
        <v>71</v>
      </c>
      <c r="I2" s="32" t="s">
        <v>57</v>
      </c>
      <c r="J2" s="32" t="s">
        <v>58</v>
      </c>
      <c r="K2" s="33" t="s">
        <v>72</v>
      </c>
    </row>
    <row r="3" spans="1:11">
      <c r="A3" s="34" t="s">
        <v>71</v>
      </c>
      <c r="B3" s="34" t="s">
        <v>50</v>
      </c>
      <c r="C3" s="34" t="s">
        <v>73</v>
      </c>
      <c r="D3" s="35" t="str">
        <f>B3&amp;" "&amp;UPPER(C3)</f>
        <v>RNI KEVIN</v>
      </c>
      <c r="E3" s="36">
        <v>49</v>
      </c>
      <c r="F3" s="36">
        <v>55</v>
      </c>
      <c r="G3" s="36">
        <v>66</v>
      </c>
      <c r="H3" s="36">
        <v>38</v>
      </c>
      <c r="I3" s="37">
        <f>E3+F3+G3+H3</f>
        <v>208</v>
      </c>
      <c r="J3" s="37">
        <f>AVERAGE(E3:H3)</f>
        <v>52</v>
      </c>
      <c r="K3" s="38" t="str">
        <f>IF(J3&gt;50,"Pass","Fail")</f>
        <v>Pass</v>
      </c>
    </row>
    <row r="4" spans="1:11">
      <c r="A4" s="34" t="s">
        <v>74</v>
      </c>
      <c r="B4" s="34" t="s">
        <v>54</v>
      </c>
      <c r="C4" s="34" t="s">
        <v>75</v>
      </c>
      <c r="D4" s="35" t="str">
        <f t="shared" ref="D4:D11" si="0">B4&amp;" "&amp;UPPER(C4)</f>
        <v>AHG NIHAL</v>
      </c>
      <c r="E4" s="36">
        <v>90</v>
      </c>
      <c r="F4" s="36">
        <v>69</v>
      </c>
      <c r="G4" s="36">
        <v>80</v>
      </c>
      <c r="H4" s="36">
        <v>88</v>
      </c>
      <c r="I4" s="37">
        <f t="shared" ref="I4:I11" si="1">E4+F4+G4+H4</f>
        <v>327</v>
      </c>
      <c r="J4" s="37">
        <f t="shared" ref="J4:J11" si="2">AVERAGE(E4:H4)</f>
        <v>81.75</v>
      </c>
      <c r="K4" s="38" t="str">
        <f t="shared" ref="K4:K11" si="3">IF(J4&gt;50,"Pass","Fail")</f>
        <v>Pass</v>
      </c>
    </row>
    <row r="5" spans="1:11">
      <c r="A5" s="34" t="s">
        <v>71</v>
      </c>
      <c r="B5" s="34" t="s">
        <v>42</v>
      </c>
      <c r="C5" s="34" t="s">
        <v>76</v>
      </c>
      <c r="D5" s="35" t="str">
        <f t="shared" si="0"/>
        <v>SD JEEVANI</v>
      </c>
      <c r="E5" s="36">
        <v>91</v>
      </c>
      <c r="F5" s="36">
        <v>51</v>
      </c>
      <c r="G5" s="36">
        <v>57</v>
      </c>
      <c r="H5" s="36">
        <v>57</v>
      </c>
      <c r="I5" s="37">
        <f t="shared" si="1"/>
        <v>256</v>
      </c>
      <c r="J5" s="37">
        <f t="shared" si="2"/>
        <v>64</v>
      </c>
      <c r="K5" s="38" t="str">
        <f t="shared" si="3"/>
        <v>Pass</v>
      </c>
    </row>
    <row r="6" spans="1:11">
      <c r="A6" s="34" t="s">
        <v>71</v>
      </c>
      <c r="B6" s="34" t="s">
        <v>77</v>
      </c>
      <c r="C6" s="34" t="s">
        <v>78</v>
      </c>
      <c r="D6" s="35" t="str">
        <f t="shared" si="0"/>
        <v>HA NIMESHA</v>
      </c>
      <c r="E6" s="36">
        <v>95</v>
      </c>
      <c r="F6" s="36">
        <v>37</v>
      </c>
      <c r="G6" s="36">
        <v>51</v>
      </c>
      <c r="H6" s="36">
        <v>82</v>
      </c>
      <c r="I6" s="37">
        <f t="shared" si="1"/>
        <v>265</v>
      </c>
      <c r="J6" s="37">
        <f t="shared" si="2"/>
        <v>66.25</v>
      </c>
      <c r="K6" s="38" t="str">
        <f t="shared" si="3"/>
        <v>Pass</v>
      </c>
    </row>
    <row r="7" spans="1:11">
      <c r="A7" s="34" t="s">
        <v>74</v>
      </c>
      <c r="B7" s="34" t="s">
        <v>47</v>
      </c>
      <c r="C7" s="34" t="s">
        <v>79</v>
      </c>
      <c r="D7" s="35" t="str">
        <f t="shared" si="0"/>
        <v>HH JEVON</v>
      </c>
      <c r="E7" s="36">
        <v>55</v>
      </c>
      <c r="F7" s="36">
        <v>58</v>
      </c>
      <c r="G7" s="36">
        <v>50</v>
      </c>
      <c r="H7" s="36">
        <v>35</v>
      </c>
      <c r="I7" s="37">
        <f t="shared" si="1"/>
        <v>198</v>
      </c>
      <c r="J7" s="37">
        <f t="shared" si="2"/>
        <v>49.5</v>
      </c>
      <c r="K7" s="38" t="str">
        <f t="shared" si="3"/>
        <v>Fail</v>
      </c>
    </row>
    <row r="8" spans="1:11">
      <c r="A8" s="34" t="s">
        <v>74</v>
      </c>
      <c r="B8" s="34" t="s">
        <v>44</v>
      </c>
      <c r="C8" s="34" t="s">
        <v>80</v>
      </c>
      <c r="D8" s="35" t="str">
        <f t="shared" si="0"/>
        <v>ER MARIA</v>
      </c>
      <c r="E8" s="36">
        <v>90</v>
      </c>
      <c r="F8" s="36">
        <v>58</v>
      </c>
      <c r="G8" s="36">
        <v>74</v>
      </c>
      <c r="H8" s="36">
        <v>44</v>
      </c>
      <c r="I8" s="37">
        <f t="shared" si="1"/>
        <v>266</v>
      </c>
      <c r="J8" s="37">
        <f t="shared" si="2"/>
        <v>66.5</v>
      </c>
      <c r="K8" s="38" t="str">
        <f t="shared" si="3"/>
        <v>Pass</v>
      </c>
    </row>
    <row r="9" spans="1:11">
      <c r="A9" s="34" t="s">
        <v>71</v>
      </c>
      <c r="B9" s="34" t="s">
        <v>81</v>
      </c>
      <c r="C9" s="34" t="s">
        <v>82</v>
      </c>
      <c r="D9" s="35" t="str">
        <f t="shared" si="0"/>
        <v>JH JOSH</v>
      </c>
      <c r="E9" s="36">
        <v>84</v>
      </c>
      <c r="F9" s="36">
        <v>92</v>
      </c>
      <c r="G9" s="36">
        <v>91</v>
      </c>
      <c r="H9" s="36">
        <v>75</v>
      </c>
      <c r="I9" s="37">
        <f t="shared" si="1"/>
        <v>342</v>
      </c>
      <c r="J9" s="37">
        <f t="shared" si="2"/>
        <v>85.5</v>
      </c>
      <c r="K9" s="38" t="str">
        <f t="shared" si="3"/>
        <v>Pass</v>
      </c>
    </row>
    <row r="10" spans="1:11">
      <c r="A10" s="34" t="s">
        <v>71</v>
      </c>
      <c r="B10" s="34" t="s">
        <v>83</v>
      </c>
      <c r="C10" s="34" t="s">
        <v>84</v>
      </c>
      <c r="D10" s="35" t="str">
        <f t="shared" si="0"/>
        <v>PM HARIS</v>
      </c>
      <c r="E10" s="36">
        <v>56</v>
      </c>
      <c r="F10" s="36">
        <v>34</v>
      </c>
      <c r="G10" s="36">
        <v>43</v>
      </c>
      <c r="H10" s="36">
        <v>37</v>
      </c>
      <c r="I10" s="37">
        <f t="shared" si="1"/>
        <v>170</v>
      </c>
      <c r="J10" s="37">
        <f t="shared" si="2"/>
        <v>42.5</v>
      </c>
      <c r="K10" s="38" t="str">
        <f t="shared" si="3"/>
        <v>Fail</v>
      </c>
    </row>
    <row r="11" spans="1:11">
      <c r="A11" s="34" t="s">
        <v>74</v>
      </c>
      <c r="B11" s="34" t="s">
        <v>52</v>
      </c>
      <c r="C11" s="34" t="s">
        <v>85</v>
      </c>
      <c r="D11" s="35" t="str">
        <f t="shared" si="0"/>
        <v>TRV AYOMI</v>
      </c>
      <c r="E11" s="36">
        <v>57</v>
      </c>
      <c r="F11" s="36">
        <v>56</v>
      </c>
      <c r="G11" s="36">
        <v>96</v>
      </c>
      <c r="H11" s="36">
        <v>52</v>
      </c>
      <c r="I11" s="37">
        <f t="shared" si="1"/>
        <v>261</v>
      </c>
      <c r="J11" s="37">
        <f t="shared" si="2"/>
        <v>65.25</v>
      </c>
      <c r="K11" s="38" t="str">
        <f t="shared" si="3"/>
        <v>Pass</v>
      </c>
    </row>
    <row r="12" spans="1:11"/>
    <row r="13" spans="1:11">
      <c r="A13" s="13"/>
      <c r="B13" s="9"/>
      <c r="C13" s="9"/>
      <c r="D13" s="9"/>
      <c r="E13" s="9"/>
      <c r="F13" s="9"/>
      <c r="G13" s="9"/>
      <c r="H13" s="9"/>
      <c r="I13" s="9"/>
      <c r="J13" s="9"/>
      <c r="K13" s="13"/>
    </row>
    <row r="14" spans="1:11">
      <c r="A14" s="13"/>
      <c r="B14" s="55" t="s">
        <v>130</v>
      </c>
      <c r="C14" s="56"/>
      <c r="D14" s="56"/>
      <c r="E14" s="56"/>
      <c r="F14" s="56"/>
      <c r="G14" s="56"/>
      <c r="H14" s="56"/>
      <c r="I14" s="57"/>
      <c r="J14" s="17">
        <f>COUNT(E3:E11)</f>
        <v>9</v>
      </c>
      <c r="K14" s="13"/>
    </row>
    <row r="15" spans="1:11">
      <c r="A15" s="13"/>
      <c r="B15" s="61" t="s">
        <v>86</v>
      </c>
      <c r="C15" s="62"/>
      <c r="D15" s="62"/>
      <c r="E15" s="62"/>
      <c r="F15" s="62"/>
      <c r="G15" s="62"/>
      <c r="H15" s="62"/>
      <c r="I15" s="63"/>
      <c r="J15" s="18">
        <f>MAX(J3:J11)</f>
        <v>85.5</v>
      </c>
      <c r="K15" s="13"/>
    </row>
    <row r="16" spans="1:11">
      <c r="A16" s="13"/>
      <c r="B16" s="61" t="s">
        <v>87</v>
      </c>
      <c r="C16" s="62"/>
      <c r="D16" s="62"/>
      <c r="E16" s="62"/>
      <c r="F16" s="62"/>
      <c r="G16" s="62"/>
      <c r="H16" s="62"/>
      <c r="I16" s="63"/>
      <c r="J16" s="18">
        <f>MIN(J3:J11)</f>
        <v>42.5</v>
      </c>
      <c r="K16" s="13"/>
    </row>
    <row r="17" spans="1:11">
      <c r="A17" s="13"/>
      <c r="B17" s="61" t="s">
        <v>142</v>
      </c>
      <c r="C17" s="62"/>
      <c r="D17" s="62"/>
      <c r="E17" s="62"/>
      <c r="F17" s="62"/>
      <c r="G17" s="62"/>
      <c r="H17" s="62"/>
      <c r="I17" s="63"/>
      <c r="J17" s="17">
        <f>COUNTIF(J3:J11,"&lt;50")</f>
        <v>2</v>
      </c>
      <c r="K17" s="13"/>
    </row>
    <row r="18" spans="1:11">
      <c r="A18" s="13"/>
      <c r="B18" s="55" t="s">
        <v>141</v>
      </c>
      <c r="C18" s="56"/>
      <c r="D18" s="56"/>
      <c r="E18" s="56"/>
      <c r="F18" s="56"/>
      <c r="G18" s="56"/>
      <c r="H18" s="56"/>
      <c r="I18" s="57"/>
      <c r="J18" s="17">
        <f>AVERAGEIF(A3:A11,"English",E3:E11)</f>
        <v>75</v>
      </c>
      <c r="K18" s="13"/>
    </row>
    <row r="19" spans="1:1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ht="15.75" customHeight="1"/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18:I18"/>
    <mergeCell ref="A1:K1"/>
    <mergeCell ref="B14:I14"/>
    <mergeCell ref="B15:I15"/>
    <mergeCell ref="B16:I16"/>
    <mergeCell ref="B17:I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1"/>
  <sheetViews>
    <sheetView workbookViewId="0">
      <selection activeCell="L24" sqref="L24"/>
    </sheetView>
  </sheetViews>
  <sheetFormatPr defaultColWidth="14.42578125" defaultRowHeight="15" customHeight="1"/>
  <cols>
    <col min="1" max="1" width="14.140625" customWidth="1"/>
    <col min="2" max="2" width="14.28515625" customWidth="1"/>
    <col min="3" max="3" width="11.28515625" customWidth="1"/>
    <col min="4" max="7" width="14.42578125" customWidth="1"/>
    <col min="8" max="8" width="14.7109375" customWidth="1"/>
    <col min="9" max="9" width="16.28515625" customWidth="1"/>
    <col min="10" max="27" width="8.7109375" customWidth="1"/>
  </cols>
  <sheetData>
    <row r="1" spans="1:9" ht="21">
      <c r="A1" s="65" t="s">
        <v>140</v>
      </c>
      <c r="B1" s="66"/>
      <c r="C1" s="66"/>
      <c r="D1" s="66"/>
      <c r="E1" s="66"/>
      <c r="F1" s="66"/>
      <c r="G1" s="66"/>
      <c r="H1" s="66"/>
      <c r="I1" s="66"/>
    </row>
    <row r="2" spans="1:9" ht="15.75">
      <c r="A2" s="40" t="s">
        <v>88</v>
      </c>
      <c r="B2" s="40" t="s">
        <v>89</v>
      </c>
      <c r="C2" s="40" t="s">
        <v>90</v>
      </c>
      <c r="D2" s="40" t="s">
        <v>91</v>
      </c>
      <c r="E2" s="40" t="s">
        <v>92</v>
      </c>
      <c r="F2" s="40" t="s">
        <v>93</v>
      </c>
      <c r="G2" s="40" t="s">
        <v>94</v>
      </c>
      <c r="H2" s="40" t="s">
        <v>58</v>
      </c>
      <c r="I2" s="40" t="s">
        <v>95</v>
      </c>
    </row>
    <row r="3" spans="1:9">
      <c r="A3" s="4" t="s">
        <v>96</v>
      </c>
      <c r="B3" s="4" t="s">
        <v>97</v>
      </c>
      <c r="C3" s="4" t="str">
        <f>_xlfn.CONCAT(UPPER(LEFT(A3,3)),"-",LEFT(B3,2))</f>
        <v>COL-Nu</v>
      </c>
      <c r="D3" s="14">
        <v>250000</v>
      </c>
      <c r="E3" s="14">
        <v>220000</v>
      </c>
      <c r="F3" s="14">
        <v>290000</v>
      </c>
      <c r="G3" s="14">
        <v>190000</v>
      </c>
      <c r="H3" s="15">
        <f>AVERAGE(D3:G3)</f>
        <v>237500</v>
      </c>
      <c r="I3" s="15">
        <f>MAX(D3:G3)</f>
        <v>290000</v>
      </c>
    </row>
    <row r="4" spans="1:9">
      <c r="A4" s="4" t="s">
        <v>96</v>
      </c>
      <c r="B4" s="4" t="s">
        <v>98</v>
      </c>
      <c r="C4" s="4" t="str">
        <f t="shared" ref="C4:C14" si="0">_xlfn.CONCAT(UPPER(LEFT(A4,3)),"-",LEFT(B4,2))</f>
        <v>COL-Ko</v>
      </c>
      <c r="D4" s="14">
        <v>480000</v>
      </c>
      <c r="E4" s="14">
        <v>420000</v>
      </c>
      <c r="F4" s="14">
        <v>390000</v>
      </c>
      <c r="G4" s="14">
        <v>430000</v>
      </c>
      <c r="H4" s="15">
        <f t="shared" ref="H4:H14" si="1">AVERAGE(D4:G4)</f>
        <v>430000</v>
      </c>
      <c r="I4" s="15">
        <f t="shared" ref="I4:I14" si="2">MAX(D4:G4)</f>
        <v>480000</v>
      </c>
    </row>
    <row r="5" spans="1:9">
      <c r="A5" s="4" t="s">
        <v>99</v>
      </c>
      <c r="B5" s="4" t="s">
        <v>100</v>
      </c>
      <c r="C5" s="4" t="str">
        <f t="shared" si="0"/>
        <v>KAN-Ka</v>
      </c>
      <c r="D5" s="14">
        <v>130000</v>
      </c>
      <c r="E5" s="14">
        <v>180000</v>
      </c>
      <c r="F5" s="14">
        <v>200000</v>
      </c>
      <c r="G5" s="14">
        <v>220000</v>
      </c>
      <c r="H5" s="15">
        <f t="shared" si="1"/>
        <v>182500</v>
      </c>
      <c r="I5" s="15">
        <f t="shared" si="2"/>
        <v>220000</v>
      </c>
    </row>
    <row r="6" spans="1:9">
      <c r="A6" s="4" t="s">
        <v>99</v>
      </c>
      <c r="B6" s="4" t="s">
        <v>101</v>
      </c>
      <c r="C6" s="4" t="str">
        <f t="shared" si="0"/>
        <v>KAN-Ga</v>
      </c>
      <c r="D6" s="14">
        <v>320000</v>
      </c>
      <c r="E6" s="14"/>
      <c r="F6" s="14">
        <v>260000</v>
      </c>
      <c r="G6" s="14">
        <v>310000</v>
      </c>
      <c r="H6" s="15">
        <f t="shared" si="1"/>
        <v>296666.66666666669</v>
      </c>
      <c r="I6" s="15">
        <f t="shared" si="2"/>
        <v>320000</v>
      </c>
    </row>
    <row r="7" spans="1:9">
      <c r="A7" s="4" t="s">
        <v>99</v>
      </c>
      <c r="B7" s="4" t="s">
        <v>102</v>
      </c>
      <c r="C7" s="4" t="str">
        <f t="shared" si="0"/>
        <v>KAN-Na</v>
      </c>
      <c r="D7" s="14">
        <v>980000</v>
      </c>
      <c r="E7" s="14">
        <v>150000</v>
      </c>
      <c r="F7" s="14">
        <v>780000</v>
      </c>
      <c r="G7" s="14">
        <v>850000</v>
      </c>
      <c r="H7" s="15">
        <f t="shared" si="1"/>
        <v>690000</v>
      </c>
      <c r="I7" s="15">
        <f t="shared" si="2"/>
        <v>980000</v>
      </c>
    </row>
    <row r="8" spans="1:9">
      <c r="A8" s="4" t="s">
        <v>103</v>
      </c>
      <c r="B8" s="4" t="s">
        <v>104</v>
      </c>
      <c r="C8" s="4" t="str">
        <f t="shared" si="0"/>
        <v>GAM-Ke</v>
      </c>
      <c r="D8" s="14">
        <v>125000</v>
      </c>
      <c r="E8" s="14">
        <v>32000</v>
      </c>
      <c r="F8" s="14"/>
      <c r="G8" s="14">
        <v>23000</v>
      </c>
      <c r="H8" s="15">
        <f t="shared" si="1"/>
        <v>60000</v>
      </c>
      <c r="I8" s="15">
        <f t="shared" si="2"/>
        <v>125000</v>
      </c>
    </row>
    <row r="9" spans="1:9">
      <c r="A9" s="4" t="s">
        <v>103</v>
      </c>
      <c r="B9" s="4" t="s">
        <v>105</v>
      </c>
      <c r="C9" s="4" t="str">
        <f t="shared" si="0"/>
        <v>GAM-Ja</v>
      </c>
      <c r="D9" s="14" t="s">
        <v>106</v>
      </c>
      <c r="E9" s="14">
        <v>420000</v>
      </c>
      <c r="F9" s="14">
        <v>250000</v>
      </c>
      <c r="G9" s="14">
        <v>320000</v>
      </c>
      <c r="H9" s="15">
        <f t="shared" si="1"/>
        <v>330000</v>
      </c>
      <c r="I9" s="15">
        <f t="shared" si="2"/>
        <v>420000</v>
      </c>
    </row>
    <row r="10" spans="1:9">
      <c r="A10" s="4" t="s">
        <v>103</v>
      </c>
      <c r="B10" s="4" t="s">
        <v>107</v>
      </c>
      <c r="C10" s="4" t="str">
        <f t="shared" si="0"/>
        <v>GAM-Ka</v>
      </c>
      <c r="D10" s="14">
        <v>430000</v>
      </c>
      <c r="E10" s="14">
        <v>200000</v>
      </c>
      <c r="F10" s="14">
        <v>680000</v>
      </c>
      <c r="G10" s="14">
        <v>125000</v>
      </c>
      <c r="H10" s="15">
        <f t="shared" si="1"/>
        <v>358750</v>
      </c>
      <c r="I10" s="15">
        <f t="shared" si="2"/>
        <v>680000</v>
      </c>
    </row>
    <row r="11" spans="1:9">
      <c r="A11" s="4" t="s">
        <v>108</v>
      </c>
      <c r="B11" s="4" t="s">
        <v>108</v>
      </c>
      <c r="C11" s="4" t="str">
        <f t="shared" si="0"/>
        <v>MAT-Ma</v>
      </c>
      <c r="D11" s="14">
        <v>320000</v>
      </c>
      <c r="E11" s="14">
        <v>850000</v>
      </c>
      <c r="F11" s="14">
        <v>980000</v>
      </c>
      <c r="G11" s="14">
        <v>850000</v>
      </c>
      <c r="H11" s="15">
        <f t="shared" si="1"/>
        <v>750000</v>
      </c>
      <c r="I11" s="15">
        <f t="shared" si="2"/>
        <v>980000</v>
      </c>
    </row>
    <row r="12" spans="1:9">
      <c r="A12" s="4" t="s">
        <v>108</v>
      </c>
      <c r="B12" s="4" t="s">
        <v>109</v>
      </c>
      <c r="C12" s="4" t="str">
        <f t="shared" si="0"/>
        <v>MAT-We</v>
      </c>
      <c r="D12" s="14">
        <v>780000</v>
      </c>
      <c r="E12" s="14">
        <v>520000</v>
      </c>
      <c r="F12" s="14">
        <v>32000</v>
      </c>
      <c r="G12" s="14">
        <v>925400</v>
      </c>
      <c r="H12" s="15">
        <f t="shared" si="1"/>
        <v>564350</v>
      </c>
      <c r="I12" s="15">
        <f t="shared" si="2"/>
        <v>925400</v>
      </c>
    </row>
    <row r="13" spans="1:9">
      <c r="A13" s="4" t="s">
        <v>110</v>
      </c>
      <c r="B13" s="4" t="s">
        <v>111</v>
      </c>
      <c r="C13" s="4" t="str">
        <f t="shared" si="0"/>
        <v>KAL-Ma</v>
      </c>
      <c r="D13" s="14" t="s">
        <v>106</v>
      </c>
      <c r="E13" s="14">
        <v>62000</v>
      </c>
      <c r="F13" s="14">
        <v>742000</v>
      </c>
      <c r="G13" s="14">
        <v>36000</v>
      </c>
      <c r="H13" s="15">
        <f t="shared" si="1"/>
        <v>280000</v>
      </c>
      <c r="I13" s="15">
        <f t="shared" si="2"/>
        <v>742000</v>
      </c>
    </row>
    <row r="14" spans="1:9">
      <c r="A14" s="4" t="s">
        <v>110</v>
      </c>
      <c r="B14" s="4" t="s">
        <v>112</v>
      </c>
      <c r="C14" s="4" t="str">
        <f t="shared" si="0"/>
        <v>KAL-Be</v>
      </c>
      <c r="D14" s="14">
        <v>180000</v>
      </c>
      <c r="E14" s="14">
        <v>120000</v>
      </c>
      <c r="F14" s="14">
        <v>150000</v>
      </c>
      <c r="G14" s="14">
        <v>130000</v>
      </c>
      <c r="H14" s="15">
        <f t="shared" si="1"/>
        <v>145000</v>
      </c>
      <c r="I14" s="15">
        <f t="shared" si="2"/>
        <v>180000</v>
      </c>
    </row>
    <row r="15" spans="1:9">
      <c r="A15" s="4"/>
      <c r="B15" s="4" t="s">
        <v>113</v>
      </c>
      <c r="C15" s="4"/>
      <c r="D15" s="15">
        <f>SUM(D3:D14)</f>
        <v>3995000</v>
      </c>
      <c r="E15" s="15">
        <f t="shared" ref="E15:G15" si="3">SUM(E3:E14)</f>
        <v>3174000</v>
      </c>
      <c r="F15" s="15">
        <f t="shared" si="3"/>
        <v>4754000</v>
      </c>
      <c r="G15" s="15">
        <f t="shared" si="3"/>
        <v>4409400</v>
      </c>
      <c r="H15" s="4"/>
      <c r="I15" s="4"/>
    </row>
    <row r="16" spans="1:9">
      <c r="A16" s="4"/>
      <c r="B16" s="4" t="s">
        <v>114</v>
      </c>
      <c r="C16" s="4"/>
      <c r="D16" s="14">
        <v>1500000</v>
      </c>
      <c r="E16" s="14">
        <v>1000000</v>
      </c>
      <c r="F16" s="14">
        <v>2500000</v>
      </c>
      <c r="G16" s="14">
        <v>1500000</v>
      </c>
      <c r="H16" s="4"/>
      <c r="I16" s="4"/>
    </row>
    <row r="17" spans="1:9">
      <c r="A17" s="4"/>
      <c r="B17" s="4" t="s">
        <v>115</v>
      </c>
      <c r="C17" s="4"/>
      <c r="D17" s="15">
        <f>D15-D16</f>
        <v>2495000</v>
      </c>
      <c r="E17" s="15">
        <f t="shared" ref="E17:G17" si="4">E15-E16</f>
        <v>2174000</v>
      </c>
      <c r="F17" s="15">
        <f t="shared" si="4"/>
        <v>2254000</v>
      </c>
      <c r="G17" s="15">
        <f t="shared" si="4"/>
        <v>2909400</v>
      </c>
      <c r="H17" s="4"/>
      <c r="I17" s="4"/>
    </row>
    <row r="18" spans="1:9">
      <c r="A18" s="4"/>
      <c r="B18" s="4" t="s">
        <v>116</v>
      </c>
      <c r="C18" s="4"/>
      <c r="D18" s="15">
        <f>D17*0.1</f>
        <v>249500</v>
      </c>
      <c r="E18" s="15">
        <f t="shared" ref="E18:G18" si="5">E17*0.1</f>
        <v>217400</v>
      </c>
      <c r="F18" s="15">
        <f t="shared" si="5"/>
        <v>225400</v>
      </c>
      <c r="G18" s="15">
        <f t="shared" si="5"/>
        <v>290940</v>
      </c>
      <c r="H18" s="4"/>
      <c r="I18" s="4"/>
    </row>
    <row r="20" spans="1:9">
      <c r="A20" s="61" t="s">
        <v>117</v>
      </c>
      <c r="B20" s="53"/>
      <c r="C20" s="53"/>
      <c r="D20" s="53"/>
      <c r="E20" s="53"/>
      <c r="F20" s="53"/>
      <c r="G20" s="53"/>
      <c r="H20" s="54"/>
      <c r="I20" s="39">
        <f>SUMIF(E3:E14,"&gt;300000",E3:E14)</f>
        <v>2210000</v>
      </c>
    </row>
    <row r="21" spans="1:9" ht="15.75" customHeight="1">
      <c r="A21" s="61" t="s">
        <v>118</v>
      </c>
      <c r="B21" s="53"/>
      <c r="C21" s="53"/>
      <c r="D21" s="53"/>
      <c r="E21" s="53"/>
      <c r="F21" s="53"/>
      <c r="G21" s="53"/>
      <c r="H21" s="54"/>
      <c r="I21" s="39">
        <f>SUMIF(G3:G14,"&lt;300000")</f>
        <v>724000</v>
      </c>
    </row>
    <row r="22" spans="1:9" ht="15.75" customHeight="1">
      <c r="A22" s="61" t="s">
        <v>119</v>
      </c>
      <c r="B22" s="53"/>
      <c r="C22" s="53"/>
      <c r="D22" s="53"/>
      <c r="E22" s="53"/>
      <c r="F22" s="53"/>
      <c r="G22" s="53"/>
      <c r="H22" s="54"/>
      <c r="I22" s="39">
        <f>AVERAGEIF(F3:F14,"&lt;=200000")</f>
        <v>127333.33333333333</v>
      </c>
    </row>
    <row r="23" spans="1:9" ht="15.75" customHeight="1">
      <c r="A23" s="64" t="s">
        <v>120</v>
      </c>
      <c r="B23" s="53"/>
      <c r="C23" s="53"/>
      <c r="D23" s="53"/>
      <c r="E23" s="53"/>
      <c r="F23" s="53"/>
      <c r="G23" s="53"/>
      <c r="H23" s="54"/>
      <c r="I23" s="39">
        <f>SUMIFS(E3:E14,E3:E14,"&gt;150000",B3:B14,"K*")</f>
        <v>800000</v>
      </c>
    </row>
    <row r="24" spans="1:9" ht="15.75" customHeight="1">
      <c r="A24" s="55" t="s">
        <v>138</v>
      </c>
      <c r="B24" s="53"/>
      <c r="C24" s="53"/>
      <c r="D24" s="53"/>
      <c r="E24" s="53"/>
      <c r="F24" s="53"/>
      <c r="G24" s="53"/>
      <c r="H24" s="54"/>
      <c r="I24" s="16">
        <f>COUNTIFS(E3:E14,"&gt;=150000",F3:F14,"&gt;=150000",G3:G14,"&gt;=150000")</f>
        <v>6</v>
      </c>
    </row>
    <row r="25" spans="1:9" ht="15.75" customHeight="1">
      <c r="A25" s="64" t="s">
        <v>121</v>
      </c>
      <c r="B25" s="53"/>
      <c r="C25" s="53"/>
      <c r="D25" s="53"/>
      <c r="E25" s="53"/>
      <c r="F25" s="53"/>
      <c r="G25" s="53"/>
      <c r="H25" s="54"/>
      <c r="I25" s="39">
        <f>AVERAGEIFS(G3:G14,G3:G14,"&gt;200000",G3:G14,"&lt;300000")</f>
        <v>220000</v>
      </c>
    </row>
    <row r="26" spans="1:9" ht="15.75" customHeight="1">
      <c r="A26" s="61" t="s">
        <v>122</v>
      </c>
      <c r="B26" s="53"/>
      <c r="C26" s="53"/>
      <c r="D26" s="53"/>
      <c r="E26" s="53"/>
      <c r="F26" s="53"/>
      <c r="G26" s="53"/>
      <c r="H26" s="54"/>
      <c r="I26" s="16">
        <f>COUNTIF(E3:E14,"&gt;0")</f>
        <v>11</v>
      </c>
    </row>
    <row r="27" spans="1:9" ht="15.75" customHeight="1">
      <c r="A27" s="61" t="s">
        <v>123</v>
      </c>
      <c r="B27" s="53"/>
      <c r="C27" s="53"/>
      <c r="D27" s="53"/>
      <c r="E27" s="53"/>
      <c r="F27" s="53"/>
      <c r="G27" s="53"/>
      <c r="H27" s="54"/>
      <c r="I27" s="16">
        <f>COUNTIF(D3:D14,"&gt;0")</f>
        <v>10</v>
      </c>
    </row>
    <row r="28" spans="1:9" ht="15.75" customHeight="1">
      <c r="A28" s="55" t="s">
        <v>131</v>
      </c>
      <c r="B28" s="53"/>
      <c r="C28" s="53"/>
      <c r="D28" s="53"/>
      <c r="E28" s="53"/>
      <c r="F28" s="53"/>
      <c r="G28" s="53"/>
      <c r="H28" s="54"/>
      <c r="I28" s="16">
        <f>COUNTBLANK(E3:G14)</f>
        <v>2</v>
      </c>
    </row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">
    <mergeCell ref="A1:I1"/>
    <mergeCell ref="A20:H20"/>
    <mergeCell ref="A21:H21"/>
    <mergeCell ref="A22:H22"/>
    <mergeCell ref="A23:H23"/>
    <mergeCell ref="A24:H24"/>
    <mergeCell ref="A25:H25"/>
    <mergeCell ref="A26:H26"/>
    <mergeCell ref="A28:H28"/>
    <mergeCell ref="A27:H2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abSelected="1" workbookViewId="0">
      <selection activeCell="I33" sqref="I33"/>
    </sheetView>
  </sheetViews>
  <sheetFormatPr defaultColWidth="14.42578125" defaultRowHeight="15" customHeight="1"/>
  <cols>
    <col min="1" max="1" width="12.85546875" customWidth="1"/>
    <col min="2" max="2" width="9.5703125" customWidth="1"/>
    <col min="3" max="3" width="18.85546875" customWidth="1"/>
    <col min="4" max="4" width="14.7109375" customWidth="1"/>
    <col min="5" max="5" width="13.7109375" customWidth="1"/>
    <col min="6" max="6" width="11.5703125" customWidth="1"/>
    <col min="7" max="7" width="11.85546875" customWidth="1"/>
    <col min="8" max="10" width="12.85546875" customWidth="1"/>
    <col min="11" max="27" width="8.7109375" customWidth="1"/>
  </cols>
  <sheetData>
    <row r="1" spans="1:10" ht="21">
      <c r="A1" s="67" t="s">
        <v>137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15.75">
      <c r="A2" s="41" t="s">
        <v>0</v>
      </c>
      <c r="B2" s="41" t="s">
        <v>1</v>
      </c>
      <c r="C2" s="41" t="s">
        <v>2</v>
      </c>
      <c r="D2" s="41" t="s">
        <v>3</v>
      </c>
      <c r="E2" s="41" t="s">
        <v>6</v>
      </c>
      <c r="F2" s="41" t="s">
        <v>4</v>
      </c>
      <c r="G2" s="41" t="s">
        <v>124</v>
      </c>
      <c r="H2" s="41" t="s">
        <v>125</v>
      </c>
      <c r="I2" s="41" t="s">
        <v>126</v>
      </c>
      <c r="J2" s="41" t="s">
        <v>5</v>
      </c>
    </row>
    <row r="3" spans="1:10">
      <c r="A3" s="19" t="s">
        <v>7</v>
      </c>
      <c r="B3" s="20">
        <v>45079</v>
      </c>
      <c r="C3" s="19" t="s">
        <v>8</v>
      </c>
      <c r="D3" s="19" t="s">
        <v>12</v>
      </c>
      <c r="E3" s="19" t="s">
        <v>10</v>
      </c>
      <c r="F3" s="19">
        <v>1500</v>
      </c>
      <c r="G3" s="21">
        <v>240</v>
      </c>
      <c r="H3" s="22">
        <f>F3*G3</f>
        <v>360000</v>
      </c>
      <c r="I3" s="70">
        <f>IF(D3="Wholesale",10%,0%)</f>
        <v>0</v>
      </c>
      <c r="J3" s="22">
        <f>H3-(H3*I3)</f>
        <v>360000</v>
      </c>
    </row>
    <row r="4" spans="1:10">
      <c r="A4" s="19" t="s">
        <v>7</v>
      </c>
      <c r="B4" s="20">
        <v>45085</v>
      </c>
      <c r="C4" s="19" t="s">
        <v>11</v>
      </c>
      <c r="D4" s="19" t="s">
        <v>12</v>
      </c>
      <c r="E4" s="19" t="s">
        <v>13</v>
      </c>
      <c r="F4" s="19">
        <v>150</v>
      </c>
      <c r="G4" s="21">
        <v>240</v>
      </c>
      <c r="H4" s="22">
        <f t="shared" ref="H4:H18" si="0">F4*G4</f>
        <v>36000</v>
      </c>
      <c r="I4" s="70">
        <f t="shared" ref="I4:I18" si="1">IF(D4="Wholesale",10%,0%)</f>
        <v>0</v>
      </c>
      <c r="J4" s="22">
        <f t="shared" ref="J4:J18" si="2">H4-(H4*I4)</f>
        <v>36000</v>
      </c>
    </row>
    <row r="5" spans="1:10">
      <c r="A5" s="19" t="s">
        <v>14</v>
      </c>
      <c r="B5" s="20">
        <v>45081</v>
      </c>
      <c r="C5" s="19" t="s">
        <v>8</v>
      </c>
      <c r="D5" s="19" t="s">
        <v>9</v>
      </c>
      <c r="E5" s="19" t="s">
        <v>10</v>
      </c>
      <c r="F5" s="19">
        <v>2500</v>
      </c>
      <c r="G5" s="21">
        <v>290</v>
      </c>
      <c r="H5" s="22">
        <f t="shared" si="0"/>
        <v>725000</v>
      </c>
      <c r="I5" s="70">
        <f t="shared" si="1"/>
        <v>0.1</v>
      </c>
      <c r="J5" s="22">
        <f t="shared" si="2"/>
        <v>652500</v>
      </c>
    </row>
    <row r="6" spans="1:10">
      <c r="A6" s="19" t="s">
        <v>15</v>
      </c>
      <c r="B6" s="20">
        <v>45081</v>
      </c>
      <c r="C6" s="19" t="s">
        <v>8</v>
      </c>
      <c r="D6" s="19" t="s">
        <v>9</v>
      </c>
      <c r="E6" s="19" t="s">
        <v>10</v>
      </c>
      <c r="F6" s="19">
        <v>2800</v>
      </c>
      <c r="G6" s="21">
        <v>320</v>
      </c>
      <c r="H6" s="22">
        <f t="shared" si="0"/>
        <v>896000</v>
      </c>
      <c r="I6" s="70">
        <f t="shared" si="1"/>
        <v>0.1</v>
      </c>
      <c r="J6" s="22">
        <f t="shared" si="2"/>
        <v>806400</v>
      </c>
    </row>
    <row r="7" spans="1:10">
      <c r="A7" s="19" t="s">
        <v>16</v>
      </c>
      <c r="B7" s="20">
        <v>45081</v>
      </c>
      <c r="C7" s="19" t="s">
        <v>11</v>
      </c>
      <c r="D7" s="19" t="s">
        <v>12</v>
      </c>
      <c r="E7" s="19" t="s">
        <v>13</v>
      </c>
      <c r="F7" s="19">
        <v>250</v>
      </c>
      <c r="G7" s="21">
        <v>380</v>
      </c>
      <c r="H7" s="22">
        <f t="shared" si="0"/>
        <v>95000</v>
      </c>
      <c r="I7" s="70">
        <f t="shared" si="1"/>
        <v>0</v>
      </c>
      <c r="J7" s="22">
        <f t="shared" si="2"/>
        <v>95000</v>
      </c>
    </row>
    <row r="8" spans="1:10">
      <c r="A8" s="19" t="s">
        <v>17</v>
      </c>
      <c r="B8" s="20">
        <v>45087</v>
      </c>
      <c r="C8" s="19" t="s">
        <v>18</v>
      </c>
      <c r="D8" s="19" t="s">
        <v>9</v>
      </c>
      <c r="E8" s="19" t="s">
        <v>19</v>
      </c>
      <c r="F8" s="19">
        <v>2400</v>
      </c>
      <c r="G8" s="21">
        <v>390</v>
      </c>
      <c r="H8" s="22">
        <f t="shared" si="0"/>
        <v>936000</v>
      </c>
      <c r="I8" s="70">
        <f t="shared" si="1"/>
        <v>0.1</v>
      </c>
      <c r="J8" s="22">
        <f t="shared" si="2"/>
        <v>842400</v>
      </c>
    </row>
    <row r="9" spans="1:10">
      <c r="A9" s="19" t="s">
        <v>20</v>
      </c>
      <c r="B9" s="20">
        <v>45088</v>
      </c>
      <c r="C9" s="19" t="s">
        <v>21</v>
      </c>
      <c r="D9" s="19" t="s">
        <v>12</v>
      </c>
      <c r="E9" s="19" t="s">
        <v>22</v>
      </c>
      <c r="F9" s="19">
        <v>360</v>
      </c>
      <c r="G9" s="21">
        <v>310</v>
      </c>
      <c r="H9" s="22">
        <f t="shared" si="0"/>
        <v>111600</v>
      </c>
      <c r="I9" s="70">
        <f t="shared" si="1"/>
        <v>0</v>
      </c>
      <c r="J9" s="22">
        <f t="shared" si="2"/>
        <v>111600</v>
      </c>
    </row>
    <row r="10" spans="1:10">
      <c r="A10" s="19" t="s">
        <v>23</v>
      </c>
      <c r="B10" s="20">
        <v>45089</v>
      </c>
      <c r="C10" s="19" t="s">
        <v>21</v>
      </c>
      <c r="D10" s="19" t="s">
        <v>12</v>
      </c>
      <c r="E10" s="19" t="s">
        <v>22</v>
      </c>
      <c r="F10" s="19">
        <v>420</v>
      </c>
      <c r="G10" s="21">
        <v>400</v>
      </c>
      <c r="H10" s="22">
        <f t="shared" si="0"/>
        <v>168000</v>
      </c>
      <c r="I10" s="70">
        <f t="shared" si="1"/>
        <v>0</v>
      </c>
      <c r="J10" s="22">
        <f t="shared" si="2"/>
        <v>168000</v>
      </c>
    </row>
    <row r="11" spans="1:10">
      <c r="A11" s="19" t="s">
        <v>14</v>
      </c>
      <c r="B11" s="20">
        <v>45091</v>
      </c>
      <c r="C11" s="19" t="s">
        <v>24</v>
      </c>
      <c r="D11" s="19" t="s">
        <v>12</v>
      </c>
      <c r="E11" s="19" t="s">
        <v>10</v>
      </c>
      <c r="F11" s="19">
        <v>300</v>
      </c>
      <c r="G11" s="21">
        <v>290</v>
      </c>
      <c r="H11" s="22">
        <f t="shared" si="0"/>
        <v>87000</v>
      </c>
      <c r="I11" s="70">
        <f t="shared" si="1"/>
        <v>0</v>
      </c>
      <c r="J11" s="22">
        <f t="shared" si="2"/>
        <v>87000</v>
      </c>
    </row>
    <row r="12" spans="1:10">
      <c r="A12" s="19" t="s">
        <v>15</v>
      </c>
      <c r="B12" s="20">
        <v>45093</v>
      </c>
      <c r="C12" s="19" t="s">
        <v>11</v>
      </c>
      <c r="D12" s="19" t="s">
        <v>12</v>
      </c>
      <c r="E12" s="19" t="s">
        <v>13</v>
      </c>
      <c r="F12" s="19">
        <v>180</v>
      </c>
      <c r="G12" s="21">
        <v>320</v>
      </c>
      <c r="H12" s="22">
        <f t="shared" si="0"/>
        <v>57600</v>
      </c>
      <c r="I12" s="70">
        <f t="shared" si="1"/>
        <v>0</v>
      </c>
      <c r="J12" s="22">
        <f t="shared" si="2"/>
        <v>57600</v>
      </c>
    </row>
    <row r="13" spans="1:10">
      <c r="A13" s="19" t="s">
        <v>7</v>
      </c>
      <c r="B13" s="20">
        <v>45095</v>
      </c>
      <c r="C13" s="19" t="s">
        <v>18</v>
      </c>
      <c r="D13" s="19" t="s">
        <v>9</v>
      </c>
      <c r="E13" s="19" t="s">
        <v>19</v>
      </c>
      <c r="F13" s="19">
        <v>4100</v>
      </c>
      <c r="G13" s="21">
        <v>240</v>
      </c>
      <c r="H13" s="22">
        <f t="shared" si="0"/>
        <v>984000</v>
      </c>
      <c r="I13" s="70">
        <f t="shared" si="1"/>
        <v>0.1</v>
      </c>
      <c r="J13" s="22">
        <f t="shared" si="2"/>
        <v>885600</v>
      </c>
    </row>
    <row r="14" spans="1:10">
      <c r="A14" s="19" t="s">
        <v>20</v>
      </c>
      <c r="B14" s="20">
        <v>45097</v>
      </c>
      <c r="C14" s="19" t="s">
        <v>21</v>
      </c>
      <c r="D14" s="19" t="s">
        <v>12</v>
      </c>
      <c r="E14" s="19" t="s">
        <v>22</v>
      </c>
      <c r="F14" s="19">
        <v>320</v>
      </c>
      <c r="G14" s="21">
        <v>310</v>
      </c>
      <c r="H14" s="22">
        <f t="shared" si="0"/>
        <v>99200</v>
      </c>
      <c r="I14" s="70">
        <f t="shared" si="1"/>
        <v>0</v>
      </c>
      <c r="J14" s="22">
        <f t="shared" si="2"/>
        <v>99200</v>
      </c>
    </row>
    <row r="15" spans="1:10">
      <c r="A15" s="19" t="s">
        <v>7</v>
      </c>
      <c r="B15" s="20">
        <v>45099</v>
      </c>
      <c r="C15" s="19" t="s">
        <v>21</v>
      </c>
      <c r="D15" s="19" t="s">
        <v>12</v>
      </c>
      <c r="E15" s="19" t="s">
        <v>22</v>
      </c>
      <c r="F15" s="19">
        <v>350</v>
      </c>
      <c r="G15" s="21">
        <v>240</v>
      </c>
      <c r="H15" s="22">
        <f t="shared" si="0"/>
        <v>84000</v>
      </c>
      <c r="I15" s="70">
        <f t="shared" si="1"/>
        <v>0</v>
      </c>
      <c r="J15" s="22">
        <f t="shared" si="2"/>
        <v>84000</v>
      </c>
    </row>
    <row r="16" spans="1:10">
      <c r="A16" s="19" t="s">
        <v>14</v>
      </c>
      <c r="B16" s="20">
        <v>45100</v>
      </c>
      <c r="C16" s="19" t="s">
        <v>11</v>
      </c>
      <c r="D16" s="19" t="s">
        <v>12</v>
      </c>
      <c r="E16" s="19" t="s">
        <v>13</v>
      </c>
      <c r="F16" s="19">
        <v>200</v>
      </c>
      <c r="G16" s="21">
        <v>290</v>
      </c>
      <c r="H16" s="22">
        <f t="shared" si="0"/>
        <v>58000</v>
      </c>
      <c r="I16" s="70">
        <f t="shared" si="1"/>
        <v>0</v>
      </c>
      <c r="J16" s="22">
        <f t="shared" si="2"/>
        <v>58000</v>
      </c>
    </row>
    <row r="17" spans="1:10">
      <c r="A17" s="19" t="s">
        <v>14</v>
      </c>
      <c r="B17" s="20">
        <v>45104</v>
      </c>
      <c r="C17" s="19" t="s">
        <v>24</v>
      </c>
      <c r="D17" s="19" t="s">
        <v>12</v>
      </c>
      <c r="E17" s="19" t="s">
        <v>10</v>
      </c>
      <c r="F17" s="19">
        <v>120</v>
      </c>
      <c r="G17" s="21">
        <v>290</v>
      </c>
      <c r="H17" s="22">
        <f t="shared" si="0"/>
        <v>34800</v>
      </c>
      <c r="I17" s="70">
        <f t="shared" si="1"/>
        <v>0</v>
      </c>
      <c r="J17" s="22">
        <f t="shared" si="2"/>
        <v>34800</v>
      </c>
    </row>
    <row r="18" spans="1:10">
      <c r="A18" s="19" t="s">
        <v>20</v>
      </c>
      <c r="B18" s="20">
        <v>45106</v>
      </c>
      <c r="C18" s="19" t="s">
        <v>8</v>
      </c>
      <c r="D18" s="19" t="s">
        <v>9</v>
      </c>
      <c r="E18" s="19" t="s">
        <v>10</v>
      </c>
      <c r="F18" s="19">
        <v>1500</v>
      </c>
      <c r="G18" s="21">
        <v>310</v>
      </c>
      <c r="H18" s="22">
        <f t="shared" si="0"/>
        <v>465000</v>
      </c>
      <c r="I18" s="70">
        <f t="shared" si="1"/>
        <v>0.1</v>
      </c>
      <c r="J18" s="22">
        <f t="shared" si="2"/>
        <v>418500</v>
      </c>
    </row>
    <row r="21" spans="1:10" ht="15.75" customHeight="1">
      <c r="A21" s="1" t="s">
        <v>25</v>
      </c>
      <c r="E21" s="69">
        <f>SUM(J3:J18)</f>
        <v>4796600</v>
      </c>
      <c r="F21" s="53"/>
      <c r="G21" s="54"/>
    </row>
    <row r="22" spans="1:10" ht="15.75" customHeight="1">
      <c r="A22" s="1" t="s">
        <v>26</v>
      </c>
      <c r="E22" s="69">
        <f>AVERAGE(J3:J18)</f>
        <v>299787.5</v>
      </c>
      <c r="F22" s="53"/>
      <c r="G22" s="54"/>
    </row>
    <row r="23" spans="1:10" ht="15.75" customHeight="1">
      <c r="A23" s="23" t="s">
        <v>134</v>
      </c>
      <c r="E23" s="69">
        <f>SUMIF(D3:D18,"Retail",J3:J18)</f>
        <v>1191200</v>
      </c>
      <c r="F23" s="53"/>
      <c r="G23" s="54"/>
    </row>
    <row r="24" spans="1:10" ht="15.75" customHeight="1">
      <c r="A24" s="23" t="s">
        <v>135</v>
      </c>
      <c r="E24" s="69">
        <f>SUMIF(D3:D18,"Wholesale",J3:J18)</f>
        <v>3605400</v>
      </c>
      <c r="F24" s="53"/>
      <c r="G24" s="54"/>
    </row>
    <row r="25" spans="1:10" ht="15.75" customHeight="1">
      <c r="A25" s="42" t="s">
        <v>132</v>
      </c>
      <c r="E25" s="69">
        <f>SUMIFS(J3:J18,A3:A18,"Vanilla",E3:E18,"East")</f>
        <v>885600</v>
      </c>
      <c r="F25" s="53"/>
      <c r="G25" s="54"/>
    </row>
    <row r="26" spans="1:10" ht="15.75" customHeight="1">
      <c r="A26" s="23" t="s">
        <v>133</v>
      </c>
      <c r="E26" s="69">
        <f>SUMIFS(J3:J18,A3:A18,"Chocolate",E3:E18,"South")</f>
        <v>774300</v>
      </c>
      <c r="F26" s="53"/>
      <c r="G26" s="54"/>
      <c r="I26" s="43"/>
    </row>
    <row r="27" spans="1:10" ht="15.75" customHeight="1">
      <c r="A27" s="1" t="s">
        <v>127</v>
      </c>
      <c r="E27" s="69">
        <f>MIN(G3:G17)</f>
        <v>240</v>
      </c>
      <c r="F27" s="53"/>
      <c r="G27" s="54"/>
    </row>
    <row r="28" spans="1:10" ht="15.75" customHeight="1">
      <c r="A28" s="1" t="s">
        <v>128</v>
      </c>
      <c r="E28" s="69">
        <f>MAX(G3:G18)</f>
        <v>400</v>
      </c>
      <c r="F28" s="53"/>
      <c r="G28" s="54"/>
    </row>
    <row r="29" spans="1:10" ht="15.75" customHeight="1">
      <c r="A29" s="1" t="s">
        <v>27</v>
      </c>
      <c r="E29" s="69">
        <f>SUMIFS(J3:J18,E3:E18,"East")</f>
        <v>1728000</v>
      </c>
      <c r="F29" s="53"/>
      <c r="G29" s="54"/>
    </row>
    <row r="30" spans="1:10" ht="15.75" customHeight="1">
      <c r="A30" s="1" t="s">
        <v>28</v>
      </c>
      <c r="E30" s="69">
        <f>SUMIFS(J3:J18,E3:E18,"West")</f>
        <v>462800</v>
      </c>
      <c r="F30" s="53"/>
      <c r="G30" s="54"/>
    </row>
    <row r="31" spans="1:10" ht="15.75" customHeight="1">
      <c r="A31" s="1" t="s">
        <v>29</v>
      </c>
      <c r="E31" s="69">
        <f>AVERAGEIF(A3:A18,"Vanilla",J3:J18)</f>
        <v>341400</v>
      </c>
      <c r="F31" s="53"/>
      <c r="G31" s="54"/>
    </row>
    <row r="32" spans="1:10" ht="15.75" customHeight="1">
      <c r="A32" s="23" t="s">
        <v>136</v>
      </c>
      <c r="E32" s="69" t="e">
        <f>AVERAGEIF(C3:C18,"Samsons(PVT) LTD",J3:J18)</f>
        <v>#DIV/0!</v>
      </c>
      <c r="F32" s="53"/>
      <c r="G32" s="5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J1"/>
    <mergeCell ref="E32:G32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02.2</vt:lpstr>
      <vt:lpstr>Activity 02.3</vt:lpstr>
      <vt:lpstr>Activity 02.4</vt:lpstr>
      <vt:lpstr>Activity 02.5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Nilantha</dc:creator>
  <cp:lastModifiedBy>111065</cp:lastModifiedBy>
  <dcterms:created xsi:type="dcterms:W3CDTF">2014-05-07T15:29:31Z</dcterms:created>
  <dcterms:modified xsi:type="dcterms:W3CDTF">2024-02-13T08:46:57Z</dcterms:modified>
</cp:coreProperties>
</file>