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Nils\Desktop\"/>
    </mc:Choice>
  </mc:AlternateContent>
  <xr:revisionPtr revIDLastSave="0" documentId="13_ncr:1_{28726CF7-8ACD-4226-91DB-8FE026CB558A}" xr6:coauthVersionLast="47" xr6:coauthVersionMax="47" xr10:uidLastSave="{00000000-0000-0000-0000-000000000000}"/>
  <bookViews>
    <workbookView xWindow="25490" yWindow="-1560" windowWidth="38620" windowHeight="21220" xr2:uid="{B3BB3B84-9BAE-4256-8CEC-785113C78BDC}"/>
  </bookViews>
  <sheets>
    <sheet name="Main" sheetId="1" r:id="rId1"/>
    <sheet name="Financial Statements" sheetId="2" r:id="rId2"/>
    <sheet name="Helper Data" sheetId="7" r:id="rId3"/>
    <sheet name="Industrial Averages"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 i="1" l="1" a="1"/>
  <c r="P7" i="1" s="1"/>
  <c r="P9" i="1" a="1"/>
  <c r="P9" i="1" s="1"/>
  <c r="P6" i="1" a="1"/>
  <c r="P6" i="1" s="1"/>
  <c r="H40" i="1"/>
  <c r="I40" i="1" s="1"/>
  <c r="J40" i="1" s="1"/>
  <c r="K40" i="1" s="1"/>
  <c r="G40" i="1"/>
  <c r="F40" i="1"/>
  <c r="S59" i="1"/>
  <c r="S58" i="1" s="1"/>
  <c r="W55" i="1"/>
  <c r="Z55" i="1" s="1"/>
  <c r="F50" i="1" a="1"/>
  <c r="F50" i="1" s="1"/>
  <c r="G50" i="1" s="1"/>
  <c r="H50" i="1" s="1"/>
  <c r="I50" i="1" s="1"/>
  <c r="J50" i="1" s="1"/>
  <c r="K50" i="1" s="1"/>
  <c r="L50" i="1" s="1"/>
  <c r="M50" i="1" s="1"/>
  <c r="N50" i="1" s="1"/>
  <c r="O50" i="1" s="1"/>
  <c r="P50" i="1" s="1"/>
  <c r="Z39" i="1"/>
  <c r="P43" i="1" a="1"/>
  <c r="P43" i="1" s="1"/>
  <c r="E44" i="1"/>
  <c r="U29" i="1"/>
  <c r="F54" i="1"/>
  <c r="H54" i="1" s="1"/>
  <c r="G28" i="1"/>
  <c r="H28" i="1"/>
  <c r="I28" i="1"/>
  <c r="J28" i="1"/>
  <c r="K28" i="1"/>
  <c r="L28" i="1"/>
  <c r="M28" i="1"/>
  <c r="N28" i="1"/>
  <c r="O28" i="1"/>
  <c r="P28" i="1"/>
  <c r="F28" i="1"/>
  <c r="E33" i="1"/>
  <c r="Z43" i="1"/>
  <c r="Z42" i="1"/>
  <c r="Z40" i="1"/>
  <c r="Z38" i="1"/>
  <c r="Z37" i="1"/>
  <c r="Z35" i="1"/>
  <c r="Z34" i="1"/>
  <c r="Z32" i="1"/>
  <c r="Z30" i="1"/>
  <c r="Z29" i="1"/>
  <c r="D18" i="1" a="1"/>
  <c r="D18" i="1" s="1"/>
  <c r="D17" i="1" a="1"/>
  <c r="D17" i="1" s="1"/>
  <c r="U44" i="1"/>
  <c r="U43" i="1"/>
  <c r="U42" i="1"/>
  <c r="U40" i="1"/>
  <c r="I21" i="7"/>
  <c r="E55" i="1" s="1"/>
  <c r="D20" i="1" a="1"/>
  <c r="D20" i="1" s="1"/>
  <c r="U28" i="1" s="1"/>
  <c r="M18" i="7"/>
  <c r="M16" i="7"/>
  <c r="I15" i="7"/>
  <c r="H16" i="7" s="1"/>
  <c r="I11" i="7"/>
  <c r="I10" i="7"/>
  <c r="F32" i="1"/>
  <c r="G32" i="1"/>
  <c r="H32" i="1"/>
  <c r="I32" i="1"/>
  <c r="J32" i="1"/>
  <c r="K32" i="1"/>
  <c r="L32" i="1"/>
  <c r="M32" i="1"/>
  <c r="N32" i="1"/>
  <c r="O32" i="1"/>
  <c r="P32" i="1"/>
  <c r="E32" i="1"/>
  <c r="F29" i="1"/>
  <c r="G29" i="1"/>
  <c r="H29" i="1"/>
  <c r="I29" i="1"/>
  <c r="J29" i="1"/>
  <c r="K29" i="1"/>
  <c r="L29" i="1"/>
  <c r="M29" i="1"/>
  <c r="N29" i="1"/>
  <c r="O29" i="1"/>
  <c r="P29" i="1"/>
  <c r="F30" i="1"/>
  <c r="G30" i="1"/>
  <c r="H30" i="1"/>
  <c r="I30" i="1"/>
  <c r="J30" i="1"/>
  <c r="K30" i="1"/>
  <c r="L30" i="1"/>
  <c r="M30" i="1"/>
  <c r="N30" i="1"/>
  <c r="O30" i="1"/>
  <c r="P30" i="1"/>
  <c r="F31" i="1"/>
  <c r="G31" i="1"/>
  <c r="H31" i="1"/>
  <c r="I31" i="1"/>
  <c r="J31" i="1"/>
  <c r="K31" i="1"/>
  <c r="L31" i="1"/>
  <c r="M31" i="1"/>
  <c r="N31" i="1"/>
  <c r="O31" i="1"/>
  <c r="P31" i="1"/>
  <c r="F33" i="1"/>
  <c r="G33" i="1"/>
  <c r="H33" i="1"/>
  <c r="I33" i="1"/>
  <c r="J33" i="1"/>
  <c r="K33" i="1"/>
  <c r="L33" i="1"/>
  <c r="M33" i="1"/>
  <c r="N33" i="1"/>
  <c r="O33" i="1"/>
  <c r="P33" i="1"/>
  <c r="F34" i="1"/>
  <c r="G34" i="1"/>
  <c r="H34" i="1"/>
  <c r="I34" i="1"/>
  <c r="J34" i="1"/>
  <c r="K34" i="1"/>
  <c r="L34" i="1"/>
  <c r="M34" i="1"/>
  <c r="N34" i="1"/>
  <c r="O34" i="1"/>
  <c r="P34" i="1"/>
  <c r="F35" i="1"/>
  <c r="G35" i="1"/>
  <c r="H35" i="1"/>
  <c r="I35" i="1"/>
  <c r="J35" i="1"/>
  <c r="K35" i="1"/>
  <c r="L35" i="1"/>
  <c r="M35" i="1"/>
  <c r="N35" i="1"/>
  <c r="O35" i="1"/>
  <c r="P35" i="1"/>
  <c r="E34" i="1"/>
  <c r="E35" i="1"/>
  <c r="E31" i="1"/>
  <c r="E43" i="1" s="1"/>
  <c r="F43" i="1" s="1" a="1"/>
  <c r="F43" i="1" s="1"/>
  <c r="G43" i="1" s="1" a="1"/>
  <c r="G43" i="1" s="1"/>
  <c r="H43" i="1" s="1" a="1"/>
  <c r="H43" i="1" s="1"/>
  <c r="E30" i="1"/>
  <c r="E42" i="1" s="1"/>
  <c r="E28" i="1"/>
  <c r="E29" i="1"/>
  <c r="D23" i="1" a="1"/>
  <c r="D23" i="1" s="1"/>
  <c r="I3" i="7" s="1"/>
  <c r="D19" i="1" a="1"/>
  <c r="D19" i="1" s="1"/>
  <c r="U49" i="1" s="1"/>
  <c r="F16" i="1" a="1"/>
  <c r="F16" i="1" s="1"/>
  <c r="D22" i="1" a="1"/>
  <c r="L40" i="1" l="1"/>
  <c r="K43" i="1" a="1"/>
  <c r="K43" i="1" s="1"/>
  <c r="I43" i="1" a="1"/>
  <c r="I43" i="1" s="1"/>
  <c r="J43" i="1" s="1" a="1"/>
  <c r="J43" i="1" s="1"/>
  <c r="G54" i="1"/>
  <c r="O54" i="1"/>
  <c r="N54" i="1"/>
  <c r="E36" i="1"/>
  <c r="E37" i="1" s="1"/>
  <c r="N26" i="1"/>
  <c r="M54" i="1"/>
  <c r="L54" i="1"/>
  <c r="G26" i="1"/>
  <c r="K54" i="1"/>
  <c r="J54" i="1"/>
  <c r="I54" i="1"/>
  <c r="O26" i="1"/>
  <c r="L26" i="1"/>
  <c r="I26" i="1"/>
  <c r="J26" i="1"/>
  <c r="K26" i="1"/>
  <c r="H26" i="1"/>
  <c r="K36" i="1"/>
  <c r="K37" i="1" s="1"/>
  <c r="F26" i="1"/>
  <c r="M26" i="1"/>
  <c r="S61" i="1"/>
  <c r="V55" i="1"/>
  <c r="S57" i="1"/>
  <c r="S62" i="1"/>
  <c r="U55" i="1"/>
  <c r="S56" i="1"/>
  <c r="T55" i="1"/>
  <c r="X55" i="1"/>
  <c r="S60" i="1"/>
  <c r="Y55" i="1"/>
  <c r="Z45" i="1"/>
  <c r="O44" i="1"/>
  <c r="M36" i="1"/>
  <c r="M37" i="1" s="1"/>
  <c r="U30" i="1"/>
  <c r="O36" i="1"/>
  <c r="O37" i="1" s="1"/>
  <c r="N36" i="1"/>
  <c r="N37" i="1" s="1"/>
  <c r="L36" i="1"/>
  <c r="L37" i="1" s="1"/>
  <c r="P36" i="1"/>
  <c r="P37" i="1" s="1"/>
  <c r="J36" i="1"/>
  <c r="J37" i="1" s="1"/>
  <c r="E41" i="1"/>
  <c r="F41" i="1" s="1" a="1"/>
  <c r="F41" i="1" s="1"/>
  <c r="G41" i="1" s="1" a="1"/>
  <c r="G41" i="1" s="1"/>
  <c r="H41" i="1" s="1" a="1"/>
  <c r="H41" i="1" s="1"/>
  <c r="I41" i="1" s="1" a="1"/>
  <c r="I41" i="1" s="1"/>
  <c r="J41" i="1" s="1" a="1"/>
  <c r="J41" i="1" s="1"/>
  <c r="I36" i="1"/>
  <c r="I37" i="1" s="1"/>
  <c r="H36" i="1"/>
  <c r="H37" i="1" s="1"/>
  <c r="G36" i="1"/>
  <c r="G37" i="1" s="1"/>
  <c r="F36" i="1"/>
  <c r="F37" i="1" s="1"/>
  <c r="I13" i="7"/>
  <c r="I14" i="7" s="1"/>
  <c r="I16" i="7" s="1"/>
  <c r="K11" i="7" s="1"/>
  <c r="D22" i="1"/>
  <c r="I4" i="7"/>
  <c r="L43" i="1" l="1" a="1"/>
  <c r="L43" i="1" s="1"/>
  <c r="M40" i="1"/>
  <c r="F46" i="1"/>
  <c r="F55" i="1" s="1"/>
  <c r="L44" i="1"/>
  <c r="K44" i="1"/>
  <c r="J44" i="1"/>
  <c r="H44" i="1"/>
  <c r="I44" i="1"/>
  <c r="M44" i="1"/>
  <c r="N44" i="1"/>
  <c r="G44" i="1"/>
  <c r="F44" i="1"/>
  <c r="P44" i="1"/>
  <c r="E45" i="1"/>
  <c r="E56" i="1" s="1"/>
  <c r="L18" i="7"/>
  <c r="K12" i="7"/>
  <c r="K13" i="7" s="1"/>
  <c r="K16" i="7" s="1"/>
  <c r="N40" i="1" l="1"/>
  <c r="M43" i="1" a="1"/>
  <c r="M43" i="1" s="1"/>
  <c r="G46" i="1"/>
  <c r="G55" i="1" s="1"/>
  <c r="F42" i="1"/>
  <c r="F48" i="1" s="1"/>
  <c r="H46" i="1"/>
  <c r="G42" i="1"/>
  <c r="L16" i="7"/>
  <c r="K14" i="7" s="1"/>
  <c r="K18" i="7" s="1"/>
  <c r="N16" i="7"/>
  <c r="N43" i="1" l="1" a="1"/>
  <c r="N43" i="1" s="1"/>
  <c r="O40" i="1"/>
  <c r="O43" i="1" s="1" a="1"/>
  <c r="O43" i="1" s="1"/>
  <c r="G48" i="1"/>
  <c r="F45" i="1"/>
  <c r="F47" i="1" s="1"/>
  <c r="H55" i="1"/>
  <c r="G45" i="1"/>
  <c r="G56" i="1" s="1"/>
  <c r="I46" i="1"/>
  <c r="H42" i="1"/>
  <c r="M17" i="7"/>
  <c r="K17" i="7"/>
  <c r="L17" i="7"/>
  <c r="H45" i="1" l="1"/>
  <c r="H56" i="1" s="1"/>
  <c r="F56" i="1"/>
  <c r="I55" i="1"/>
  <c r="G47" i="1"/>
  <c r="H48" i="1"/>
  <c r="I42" i="1"/>
  <c r="N18" i="7"/>
  <c r="N17" i="7"/>
  <c r="H47" i="1" l="1"/>
  <c r="D21" i="1"/>
  <c r="F51" i="1" s="1"/>
  <c r="I45" i="1"/>
  <c r="I47" i="1" s="1"/>
  <c r="I48" i="1"/>
  <c r="K41" i="1"/>
  <c r="J46" i="1"/>
  <c r="J55" i="1" s="1"/>
  <c r="J42" i="1"/>
  <c r="P56" i="1" l="1"/>
  <c r="G51" i="1"/>
  <c r="U34" i="1"/>
  <c r="I56" i="1"/>
  <c r="J48" i="1"/>
  <c r="K46" i="1"/>
  <c r="K55" i="1" s="1"/>
  <c r="L41" i="1"/>
  <c r="F52" i="1"/>
  <c r="K42" i="1"/>
  <c r="J45" i="1"/>
  <c r="J47" i="1" s="1"/>
  <c r="K48" i="1" l="1"/>
  <c r="L46" i="1"/>
  <c r="L55" i="1" s="1"/>
  <c r="M41" i="1"/>
  <c r="J56" i="1"/>
  <c r="H51" i="1"/>
  <c r="G52" i="1"/>
  <c r="K45" i="1"/>
  <c r="L42" i="1"/>
  <c r="L45" i="1" l="1"/>
  <c r="L47" i="1" s="1"/>
  <c r="M46" i="1"/>
  <c r="M55" i="1" s="1"/>
  <c r="N41" i="1"/>
  <c r="I51" i="1"/>
  <c r="H52" i="1"/>
  <c r="K47" i="1"/>
  <c r="K56" i="1"/>
  <c r="M42" i="1"/>
  <c r="L48" i="1"/>
  <c r="L56" i="1" l="1"/>
  <c r="N46" i="1"/>
  <c r="N55" i="1" s="1"/>
  <c r="O41" i="1"/>
  <c r="J51" i="1"/>
  <c r="I52" i="1"/>
  <c r="M45" i="1"/>
  <c r="M48" i="1"/>
  <c r="N42" i="1"/>
  <c r="O46" i="1" l="1"/>
  <c r="O55" i="1" s="1"/>
  <c r="P41" i="1"/>
  <c r="K51" i="1"/>
  <c r="J52" i="1"/>
  <c r="M47" i="1"/>
  <c r="M56" i="1"/>
  <c r="N45" i="1"/>
  <c r="N56" i="1" s="1"/>
  <c r="N48" i="1"/>
  <c r="O42" i="1"/>
  <c r="L51" i="1" l="1"/>
  <c r="K52" i="1"/>
  <c r="N47" i="1"/>
  <c r="O48" i="1"/>
  <c r="O45" i="1"/>
  <c r="P42" i="1"/>
  <c r="P48" i="1" l="1"/>
  <c r="P45" i="1"/>
  <c r="P46" i="1" s="1"/>
  <c r="P47" i="1" s="1"/>
  <c r="M51" i="1"/>
  <c r="L52" i="1"/>
  <c r="O47" i="1"/>
  <c r="O56" i="1"/>
  <c r="N51" i="1" l="1"/>
  <c r="M52" i="1"/>
  <c r="U33" i="1"/>
  <c r="U35" i="1" s="1"/>
  <c r="O51" i="1" l="1"/>
  <c r="O52" i="1" s="1"/>
  <c r="N52" i="1"/>
  <c r="U37" i="1" l="1"/>
  <c r="U36" i="1"/>
  <c r="U38" i="1" l="1"/>
  <c r="U41" i="1" s="1"/>
  <c r="U46" i="1" s="1"/>
  <c r="U48" i="1" s="1"/>
  <c r="U50" i="1" l="1"/>
  <c r="S55" i="1" s="1"/>
  <c r="U51"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8B630B-64AD-499F-A52B-6CEF299A8442}"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<sst xmlns="http://schemas.openxmlformats.org/spreadsheetml/2006/main" count="713" uniqueCount="492">
  <si>
    <t>CAGR in 1-5 Years</t>
  </si>
  <si>
    <t>Operating Target Margin in Year 10</t>
  </si>
  <si>
    <t>Year of Convergence</t>
  </si>
  <si>
    <t>Sales to Capital Ratio</t>
  </si>
  <si>
    <t>Obligatory Inputs</t>
  </si>
  <si>
    <t>Market Price per Share</t>
  </si>
  <si>
    <t>Average Maturity</t>
  </si>
  <si>
    <t>Probability of Failure</t>
  </si>
  <si>
    <t>Descriptive Information</t>
  </si>
  <si>
    <t>Name</t>
  </si>
  <si>
    <t>Ticker</t>
  </si>
  <si>
    <t>Stock price</t>
  </si>
  <si>
    <t>WACC</t>
  </si>
  <si>
    <t>Unlevered Beta</t>
  </si>
  <si>
    <t>Financials Overview</t>
  </si>
  <si>
    <t>Revenue</t>
  </si>
  <si>
    <t>Operating Income</t>
  </si>
  <si>
    <t>Operating Margin</t>
  </si>
  <si>
    <t>Effective Tax Rate</t>
  </si>
  <si>
    <t>Book Value of Equity</t>
  </si>
  <si>
    <t>Book Value of Debt</t>
  </si>
  <si>
    <t>Cash &amp; Short Term Investments</t>
  </si>
  <si>
    <t>Invested Capital</t>
  </si>
  <si>
    <t>DCF Valuation</t>
  </si>
  <si>
    <t>Tax Rate</t>
  </si>
  <si>
    <t>NOPAT</t>
  </si>
  <si>
    <t>FCFF</t>
  </si>
  <si>
    <t>NOL</t>
  </si>
  <si>
    <t>Cost of Capital</t>
  </si>
  <si>
    <t>Cumulated Discount Factor</t>
  </si>
  <si>
    <t>PV (FCFF)</t>
  </si>
  <si>
    <t>ROIC</t>
  </si>
  <si>
    <t>DCF Results</t>
  </si>
  <si>
    <t>Terminal Cost of Capital</t>
  </si>
  <si>
    <t>Terminal Value</t>
  </si>
  <si>
    <t>PV (Terminal Value)</t>
  </si>
  <si>
    <t>PV (CF Over Next 10 Years)</t>
  </si>
  <si>
    <t>Sum of PV</t>
  </si>
  <si>
    <t>Proceeds if the Firm Fails</t>
  </si>
  <si>
    <t>Operating Assets</t>
  </si>
  <si>
    <t>(Debt)</t>
  </si>
  <si>
    <t>(Minority Interests)</t>
  </si>
  <si>
    <t>Cash</t>
  </si>
  <si>
    <t>Non-Operating Assets</t>
  </si>
  <si>
    <t>Equity</t>
  </si>
  <si>
    <t>(Options)</t>
  </si>
  <si>
    <t>Common Stock Equity</t>
  </si>
  <si>
    <t>Current Price</t>
  </si>
  <si>
    <t>Margin of Safety</t>
  </si>
  <si>
    <t>Base Year</t>
  </si>
  <si>
    <t>Terminal Year</t>
  </si>
  <si>
    <t>Estimated Value Per Share</t>
  </si>
  <si>
    <t>Income Statement</t>
  </si>
  <si>
    <t>Date</t>
  </si>
  <si>
    <t>TTM</t>
  </si>
  <si>
    <t>Cost of revenue</t>
  </si>
  <si>
    <t>Gross profit</t>
  </si>
  <si>
    <t>Gross margin</t>
  </si>
  <si>
    <t>Selling general administrative</t>
  </si>
  <si>
    <t>Selling and marketing expenses</t>
  </si>
  <si>
    <t>Research development</t>
  </si>
  <si>
    <t>Effect of accounting charges</t>
  </si>
  <si>
    <t>Operating expenses</t>
  </si>
  <si>
    <t>Operating income</t>
  </si>
  <si>
    <t>Operating margin</t>
  </si>
  <si>
    <t>Interest income</t>
  </si>
  <si>
    <t>Interest expense</t>
  </si>
  <si>
    <t>Net interest income</t>
  </si>
  <si>
    <t>Other income expense</t>
  </si>
  <si>
    <t>Income before tax</t>
  </si>
  <si>
    <t>Income tax expense</t>
  </si>
  <si>
    <t>Effective tax rate</t>
  </si>
  <si>
    <t>Discontinued operations</t>
  </si>
  <si>
    <t>Minority interest</t>
  </si>
  <si>
    <t>Net income from continuing ops</t>
  </si>
  <si>
    <t>Net income</t>
  </si>
  <si>
    <t>Preferred stock and other adjustments</t>
  </si>
  <si>
    <t>Net income applicable to common shares</t>
  </si>
  <si>
    <t>Net margin</t>
  </si>
  <si>
    <t>Ebit</t>
  </si>
  <si>
    <t>Non recurring</t>
  </si>
  <si>
    <t>Reconciled depreciation</t>
  </si>
  <si>
    <t>Other items</t>
  </si>
  <si>
    <t>Ebitda</t>
  </si>
  <si>
    <t>Currency code</t>
  </si>
  <si>
    <t>USD</t>
  </si>
  <si>
    <t>Filing date</t>
  </si>
  <si>
    <t>Balance Sheet</t>
  </si>
  <si>
    <t>Short term investments</t>
  </si>
  <si>
    <t>Cash and short term investments</t>
  </si>
  <si>
    <t>Net receivables</t>
  </si>
  <si>
    <t>Inventory</t>
  </si>
  <si>
    <t>Other current assets</t>
  </si>
  <si>
    <t>Total current assets</t>
  </si>
  <si>
    <t>Long term investments</t>
  </si>
  <si>
    <t>Property plant equipment</t>
  </si>
  <si>
    <t>Intangible assets</t>
  </si>
  <si>
    <t>Good will</t>
  </si>
  <si>
    <t>Other assets</t>
  </si>
  <si>
    <t>Non current assets total</t>
  </si>
  <si>
    <t>Total assets</t>
  </si>
  <si>
    <t>Accounts payable</t>
  </si>
  <si>
    <t>Short long term debt</t>
  </si>
  <si>
    <t>Other current liab</t>
  </si>
  <si>
    <t>Total current liabilities</t>
  </si>
  <si>
    <t>Long term debt</t>
  </si>
  <si>
    <t>Capital lease obligations</t>
  </si>
  <si>
    <t>Long term debt and capital leases</t>
  </si>
  <si>
    <t>Total debt</t>
  </si>
  <si>
    <t>Deferred long term liab</t>
  </si>
  <si>
    <t>Non current liabilities other</t>
  </si>
  <si>
    <t>Non current liabilities total</t>
  </si>
  <si>
    <t>Total liab</t>
  </si>
  <si>
    <t>Common stock</t>
  </si>
  <si>
    <t>Preferred stock total equity</t>
  </si>
  <si>
    <t>Retained earnings</t>
  </si>
  <si>
    <t>Accumulated other comprehensive income</t>
  </si>
  <si>
    <t>Additional paid in capital</t>
  </si>
  <si>
    <t>Treasury stock</t>
  </si>
  <si>
    <t>Capital surpluse</t>
  </si>
  <si>
    <t>Other stockholder equity</t>
  </si>
  <si>
    <t>Total stockholder equity</t>
  </si>
  <si>
    <t>Noncontrolling interest in consolidated entity</t>
  </si>
  <si>
    <t>Total equity</t>
  </si>
  <si>
    <t>Cash Flow Statement</t>
  </si>
  <si>
    <t>Depreciation</t>
  </si>
  <si>
    <t>Change to account receivables</t>
  </si>
  <si>
    <t>Change receivables</t>
  </si>
  <si>
    <t>Change to inventory</t>
  </si>
  <si>
    <t>Change to liabilities</t>
  </si>
  <si>
    <t>Change in working capital</t>
  </si>
  <si>
    <t>Total cash from operating activities</t>
  </si>
  <si>
    <t>Investments</t>
  </si>
  <si>
    <t>Other cashflows from investing activities</t>
  </si>
  <si>
    <t>Total cashflows from investing activities</t>
  </si>
  <si>
    <t>Sale purchase of stock</t>
  </si>
  <si>
    <t>Net borrowings</t>
  </si>
  <si>
    <t>Dividends paid</t>
  </si>
  <si>
    <t>Other cashflows from financing activities</t>
  </si>
  <si>
    <t>Total cash from financing activities</t>
  </si>
  <si>
    <t>Begin period cash flow</t>
  </si>
  <si>
    <t>End period cash flow</t>
  </si>
  <si>
    <t>Change in cash</t>
  </si>
  <si>
    <t>Capital expenditures</t>
  </si>
  <si>
    <t>Free cash flow</t>
  </si>
  <si>
    <t>Company</t>
  </si>
  <si>
    <t>1Y Performance</t>
  </si>
  <si>
    <t>Shares Outstanding</t>
  </si>
  <si>
    <t>Synthetic Credit Rating</t>
  </si>
  <si>
    <t>Company Size</t>
  </si>
  <si>
    <t>Interest Coverage From</t>
  </si>
  <si>
    <t>Interest Coverage To</t>
  </si>
  <si>
    <t>Rating</t>
  </si>
  <si>
    <t>Spread</t>
  </si>
  <si>
    <t>D2/D</t>
  </si>
  <si>
    <t>C2/C</t>
  </si>
  <si>
    <t>Ca2/CC</t>
  </si>
  <si>
    <t>Caa/CCC</t>
  </si>
  <si>
    <t>B3/B-</t>
  </si>
  <si>
    <t>B2/B</t>
  </si>
  <si>
    <t>B1/B+</t>
  </si>
  <si>
    <t>Ba2/BB</t>
  </si>
  <si>
    <t>Ba1/BB+</t>
  </si>
  <si>
    <t>Baa2/BBB</t>
  </si>
  <si>
    <t>A3/A-</t>
  </si>
  <si>
    <t>A2/A</t>
  </si>
  <si>
    <t>A1/A+</t>
  </si>
  <si>
    <t>Aa2/AA</t>
  </si>
  <si>
    <t>Aaa/AAA</t>
  </si>
  <si>
    <t>Interest Coverage</t>
  </si>
  <si>
    <t>Market Cap (Mrd)</t>
  </si>
  <si>
    <t>Estimated Bond Rating</t>
  </si>
  <si>
    <t>(Reinvestment)</t>
  </si>
  <si>
    <t>Estimated Cost of Capital</t>
  </si>
  <si>
    <t>Number of Shares Outstanding</t>
  </si>
  <si>
    <t>Country ISO</t>
  </si>
  <si>
    <t>US</t>
  </si>
  <si>
    <t>10 yr gov. bond yield</t>
  </si>
  <si>
    <t>Country Adjusted Default Spread</t>
  </si>
  <si>
    <t>Riskfree Rate</t>
  </si>
  <si>
    <t>Equity Risk Premium</t>
  </si>
  <si>
    <t>Normal Debt</t>
  </si>
  <si>
    <t>Book Value</t>
  </si>
  <si>
    <t>Output</t>
  </si>
  <si>
    <t>Interest Expense</t>
  </si>
  <si>
    <t>Estimated Market Value of Normal Debt</t>
  </si>
  <si>
    <t>Estimated Value of Normal Debt in Convertible</t>
  </si>
  <si>
    <t>Interest Spread</t>
  </si>
  <si>
    <t>Estimated Value of Equity in Convertible</t>
  </si>
  <si>
    <t>Estimated Cost of Debt</t>
  </si>
  <si>
    <t>Levered Beta for Equity</t>
  </si>
  <si>
    <t>Method of Calculating Pre-tax Cost of Debt</t>
  </si>
  <si>
    <t>Debt</t>
  </si>
  <si>
    <t>Preferred Stock</t>
  </si>
  <si>
    <t>Capital</t>
  </si>
  <si>
    <t>Market Value</t>
  </si>
  <si>
    <t>Marginal Tax Rate</t>
  </si>
  <si>
    <t>Weight in Cost of Capital</t>
  </si>
  <si>
    <t>Cost of Component</t>
  </si>
  <si>
    <t>Terminal Cash Flow</t>
  </si>
  <si>
    <t>Industry</t>
  </si>
  <si>
    <t>Gic sub industry</t>
  </si>
  <si>
    <t>Number of firms</t>
  </si>
  <si>
    <t>Annual average cagr last five years</t>
  </si>
  <si>
    <t>Pre tax operating margin unadjusted</t>
  </si>
  <si>
    <t>After tax roic</t>
  </si>
  <si>
    <t>Average effective tax rate</t>
  </si>
  <si>
    <t>Unlevered beta</t>
  </si>
  <si>
    <t>Equity levered beta</t>
  </si>
  <si>
    <t>Cost of equity</t>
  </si>
  <si>
    <t>Standard deviation in stock prices</t>
  </si>
  <si>
    <t>Pre tax cost of debt</t>
  </si>
  <si>
    <t>Market debt capital</t>
  </si>
  <si>
    <t>Cost of capital</t>
  </si>
  <si>
    <t>Sales capital</t>
  </si>
  <si>
    <t>Ev sales</t>
  </si>
  <si>
    <t>Ev ebitda</t>
  </si>
  <si>
    <t>Ev ebit</t>
  </si>
  <si>
    <t>Price book</t>
  </si>
  <si>
    <t>Trailing pe</t>
  </si>
  <si>
    <t>Non cash wc as percentage of revenues</t>
  </si>
  <si>
    <t>Capex as a percentage of revenues</t>
  </si>
  <si>
    <t>Net capex as a percentage of revenues</t>
  </si>
  <si>
    <t>Reinvestment rate</t>
  </si>
  <si>
    <t>Roe</t>
  </si>
  <si>
    <t>Dividend payout ratio</t>
  </si>
  <si>
    <t>Equity reinvestment rate</t>
  </si>
  <si>
    <t>Pre tax operating margin lease and r d adjusted</t>
  </si>
  <si>
    <t>Accident &amp; Health Insurance,Insurance - Life,Insurance-Life,Life Insurance</t>
  </si>
  <si>
    <t>Life &amp; Health Insurance</t>
  </si>
  <si>
    <t>Advertising Agencies,Marketing Services</t>
  </si>
  <si>
    <t>Advertising</t>
  </si>
  <si>
    <t>Aerospace &amp; Defense,Aerospace/Defense - Major Diversified,Aerospace/Defense Products &amp; Services</t>
  </si>
  <si>
    <t>Aerospace &amp; Defense</t>
  </si>
  <si>
    <t>Agricultural Chemicals,Scientific &amp; Technical Instruments,Specialty Chemicals,Synthetics,Textile Industrial,Textile Manufacturing</t>
  </si>
  <si>
    <t>Specialty Chemicals</t>
  </si>
  <si>
    <t>Agricultural Inputs,Farm Products</t>
  </si>
  <si>
    <t>Agricultural Products</t>
  </si>
  <si>
    <t>Air Delivery &amp; Freight Services,Integrated Freight &amp; Logistics,Integrated Shipping &amp; Logistics,Shipping,Shipping &amp; Ports,Transportation</t>
  </si>
  <si>
    <t>Airport Services</t>
  </si>
  <si>
    <t>Air Services, Other,Airlines,Airports &amp; Air Services,Major Airlines,Regional Airlines,Travel Services</t>
  </si>
  <si>
    <t>Air Freight &amp; Logistics,Airlines</t>
  </si>
  <si>
    <t>NA</t>
  </si>
  <si>
    <t>Aluminum,Chemicals</t>
  </si>
  <si>
    <t>Commodity Chemicals,Fertilizers &amp; Agricultural Chemicals,Industrial Gases</t>
  </si>
  <si>
    <t>Apparel Manufacturing,Apparel Retail,Apparel Stores,Consumer Durables &amp; Apparel,Footwear &amp; Accessories,Textile - Apparel Clothing</t>
  </si>
  <si>
    <t>Leisure Products,Apparel, Accessories &amp; Luxury Goods,Textiles</t>
  </si>
  <si>
    <t>Appliances,Cleaning Products,Household &amp; Personal Products,Personal Products</t>
  </si>
  <si>
    <t>Household Appliances,Housewares &amp; Specialties,Household Products,Personal Products</t>
  </si>
  <si>
    <t>Application Software,Data Storage,Multimedia &amp; Graphics Software,Security Software &amp; Services,Software &amp; Services,Software - Application,Software - Infrastructure,Software-Application,Software-Infrastructure,Technical &amp; System Software</t>
  </si>
  <si>
    <t>Data Processing &amp; Outsourced Services,Application Software,Systems Software</t>
  </si>
  <si>
    <t>Asset Management,Diversified Investments,Mortgage Investment</t>
  </si>
  <si>
    <t>Asset Management &amp; Custody Banks</t>
  </si>
  <si>
    <t>Automobiles &amp; Components,Auto &amp; Truck Dealerships,Auto Dealerships</t>
  </si>
  <si>
    <t>Automotive Retail</t>
  </si>
  <si>
    <t>Auto Manufacturers,Auto Manufacturers - Major,Recreational Vehicles</t>
  </si>
  <si>
    <t>Automobile Manufacturers,Motorcycle Manufacturers</t>
  </si>
  <si>
    <t>Auto Parts,Auto Parts Stores,Auto Parts Wholesale</t>
  </si>
  <si>
    <t>Auto Parts &amp; Equipment</t>
  </si>
  <si>
    <t>Banks,Banks - Global,Banks - Diversified,Foreign Money Center Banks,Money Center Banks,Savings &amp; Cooperative Banks,Savings &amp; Loans</t>
  </si>
  <si>
    <t>Diversified Banks</t>
  </si>
  <si>
    <t>Banks - Regional - Africa,Banks - Regional - Asia,Banks - Regional - Australia,Banks - Regional - Canada,Banks - Regional - Europe,Banks - Regional - Latin America,Banks - Regional - US,Banks - Regional,Banks-Regional,Foreign Regional Banks,Regional - Mid-Atlantic Banks,Regional - Midwest Banks,Regional - Northeast Banks,Regional - Pacific Banks,Regional - Southeast Banks,Regional - Southwest  Banks</t>
  </si>
  <si>
    <t>Regional Banks</t>
  </si>
  <si>
    <t>Banks-Diversified,Conglomerates,Diversified Industrials,Media - Diversified,Other,Shell Companies</t>
  </si>
  <si>
    <t>Other Diversified Financial Services,Multi-Sector Holdings</t>
  </si>
  <si>
    <t>Basic Materials Wholesale,Industrial Metals &amp; Minerals,Infrastructure Operations,Nonmetallic Mineral Mining,Other Industrial Metals &amp; Mining</t>
  </si>
  <si>
    <t>Diversified Metals &amp; Mining</t>
  </si>
  <si>
    <t>Beverages - Brewers,Beverages - Wineries &amp; Distilleries,Beverages - Wineries &amp; Distillers,Beverages-Brewers,Beverages-Wineries &amp; Distilleries</t>
  </si>
  <si>
    <t>Brewers,Distillers &amp; Vintners</t>
  </si>
  <si>
    <t>Beverages - Soft Drinks,Beverages-Non-Alcoholic,Beverages - Non-Alcoholic</t>
  </si>
  <si>
    <t>Soft Drinks</t>
  </si>
  <si>
    <t>Biotechnology,Diagnostics &amp; Research</t>
  </si>
  <si>
    <t>Health Care Technology</t>
  </si>
  <si>
    <t>Broadcasting,Broadcasting - Radio,Broadcasting - TV</t>
  </si>
  <si>
    <t>Broadcasting</t>
  </si>
  <si>
    <t>Building Materials,Building Materials Wholesale,Building Products &amp; Equipment,General Building Materials,Materials</t>
  </si>
  <si>
    <t>Building Products</t>
  </si>
  <si>
    <t>Business Equipment,Business Equipment &amp; Supplies,Business Services,Business Software &amp; Services,Commercial &amp; Professional Services,Consulting Services,Consumer Services,General Contractors,Management Services,Personal Services,Rental &amp; Leasing Services,Research Services,Security &amp; Protection Services,Specialty Business Services,Staffing &amp; Employment Services,Staffing &amp; Outsourcing Services,Technical Services</t>
  </si>
  <si>
    <t>Commercial Printing,Diversified Support Services,Security &amp; Alarm Services,Human Resource &amp; Employment Services,Research &amp; Consulting Services,Specialized Consumer Services</t>
  </si>
  <si>
    <t>Capital Goods,Capital Markets,Closed-End Fund - Debt,Closed-End Fund - Equity,Closed-End Fund - Foreign,Credit Services,Diversified Financials,Financial Conglomerates,Financial Data &amp; Stock Exchanges,Mortgage Finance,Specialty Finance</t>
  </si>
  <si>
    <t>Thrifts &amp; Mortgage Finance,Specialized Finance,Consumer Finance,Diversified Capital Markets,Financial Exchanges &amp; Data</t>
  </si>
  <si>
    <t>Catalog &amp; Mail Order Houses,Manufactured Housing,Residential Construction</t>
  </si>
  <si>
    <t>Homebuilding</t>
  </si>
  <si>
    <t>CATV Systems,Pay TV</t>
  </si>
  <si>
    <t>Cable &amp; Satellite</t>
  </si>
  <si>
    <t>Cement</t>
  </si>
  <si>
    <t>Construction Materials</t>
  </si>
  <si>
    <t>Chemicals - Major Diversified</t>
  </si>
  <si>
    <t>Diversified Chemicals</t>
  </si>
  <si>
    <t>Cigarettes,Confectioners,Drug Stores,Drugs Wholesale,Electronics Stores,Home Furnishing Stores,Home Improvement Retail,Home Improvement Stores,Jewelry Stores,Luxury Goods,Music &amp; Video Stores,Pharmaceutical Retailers,Specialty Retail,Specialty Retail, Other,Sporting Goods Stores,Toy &amp; Hobby Stores,Toys &amp; Games</t>
  </si>
  <si>
    <t>Apparel Retail,Computer &amp; Electronics Retail,Specialty Stores,Homefurnishing Retail</t>
  </si>
  <si>
    <t>Coal,Coking Coal,Energy,Thermal Coal</t>
  </si>
  <si>
    <t>Coal &amp; Consumable Fuels</t>
  </si>
  <si>
    <t>Communication Equipment,Long Distance Carriers,Networking &amp; Communication Devices</t>
  </si>
  <si>
    <t>Communications Equipment</t>
  </si>
  <si>
    <t>Computer Based Systems,Computer Hardware,Computer Systems,Personal Computers,Printed Circuit Boards</t>
  </si>
  <si>
    <t>Technology Hardware, Storage &amp; Peripherals</t>
  </si>
  <si>
    <t>Computer Distribution,Computers Wholesale,Electronics Wholesale,Medical Distribution</t>
  </si>
  <si>
    <t>Trading Companies &amp; Distributors,Distributors</t>
  </si>
  <si>
    <t>Consumer Electronics</t>
  </si>
  <si>
    <t>Contract Manufacturers,Diversified Computer Systems</t>
  </si>
  <si>
    <t>IT Consulting &amp; Other Services</t>
  </si>
  <si>
    <t>Copper,Gold,Other Precious Metals &amp; Mining,Silver</t>
  </si>
  <si>
    <t>Aluminum,Copper,Gold,Precious Metals &amp; Minerals,Silver</t>
  </si>
  <si>
    <t>Dairy Products,Food - Major Diversified,Food Distribution,Food Beverage &amp; Tobacco,Processed &amp; Packaged Goods,Processing Systems &amp; Products</t>
  </si>
  <si>
    <t>Packaged Foods &amp; Meats</t>
  </si>
  <si>
    <t>Data Storage Devices,Electrical Equipment &amp; Parts,Electronic Equipment,Industrial Electrical Equipment,Technology Hardware &amp; Equipment</t>
  </si>
  <si>
    <t>Electrical Components &amp; Equipment,Heavy Electrical Equipment,Technology Distributors</t>
  </si>
  <si>
    <t>Department Stores,Discount Stores,Discount, Variety Stores,Retailing</t>
  </si>
  <si>
    <t>Department Stores,General Merchandise Stores</t>
  </si>
  <si>
    <t>Diagnostic Substances,Drugs - Generic,Health Care Plans,Healthcare Plans,Medical Appliances &amp; Equipment,Medical Devices,Medical Equipment Wholesale,Medical Instruments &amp; Supplies</t>
  </si>
  <si>
    <t>Health Care Equipment,Health Care Supplies</t>
  </si>
  <si>
    <t>Diversified Communication Services,Internet Information Providers,Internet Service Providers,Telecom Services,Telecom Services - Domestic,Telecom Services - Foreign,Telecommunication Services</t>
  </si>
  <si>
    <t>Alternative Carriers,Integrated Telecommunication Services</t>
  </si>
  <si>
    <t>Diversified Electronics,Electronic Components,Electronics &amp; Computer Distribution,Electronics Distribution,Photographic Equipment &amp; Supplies</t>
  </si>
  <si>
    <t>Electronic Equipment &amp; Instruments,Electronic Components,Electronic Manufacturing Services</t>
  </si>
  <si>
    <t>Diversified Machinery,Farm &amp; Heavy Construction Machinery,Farm &amp; Construction Equipment,Farm &amp; Construction Machinery,Machine Tools &amp; Accessories,Metal Fabrication,Specialty Industrial Machinery</t>
  </si>
  <si>
    <t>Industrial Conglomerates,Construction Machinery &amp; Heavy Trucks,Agricultural &amp; Farm Machinery,Industrial Machinery</t>
  </si>
  <si>
    <t>Diversified Utilities,Electric Utilities,Foreign Utilities,Gas Utilities,Utilities,Utilities - Diversified,Utilities - Independent Power Producers,Utilities - Regulated Electric,Utilities - Regulated Gas,Utilities-Diversified,Utilities-Independent Power Producers,Utilities-Regulated Electric,Utilities-Regulated Gas</t>
  </si>
  <si>
    <t>Electric Utilities,Gas Utilities,Multi-Utilities</t>
  </si>
  <si>
    <t>Drug Delivery,Drug Manufacturers - Other,Drug Manufacturers - General,Drug Manufacturers-General,Drug Related Products,Pharmaceuticals, Biotechnology &amp; Life Sciences</t>
  </si>
  <si>
    <t>Pharmaceuticals,Life Sciences Tools &amp; Services</t>
  </si>
  <si>
    <t>Drug Manufacturers - Major,Drug Manufacturers - Specialty &amp; Generic,Drug Manufacturers-Specialty &amp; Generic</t>
  </si>
  <si>
    <t>Drug Retail,Biotechnology</t>
  </si>
  <si>
    <t>Education &amp; Training Services</t>
  </si>
  <si>
    <t>Education Services</t>
  </si>
  <si>
    <t>Electronic Gaming &amp; Multimedia</t>
  </si>
  <si>
    <t>Interactive Home Entertainment</t>
  </si>
  <si>
    <t>Engineering &amp; Construction,Heavy Construction</t>
  </si>
  <si>
    <t>Construction &amp; Engineering</t>
  </si>
  <si>
    <t>Entertainment,Entertainment - Diversified,Gaming Activities,General Entertainment,Movie Production, Theaters</t>
  </si>
  <si>
    <t>Movies &amp; Entertainment</t>
  </si>
  <si>
    <t>Food &amp; Staples Retailing,Grocery Stores,Meat Products,Packaged Foods,Specialty Eateries</t>
  </si>
  <si>
    <t>Hypermarkets &amp; Super Centers</t>
  </si>
  <si>
    <t>Food Wholesale,Wholesale, Other</t>
  </si>
  <si>
    <t>Food Distributors</t>
  </si>
  <si>
    <t>Furnishings, Fixtures &amp; Appliances,Home Furnishings &amp; Fixtures,Housewares &amp; Accessories</t>
  </si>
  <si>
    <t>Home Furnishings</t>
  </si>
  <si>
    <t>Gambling,Lodging,Resorts &amp; Casinos</t>
  </si>
  <si>
    <t>Casinos &amp; Gaming,Hotels, Resorts &amp; Cruise Lines</t>
  </si>
  <si>
    <t>Health Information Services,Healthcare Information Services,Information &amp; Delivery Services,Information Technology Services</t>
  </si>
  <si>
    <t>Internet Services &amp; Infrastructure</t>
  </si>
  <si>
    <t>Home Health Care,Long-Term Care Facilities,Medical Care,Medical Care Facilities,Specialized Health Services</t>
  </si>
  <si>
    <t>Health Care Services</t>
  </si>
  <si>
    <t>Hospitals,Medical Laboratories &amp; Research,Medical Practitioners</t>
  </si>
  <si>
    <t>Health Care Distributors,Health Care Facilities,Managed Health Care</t>
  </si>
  <si>
    <t>Independent Oil &amp; Gas,Oil &amp; Gas Drilling,Oil &amp; Gas Drilling &amp; Exploration,Oil &amp; Gas E&amp;P,Oil &amp; Gas Pipelines,Oil &amp; Gas Refining &amp; Marketing</t>
  </si>
  <si>
    <t>Oil &amp; Gas Drilling,Oil &amp; Gas Exploration &amp; Production,Oil &amp; Gas Refining &amp; Marketing</t>
  </si>
  <si>
    <t>Industrial Distribution,Oil &amp; Gas Midstream</t>
  </si>
  <si>
    <t>Oil &amp; Gas Storage &amp; Transportation</t>
  </si>
  <si>
    <t>Industrial Equipment &amp; Components,Industrial Equipment Wholesale,Oil &amp; Gas Equipment &amp; Services</t>
  </si>
  <si>
    <t>Oil &amp; Gas Equipment &amp; Services</t>
  </si>
  <si>
    <t>Insurance,Insurance - Diversified,Insurance - Specialty,Insurance Brokers,Insurance-Diversified,Insurance-Specialty,Surety &amp; Title Insurance</t>
  </si>
  <si>
    <t>Insurance Brokers,Multi-line Insurance</t>
  </si>
  <si>
    <t>Insurance - Property &amp; Casualty,Insurance-Property &amp; Casualty,Property &amp; Casualty Insurance</t>
  </si>
  <si>
    <t>Property &amp; Casualty Insurance</t>
  </si>
  <si>
    <t>Insurance (General),Insurance - Reinsurance,Insurance-Reinsurance</t>
  </si>
  <si>
    <t>Reinsurance</t>
  </si>
  <si>
    <t>Internet Content &amp; Information,Internet Software &amp; Services</t>
  </si>
  <si>
    <t>Interactive Media &amp; Services</t>
  </si>
  <si>
    <t>Internet Retail</t>
  </si>
  <si>
    <t>Internet &amp; Direct Marketing Retail</t>
  </si>
  <si>
    <t>Investment Brokerage - National,Investment Brokerage - Regional</t>
  </si>
  <si>
    <t>Investment Banking &amp; Brokerage</t>
  </si>
  <si>
    <t>Leisure,Recreational Goods, Other,Sporting Activities,Sporting Goods</t>
  </si>
  <si>
    <t>Leisure Facilities</t>
  </si>
  <si>
    <t>Lumber, Wood Production,Lumber &amp; Wood Production,Paper &amp; Paper Products</t>
  </si>
  <si>
    <t>Forest Products,Paper Products</t>
  </si>
  <si>
    <t>Major Integrated Oil &amp; Gas,Oil &amp; Gas Integrated</t>
  </si>
  <si>
    <t>Integrated Oil &amp; Gas</t>
  </si>
  <si>
    <t>Marine Shipping</t>
  </si>
  <si>
    <t>Marine,Marine Ports &amp; Services</t>
  </si>
  <si>
    <t>Media,Wireless Communications</t>
  </si>
  <si>
    <t>Wireless Telecommunication Services</t>
  </si>
  <si>
    <t>Office Supplies</t>
  </si>
  <si>
    <t>Office Services &amp; Supplies</t>
  </si>
  <si>
    <t>Packaging &amp; Containers</t>
  </si>
  <si>
    <t>Metal &amp; Glass Containers,Paper Packaging</t>
  </si>
  <si>
    <t>Pollution &amp; Treatment Controls,Waste Management</t>
  </si>
  <si>
    <t>Environmental &amp; Facilities Services</t>
  </si>
  <si>
    <t>Property Management,Real Estate Services</t>
  </si>
  <si>
    <t>Real Estate Operating Companies,Real Estate Services</t>
  </si>
  <si>
    <t>Publishing,Publishing - Books,Publishing - Newspapers,Publishing - Periodicals</t>
  </si>
  <si>
    <t>Publishing</t>
  </si>
  <si>
    <t>Railroads</t>
  </si>
  <si>
    <t>Railroads,Highways &amp; Railtracks</t>
  </si>
  <si>
    <t>Real Estate,Real Estate - General,Real Estate-Diversified,Real Estate - Diversified</t>
  </si>
  <si>
    <t>Diversified Real Estate Activities</t>
  </si>
  <si>
    <t>Real Estate Development,Real Estate-Development,Real Estate - Development</t>
  </si>
  <si>
    <t>Real Estate Development</t>
  </si>
  <si>
    <t>REIT - Diversified,REIT - Healthcare Facilities,REIT - Hotel &amp; Motel,REIT - Hotel/Motel,REIT - Industrial,REIT - Office,REIT - Residential,REIT - Retail,REIT-Diversified,REIT-Healthcare Facilities,REIT-Hotel &amp; Motel,REIT-Industrial,REIT-Mortgage,REIT-Office,REIT-Residential,REIT-Retail,REIT-Specialty,REIT - Specialty,REIT - Mortgage</t>
  </si>
  <si>
    <t>Mortgage REITs,Diversified REITs,Industrial REITs,Hotel &amp; Resort REITs,Office REITs,Health Care REITs,Residential REITs,Retail REITs</t>
  </si>
  <si>
    <t>Restaurants</t>
  </si>
  <si>
    <t>Rubber &amp; Plastics</t>
  </si>
  <si>
    <t>Tires &amp; Rubber</t>
  </si>
  <si>
    <t>Semiconductor - Broad Line,Semiconductor - Integrated Circuits,Semiconductor - Specialized,Semiconductor Memory,Semiconductor- Memory Chips,Semiconductors</t>
  </si>
  <si>
    <t>Semiconductors</t>
  </si>
  <si>
    <t>Semiconductor Equipment &amp; Materials</t>
  </si>
  <si>
    <t>Semiconductor Equipment</t>
  </si>
  <si>
    <t>Small Tools &amp; Accessories,Tools &amp; Accessories</t>
  </si>
  <si>
    <t>Home Improvement Retail</t>
  </si>
  <si>
    <t>Solar,Utilities - Renewable,Utilities-Renewable</t>
  </si>
  <si>
    <t>Renewable Electricity</t>
  </si>
  <si>
    <t>Steel,Steel &amp; Iron</t>
  </si>
  <si>
    <t>Steel</t>
  </si>
  <si>
    <t>Textile - Apparel Footwear &amp; Accessories</t>
  </si>
  <si>
    <t>Footwear</t>
  </si>
  <si>
    <t>Tobacco,Tobacco Products, Other</t>
  </si>
  <si>
    <t>Tobacco</t>
  </si>
  <si>
    <t>Truck Manufacturing,Trucking,Trucks &amp; Other Vehicles</t>
  </si>
  <si>
    <t>Trucking</t>
  </si>
  <si>
    <t>Uranium</t>
  </si>
  <si>
    <t>Independent Power Producers &amp; Energy Traders</t>
  </si>
  <si>
    <t>Utilities - Regulated Water,Utilities-Regulated Water,Water Utilities</t>
  </si>
  <si>
    <t>Water Utilities</t>
  </si>
  <si>
    <t>Total Market</t>
  </si>
  <si>
    <t>Total Market (without financials)</t>
  </si>
  <si>
    <t>Ratios</t>
  </si>
  <si>
    <t>Average EBIT/IE S&amp;P 500</t>
  </si>
  <si>
    <t>Liquidity Ratios</t>
  </si>
  <si>
    <t>Current Ratio</t>
  </si>
  <si>
    <t>Quick Ratio</t>
  </si>
  <si>
    <t>Coverage Ratios</t>
  </si>
  <si>
    <t>Times-interest-earned Ratio</t>
  </si>
  <si>
    <t>Solvency Ratios</t>
  </si>
  <si>
    <t>Total-debt Ratio</t>
  </si>
  <si>
    <t>Debt-to-equity</t>
  </si>
  <si>
    <t>Profitability Ratios</t>
  </si>
  <si>
    <t>Net Profit Margin</t>
  </si>
  <si>
    <t>Return on total assets</t>
  </si>
  <si>
    <t>Basic earning power</t>
  </si>
  <si>
    <t>Return on equity</t>
  </si>
  <si>
    <t>Efficiency Ratios</t>
  </si>
  <si>
    <t>Inventory-turnover ratio</t>
  </si>
  <si>
    <t>Total-assets-turnover ratio</t>
  </si>
  <si>
    <t>Market Ratios</t>
  </si>
  <si>
    <t>Price-Earnings Ratio</t>
  </si>
  <si>
    <t>CAGR</t>
  </si>
  <si>
    <t>Sensitivity Analysis</t>
  </si>
  <si>
    <t>2021-09-30</t>
  </si>
  <si>
    <t>2020-09-30</t>
  </si>
  <si>
    <t>2019-09-30</t>
  </si>
  <si>
    <t>2018-09-30</t>
  </si>
  <si>
    <t>2017-09-30</t>
  </si>
  <si>
    <t>2016-09-30</t>
  </si>
  <si>
    <t>2015-09-30</t>
  </si>
  <si>
    <t>2014-09-30</t>
  </si>
  <si>
    <t>2013-09-30</t>
  </si>
  <si>
    <t>2012-09-30</t>
  </si>
  <si>
    <t>2011-09-30</t>
  </si>
  <si>
    <t>2010-09-30</t>
  </si>
  <si>
    <t>2009-09-30</t>
  </si>
  <si>
    <t>2008-09-30</t>
  </si>
  <si>
    <t>2007-09-30</t>
  </si>
  <si>
    <t>2006-09-30</t>
  </si>
  <si>
    <t>2005-09-30</t>
  </si>
  <si>
    <t>2004-09-30</t>
  </si>
  <si>
    <t>2003-09-30</t>
  </si>
  <si>
    <t>2002-09-30</t>
  </si>
  <si>
    <t>2001-09-30</t>
  </si>
  <si>
    <t>2000-09-30</t>
  </si>
  <si>
    <t>2022-01-28</t>
  </si>
  <si>
    <t>2021-10-29</t>
  </si>
  <si>
    <t>2020-10-30</t>
  </si>
  <si>
    <t>2019-10-31</t>
  </si>
  <si>
    <t>2018-11-05</t>
  </si>
  <si>
    <t>2017-11-03</t>
  </si>
  <si>
    <t>2016-10-26</t>
  </si>
  <si>
    <t>2015-10-28</t>
  </si>
  <si>
    <t>2014-10-27</t>
  </si>
  <si>
    <t>2013-10-30</t>
  </si>
  <si>
    <t>2012-10-31</t>
  </si>
  <si>
    <t>2011-10-26</t>
  </si>
  <si>
    <t>2010-10-27</t>
  </si>
  <si>
    <t>2009-10-27</t>
  </si>
  <si>
    <t>2008-11-05</t>
  </si>
  <si>
    <t>2007-11-15</t>
  </si>
  <si>
    <t>2006-12-29</t>
  </si>
  <si>
    <t>2005-12-01</t>
  </si>
  <si>
    <t>2004-12-03</t>
  </si>
  <si>
    <t>2003-12-19</t>
  </si>
  <si>
    <t>2002-12-19</t>
  </si>
  <si>
    <t>2001-12-21</t>
  </si>
  <si>
    <t>2000-12-14</t>
  </si>
  <si>
    <t>(5) Very Bullish Case</t>
  </si>
  <si>
    <t>(4) Bullish Case</t>
  </si>
  <si>
    <t>(3) Normal Case</t>
  </si>
  <si>
    <t>(2) Bearish Case</t>
  </si>
  <si>
    <t>(1) Very Bearish Case</t>
  </si>
  <si>
    <t>Select Case</t>
  </si>
  <si>
    <t>Optional Inputs</t>
  </si>
  <si>
    <t>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</si>
</sst>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164" formatCode="_([$$-409]* #,##0_);_([$$-409]* \(#,##0\);_([$$-409]* &quot;-&quot;_);_(@_)"/>
    <numFmt numFmtId="165" formatCode="_([$$-409]* #,##0.00_);_([$$-409]* \(#,##0.00\);_([$$-409]* &quot;-&quot;??_);_(@_)"/>
    <numFmt numFmtId="166" formatCode="&quot;$&quot;#,###.##,,"/>
    <numFmt numFmtId="167" formatCode="#,###.##,,"/>
    <numFmt numFmtId="168" formatCode="#,##0.##"/>
    <numFmt numFmtId="169" formatCode="&quot;$&quot;#,##0.##"/>
    <numFmt numFmtId="170" formatCode="0.0%"/>
    <numFmt numFmtId="171" formatCode="_-[$$-409]* #,##0.00_ ;_-[$$-409]* \-#,##0.00\ ;_-[$$-409]* &quot;-&quot;??_ ;_-@_ "/>
    <numFmt numFmtId="173" formatCode="_(#,##0.0%_);\(#,##0.0%\);_(&quot;–&quot;_)_%;_(@_)_%"/>
  </numFmts>
  <fonts count="9" x14ac:knownFonts="1">
    <font>
      <sz val="11"/>
      <color theme="1"/>
      <name val="Calibri"/>
      <family val="2"/>
      <scheme val="minor"/>
    </font>
    <font>
      <sz val="9"/>
      <color theme="1"/>
      <name val="Arial"/>
      <family val="2"/>
    </font>
    <font>
      <sz val="8"/>
      <name val="Calibri"/>
      <family val="2"/>
      <scheme val="minor"/>
    </font>
    <font>
      <b/>
      <sz val="9"/>
      <color theme="1"/>
      <name val="Arial"/>
      <family val="2"/>
    </font>
    <font>
      <sz val="9"/>
      <color theme="0"/>
      <name val="Arial"/>
      <family val="2"/>
    </font>
    <font>
      <sz val="7"/>
      <color theme="1"/>
      <name val="Arial"/>
      <family val="2"/>
    </font>
    <font>
      <sz val="11"/>
      <color theme="1"/>
      <name val="Calibri"/>
      <family val="2"/>
      <scheme val="minor"/>
    </font>
    <font>
      <b/>
      <sz val="9"/>
      <color theme="0"/>
      <name val="Arial"/>
      <family val="2"/>
    </font>
    <font>
      <sz val="9"/>
      <color theme="4"/>
      <name val="Arial"/>
      <family val="2"/>
    </font>
  </fonts>
  <fills count="11">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39997558519241921"/>
        <bgColor indexed="64"/>
      </patternFill>
    </fill>
  </fills>
  <borders count="5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top/>
      <bottom style="thick">
        <color theme="1"/>
      </bottom>
      <diagonal/>
    </border>
    <border>
      <left style="thin">
        <color theme="1"/>
      </left>
      <right style="thin">
        <color theme="0" tint="-0.249977111117893"/>
      </right>
      <top style="thin">
        <color theme="0" tint="-0.249977111117893"/>
      </top>
      <bottom style="thin">
        <color theme="0" tint="-0.249977111117893"/>
      </bottom>
      <diagonal/>
    </border>
    <border>
      <left style="thin">
        <color theme="0" tint="-0.249977111117893"/>
      </left>
      <right style="thin">
        <color theme="1"/>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style="thin">
        <color theme="1"/>
      </right>
      <top/>
      <bottom style="thin">
        <color theme="0" tint="-0.249977111117893"/>
      </bottom>
      <diagonal/>
    </border>
    <border>
      <left style="thin">
        <color theme="1"/>
      </left>
      <right/>
      <top style="thin">
        <color theme="0" tint="-0.249977111117893"/>
      </top>
      <bottom style="thin">
        <color theme="0" tint="-0.249977111117893"/>
      </bottom>
      <diagonal/>
    </border>
    <border>
      <left style="thin">
        <color theme="1"/>
      </left>
      <right/>
      <top style="thin">
        <color theme="0" tint="-0.249977111117893"/>
      </top>
      <bottom style="thin">
        <color theme="1"/>
      </bottom>
      <diagonal/>
    </border>
    <border>
      <left/>
      <right/>
      <top style="thin">
        <color theme="0" tint="-0.249977111117893"/>
      </top>
      <bottom style="thin">
        <color theme="1"/>
      </bottom>
      <diagonal/>
    </border>
    <border>
      <left/>
      <right style="thin">
        <color theme="0" tint="-0.249977111117893"/>
      </right>
      <top style="thin">
        <color theme="0" tint="-0.249977111117893"/>
      </top>
      <bottom style="thin">
        <color theme="1"/>
      </bottom>
      <diagonal/>
    </border>
    <border>
      <left style="thin">
        <color theme="1"/>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theme="0" tint="-0.249977111117893"/>
      </top>
      <bottom/>
      <diagonal/>
    </border>
    <border>
      <left style="thin">
        <color theme="1"/>
      </left>
      <right style="thin">
        <color indexed="64"/>
      </right>
      <top/>
      <bottom/>
      <diagonal/>
    </border>
    <border>
      <left style="thin">
        <color theme="1"/>
      </left>
      <right style="thin">
        <color indexed="64"/>
      </right>
      <top style="thin">
        <color theme="0" tint="-0.249977111117893"/>
      </top>
      <bottom/>
      <diagonal/>
    </border>
    <border>
      <left style="thin">
        <color theme="0" tint="-0.249977111117893"/>
      </left>
      <right style="thin">
        <color theme="1"/>
      </right>
      <top style="thin">
        <color theme="0" tint="-0.249977111117893"/>
      </top>
      <bottom/>
      <diagonal/>
    </border>
    <border>
      <left style="thin">
        <color indexed="64"/>
      </left>
      <right style="thin">
        <color theme="0" tint="-0.249977111117893"/>
      </right>
      <top style="thin">
        <color theme="0" tint="-0.249977111117893"/>
      </top>
      <bottom/>
      <diagonal/>
    </border>
    <border>
      <left style="thin">
        <color theme="1"/>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indexed="64"/>
      </left>
      <right/>
      <top style="thin">
        <color theme="1"/>
      </top>
      <bottom style="thin">
        <color theme="1"/>
      </bottom>
      <diagonal/>
    </border>
    <border>
      <left style="thin">
        <color theme="0" tint="-0.249977111117893"/>
      </left>
      <right style="thin">
        <color theme="1"/>
      </right>
      <top style="thin">
        <color theme="1"/>
      </top>
      <bottom style="thin">
        <color theme="1"/>
      </bottom>
      <diagonal/>
    </border>
    <border>
      <left/>
      <right/>
      <top/>
      <bottom style="thin">
        <color theme="0"/>
      </bottom>
      <diagonal/>
    </border>
    <border>
      <left style="thin">
        <color theme="1"/>
      </left>
      <right/>
      <top style="thin">
        <color theme="0"/>
      </top>
      <bottom style="thin">
        <color theme="0" tint="-0.249977111117893"/>
      </bottom>
      <diagonal/>
    </border>
    <border>
      <left/>
      <right/>
      <top style="thin">
        <color theme="0"/>
      </top>
      <bottom style="thin">
        <color theme="0" tint="-0.249977111117893"/>
      </bottom>
      <diagonal/>
    </border>
    <border>
      <left/>
      <right style="thin">
        <color theme="0" tint="-0.249977111117893"/>
      </right>
      <top style="thin">
        <color theme="0"/>
      </top>
      <bottom style="thin">
        <color theme="0" tint="-0.249977111117893"/>
      </bottom>
      <diagonal/>
    </border>
    <border>
      <left style="thin">
        <color theme="0" tint="-0.249977111117893"/>
      </left>
      <right style="thin">
        <color indexed="64"/>
      </right>
      <top style="thin">
        <color theme="0"/>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1"/>
      </bottom>
      <diagonal/>
    </border>
    <border>
      <left style="thin">
        <color theme="1"/>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bottom style="thin">
        <color theme="1"/>
      </bottom>
      <diagonal/>
    </border>
    <border>
      <left style="thin">
        <color theme="1"/>
      </left>
      <right style="thin">
        <color theme="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theme="1"/>
      </bottom>
      <diagonal/>
    </border>
    <border>
      <left style="thin">
        <color indexed="64"/>
      </left>
      <right style="thin">
        <color theme="1"/>
      </right>
      <top/>
      <bottom/>
      <diagonal/>
    </border>
    <border>
      <left/>
      <right style="thin">
        <color indexed="64"/>
      </right>
      <top/>
      <bottom/>
      <diagonal/>
    </border>
    <border>
      <left style="thin">
        <color indexed="64"/>
      </left>
      <right style="thin">
        <color theme="1"/>
      </right>
      <top/>
      <bottom style="thin">
        <color indexed="64"/>
      </bottom>
      <diagonal/>
    </border>
    <border>
      <left style="thin">
        <color theme="1"/>
      </left>
      <right style="thin">
        <color theme="1"/>
      </right>
      <top/>
      <bottom style="thin">
        <color indexed="64"/>
      </bottom>
      <diagonal/>
    </border>
    <border>
      <left/>
      <right style="thin">
        <color indexed="64"/>
      </right>
      <top/>
      <bottom style="thin">
        <color indexed="64"/>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theme="1"/>
      </right>
      <top style="thin">
        <color theme="1"/>
      </top>
      <bottom/>
      <diagonal/>
    </border>
    <border>
      <left style="thin">
        <color theme="0" tint="-0.249977111117893"/>
      </left>
      <right style="thin">
        <color theme="1"/>
      </right>
      <top style="thin">
        <color theme="0" tint="-0.249977111117893"/>
      </top>
      <bottom style="thin">
        <color theme="1"/>
      </bottom>
      <diagonal/>
    </border>
    <border>
      <left/>
      <right style="thin">
        <color theme="1"/>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3">
    <xf numFmtId="0" fontId="0" fillId="0" borderId="0"/>
    <xf numFmtId="9" fontId="6" fillId="0" borderId="0" applyFont="0" applyFill="0" applyBorder="0" applyAlignment="0" applyProtection="0"/>
    <xf numFmtId="44" fontId="6" fillId="0" borderId="0" applyFont="0" applyFill="0" applyBorder="0" applyAlignment="0" applyProtection="0"/>
  </cellStyleXfs>
  <cellXfs count="167">
    <xf numFmtId="0" fontId="0" fillId="0" borderId="0" xfId="0"/>
    <xf numFmtId="0" fontId="1" fillId="2" borderId="0" xfId="0" applyFont="1" applyFill="1" applyAlignment="1">
      <alignment horizontal="left" vertical="center"/>
    </xf>
    <xf numFmtId="0" fontId="1" fillId="2" borderId="6" xfId="0" applyFont="1" applyFill="1" applyBorder="1" applyAlignment="1">
      <alignment horizontal="left" vertical="center"/>
    </xf>
    <xf numFmtId="0" fontId="5" fillId="2" borderId="1" xfId="0" applyFont="1" applyFill="1" applyBorder="1" applyAlignment="1">
      <alignment horizontal="left" vertical="center"/>
    </xf>
    <xf numFmtId="0" fontId="1" fillId="0" borderId="0" xfId="0" applyFont="1"/>
    <xf numFmtId="166" fontId="1" fillId="0" borderId="0" xfId="0" applyNumberFormat="1" applyFont="1"/>
    <xf numFmtId="10" fontId="1" fillId="0" borderId="0" xfId="0" applyNumberFormat="1" applyFont="1"/>
    <xf numFmtId="167" fontId="1" fillId="0" borderId="0" xfId="0" applyNumberFormat="1" applyFont="1"/>
    <xf numFmtId="0" fontId="7" fillId="4" borderId="0" xfId="0" applyFont="1" applyFill="1"/>
    <xf numFmtId="0" fontId="3" fillId="0" borderId="0" xfId="0" applyFont="1"/>
    <xf numFmtId="0" fontId="3" fillId="0" borderId="19" xfId="0" applyFont="1" applyBorder="1"/>
    <xf numFmtId="0" fontId="1" fillId="2" borderId="0" xfId="0" applyFont="1" applyFill="1" applyAlignment="1">
      <alignment vertical="top" wrapText="1"/>
    </xf>
    <xf numFmtId="0" fontId="3" fillId="2" borderId="4" xfId="0" applyFont="1" applyFill="1" applyBorder="1" applyAlignment="1">
      <alignment horizontal="lef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10" fontId="5" fillId="2" borderId="1" xfId="0" applyNumberFormat="1" applyFont="1" applyFill="1" applyBorder="1" applyAlignment="1">
      <alignment horizontal="left" vertical="center"/>
    </xf>
    <xf numFmtId="166" fontId="5" fillId="2" borderId="1" xfId="0" applyNumberFormat="1" applyFont="1" applyFill="1" applyBorder="1" applyAlignment="1">
      <alignment horizontal="left" vertical="center"/>
    </xf>
    <xf numFmtId="4" fontId="5" fillId="2" borderId="10" xfId="0" applyNumberFormat="1" applyFont="1" applyFill="1" applyBorder="1" applyAlignment="1">
      <alignment horizontal="left" vertical="center"/>
    </xf>
    <xf numFmtId="10" fontId="5" fillId="2" borderId="1" xfId="1" applyNumberFormat="1" applyFont="1" applyFill="1" applyBorder="1" applyAlignment="1">
      <alignment horizontal="left" vertical="center"/>
    </xf>
    <xf numFmtId="4" fontId="5" fillId="2" borderId="1" xfId="0" applyNumberFormat="1" applyFont="1" applyFill="1" applyBorder="1" applyAlignment="1">
      <alignment horizontal="left" vertical="center"/>
    </xf>
    <xf numFmtId="0" fontId="7" fillId="4" borderId="31" xfId="0" applyFont="1" applyFill="1" applyBorder="1" applyAlignment="1">
      <alignment horizontal="left" vertical="center"/>
    </xf>
    <xf numFmtId="0" fontId="4" fillId="4" borderId="3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0" xfId="0" applyFont="1" applyFill="1"/>
    <xf numFmtId="0" fontId="4" fillId="4" borderId="0" xfId="0" applyFont="1" applyFill="1"/>
    <xf numFmtId="2" fontId="5" fillId="2" borderId="1" xfId="0" applyNumberFormat="1" applyFont="1" applyFill="1" applyBorder="1" applyAlignment="1">
      <alignment horizontal="left" vertical="center"/>
    </xf>
    <xf numFmtId="170" fontId="5" fillId="2" borderId="10" xfId="1" applyNumberFormat="1" applyFont="1" applyFill="1" applyBorder="1" applyAlignment="1">
      <alignment horizontal="left" vertical="center"/>
    </xf>
    <xf numFmtId="0" fontId="4" fillId="4" borderId="0" xfId="0" applyFont="1" applyFill="1" applyAlignment="1">
      <alignment horizontal="center" vertical="center" textRotation="90"/>
    </xf>
    <xf numFmtId="0" fontId="1" fillId="2" borderId="0" xfId="0" applyFont="1" applyFill="1" applyAlignment="1">
      <alignment horizontal="center" vertical="center"/>
    </xf>
    <xf numFmtId="0" fontId="1" fillId="2" borderId="1" xfId="0" applyFont="1" applyFill="1" applyBorder="1" applyAlignment="1">
      <alignment horizontal="right" vertical="center"/>
    </xf>
    <xf numFmtId="165" fontId="1" fillId="2" borderId="1" xfId="0" applyNumberFormat="1" applyFont="1" applyFill="1" applyBorder="1" applyAlignment="1">
      <alignment horizontal="right" vertical="center"/>
    </xf>
    <xf numFmtId="164" fontId="1" fillId="2" borderId="1" xfId="0" applyNumberFormat="1" applyFont="1" applyFill="1" applyBorder="1" applyAlignment="1">
      <alignment horizontal="right" vertical="center"/>
    </xf>
    <xf numFmtId="10" fontId="1" fillId="2" borderId="2" xfId="0" applyNumberFormat="1" applyFont="1" applyFill="1" applyBorder="1" applyAlignment="1">
      <alignment horizontal="right" vertical="center"/>
    </xf>
    <xf numFmtId="3" fontId="1" fillId="2" borderId="1" xfId="0" applyNumberFormat="1" applyFont="1" applyFill="1" applyBorder="1" applyAlignment="1">
      <alignment horizontal="right" vertical="center" wrapText="1"/>
    </xf>
    <xf numFmtId="170" fontId="1" fillId="2" borderId="1" xfId="1" applyNumberFormat="1" applyFont="1" applyFill="1" applyBorder="1" applyAlignment="1">
      <alignment horizontal="right" vertical="center" wrapText="1"/>
    </xf>
    <xf numFmtId="0" fontId="3" fillId="2" borderId="35" xfId="0" applyFont="1" applyFill="1" applyBorder="1" applyAlignment="1">
      <alignment horizontal="left" vertical="center"/>
    </xf>
    <xf numFmtId="166" fontId="5" fillId="2" borderId="36" xfId="0" applyNumberFormat="1" applyFont="1" applyFill="1" applyBorder="1" applyAlignment="1">
      <alignment horizontal="left" vertical="center"/>
    </xf>
    <xf numFmtId="10" fontId="5" fillId="2" borderId="36" xfId="0" applyNumberFormat="1" applyFont="1" applyFill="1" applyBorder="1" applyAlignment="1">
      <alignment horizontal="left" vertical="center"/>
    </xf>
    <xf numFmtId="0" fontId="5" fillId="2" borderId="36" xfId="0" applyFont="1" applyFill="1" applyBorder="1" applyAlignment="1">
      <alignment horizontal="left" vertical="center"/>
    </xf>
    <xf numFmtId="2" fontId="5" fillId="2" borderId="36" xfId="0" applyNumberFormat="1" applyFont="1" applyFill="1" applyBorder="1" applyAlignment="1">
      <alignment horizontal="left" vertical="center"/>
    </xf>
    <xf numFmtId="4" fontId="5" fillId="2" borderId="36" xfId="0" applyNumberFormat="1" applyFont="1" applyFill="1" applyBorder="1" applyAlignment="1">
      <alignment horizontal="left" vertical="center"/>
    </xf>
    <xf numFmtId="170" fontId="5" fillId="2" borderId="37" xfId="1" applyNumberFormat="1" applyFont="1" applyFill="1" applyBorder="1" applyAlignment="1">
      <alignment horizontal="left" vertical="center"/>
    </xf>
    <xf numFmtId="4" fontId="5" fillId="2" borderId="37" xfId="0" applyNumberFormat="1" applyFont="1" applyFill="1" applyBorder="1" applyAlignment="1">
      <alignment horizontal="left" vertical="center"/>
    </xf>
    <xf numFmtId="0" fontId="4" fillId="2" borderId="0" xfId="0" applyFont="1" applyFill="1" applyAlignment="1">
      <alignment horizontal="left" vertical="center"/>
    </xf>
    <xf numFmtId="0" fontId="1" fillId="6" borderId="1" xfId="0" applyFont="1" applyFill="1" applyBorder="1" applyAlignment="1">
      <alignment horizontal="right" vertical="center"/>
    </xf>
    <xf numFmtId="170" fontId="1" fillId="2" borderId="0" xfId="1" applyNumberFormat="1" applyFont="1" applyFill="1" applyAlignment="1">
      <alignment horizontal="left" vertical="center"/>
    </xf>
    <xf numFmtId="170" fontId="1" fillId="2" borderId="0" xfId="0" applyNumberFormat="1" applyFont="1" applyFill="1" applyAlignment="1">
      <alignment horizontal="left" vertical="center"/>
    </xf>
    <xf numFmtId="2" fontId="1" fillId="2" borderId="25" xfId="0" applyNumberFormat="1" applyFont="1" applyFill="1" applyBorder="1" applyAlignment="1">
      <alignment horizontal="right" vertical="center"/>
    </xf>
    <xf numFmtId="2" fontId="1" fillId="2" borderId="0" xfId="0" applyNumberFormat="1" applyFont="1" applyFill="1" applyAlignment="1">
      <alignment horizontal="right" vertical="center"/>
    </xf>
    <xf numFmtId="0" fontId="1" fillId="2" borderId="20" xfId="0" applyFont="1" applyFill="1" applyBorder="1" applyAlignment="1">
      <alignment vertical="center"/>
    </xf>
    <xf numFmtId="0" fontId="1" fillId="2" borderId="0" xfId="0" applyFont="1" applyFill="1" applyAlignment="1">
      <alignment vertical="center"/>
    </xf>
    <xf numFmtId="0" fontId="1" fillId="2" borderId="11" xfId="0" applyFont="1" applyFill="1" applyBorder="1" applyAlignment="1">
      <alignment horizontal="right" vertical="center"/>
    </xf>
    <xf numFmtId="0" fontId="4" fillId="3" borderId="30" xfId="0" applyFont="1" applyFill="1" applyBorder="1" applyAlignment="1">
      <alignment horizontal="right" vertical="center"/>
    </xf>
    <xf numFmtId="0" fontId="1" fillId="2" borderId="0" xfId="0" applyFont="1" applyFill="1" applyAlignment="1">
      <alignment horizontal="right" vertical="center"/>
    </xf>
    <xf numFmtId="0" fontId="4" fillId="4" borderId="31" xfId="0" applyFont="1" applyFill="1" applyBorder="1" applyAlignment="1">
      <alignment horizontal="right" vertical="center"/>
    </xf>
    <xf numFmtId="166" fontId="1" fillId="2" borderId="11" xfId="0" applyNumberFormat="1" applyFont="1" applyFill="1" applyBorder="1" applyAlignment="1">
      <alignment horizontal="right" vertical="center"/>
    </xf>
    <xf numFmtId="10" fontId="1" fillId="2" borderId="8" xfId="0" applyNumberFormat="1" applyFont="1" applyFill="1" applyBorder="1" applyAlignment="1">
      <alignment horizontal="right" vertical="center"/>
    </xf>
    <xf numFmtId="166" fontId="1" fillId="2" borderId="8" xfId="0" applyNumberFormat="1" applyFont="1" applyFill="1" applyBorder="1" applyAlignment="1">
      <alignment horizontal="right" vertical="center"/>
    </xf>
    <xf numFmtId="0" fontId="1" fillId="2" borderId="8" xfId="0" applyFont="1" applyFill="1" applyBorder="1" applyAlignment="1">
      <alignment horizontal="right" vertical="center"/>
    </xf>
    <xf numFmtId="165" fontId="1" fillId="2" borderId="8" xfId="0" applyNumberFormat="1" applyFont="1" applyFill="1" applyBorder="1" applyAlignment="1">
      <alignment horizontal="right" vertical="center"/>
    </xf>
    <xf numFmtId="0" fontId="7" fillId="2" borderId="0" xfId="0" applyFont="1" applyFill="1" applyAlignment="1">
      <alignment horizontal="left" vertical="center"/>
    </xf>
    <xf numFmtId="2" fontId="1" fillId="2" borderId="0" xfId="0" applyNumberFormat="1" applyFont="1" applyFill="1" applyAlignment="1">
      <alignment horizontal="left" vertical="center"/>
    </xf>
    <xf numFmtId="10" fontId="1" fillId="2" borderId="0" xfId="0" applyNumberFormat="1" applyFont="1" applyFill="1" applyAlignment="1">
      <alignment horizontal="left" vertical="center"/>
    </xf>
    <xf numFmtId="4" fontId="1" fillId="2" borderId="0" xfId="0" applyNumberFormat="1" applyFont="1" applyFill="1" applyAlignment="1">
      <alignment horizontal="left" vertical="center"/>
    </xf>
    <xf numFmtId="0" fontId="4" fillId="2" borderId="0" xfId="0" applyFont="1" applyFill="1" applyAlignment="1">
      <alignment vertical="center"/>
    </xf>
    <xf numFmtId="170" fontId="4" fillId="3" borderId="25" xfId="1" applyNumberFormat="1" applyFont="1" applyFill="1" applyBorder="1" applyAlignment="1">
      <alignment horizontal="right" vertical="center"/>
    </xf>
    <xf numFmtId="171" fontId="7" fillId="3" borderId="8" xfId="0" applyNumberFormat="1" applyFont="1" applyFill="1" applyBorder="1" applyAlignment="1">
      <alignment horizontal="right" vertical="center"/>
    </xf>
    <xf numFmtId="171" fontId="4" fillId="2" borderId="0" xfId="0" applyNumberFormat="1" applyFont="1" applyFill="1" applyAlignment="1">
      <alignment horizontal="left" vertical="center"/>
    </xf>
    <xf numFmtId="2" fontId="1" fillId="2" borderId="0" xfId="0" applyNumberFormat="1" applyFont="1" applyFill="1" applyAlignment="1">
      <alignment horizontal="center" vertical="center"/>
    </xf>
    <xf numFmtId="170" fontId="1" fillId="2" borderId="41" xfId="1" applyNumberFormat="1" applyFont="1" applyFill="1" applyBorder="1" applyAlignment="1">
      <alignment horizontal="center" vertical="center"/>
    </xf>
    <xf numFmtId="170" fontId="1" fillId="2" borderId="40" xfId="1" applyNumberFormat="1" applyFont="1" applyFill="1" applyBorder="1" applyAlignment="1">
      <alignment horizontal="center" vertical="center"/>
    </xf>
    <xf numFmtId="2" fontId="1" fillId="7" borderId="0" xfId="0" applyNumberFormat="1" applyFont="1" applyFill="1" applyAlignment="1">
      <alignment horizontal="center" vertical="center"/>
    </xf>
    <xf numFmtId="44" fontId="1" fillId="2" borderId="0" xfId="2" applyFont="1" applyFill="1" applyBorder="1" applyAlignment="1">
      <alignment horizontal="center" vertical="center"/>
    </xf>
    <xf numFmtId="0" fontId="7" fillId="4" borderId="42" xfId="0" applyFont="1" applyFill="1" applyBorder="1" applyAlignment="1">
      <alignment vertical="center"/>
    </xf>
    <xf numFmtId="0" fontId="4" fillId="4" borderId="43" xfId="0" applyFont="1" applyFill="1" applyBorder="1" applyAlignment="1">
      <alignment vertical="center"/>
    </xf>
    <xf numFmtId="171" fontId="4" fillId="4" borderId="43" xfId="0" applyNumberFormat="1" applyFont="1" applyFill="1" applyBorder="1" applyAlignment="1">
      <alignment horizontal="left" vertical="center"/>
    </xf>
    <xf numFmtId="0" fontId="1" fillId="4" borderId="43" xfId="0" applyFont="1" applyFill="1" applyBorder="1" applyAlignment="1">
      <alignment horizontal="left" vertical="center"/>
    </xf>
    <xf numFmtId="2" fontId="1" fillId="4" borderId="44" xfId="0" applyNumberFormat="1" applyFont="1" applyFill="1" applyBorder="1" applyAlignment="1">
      <alignment horizontal="right" vertical="center"/>
    </xf>
    <xf numFmtId="170" fontId="1" fillId="2" borderId="45" xfId="1" applyNumberFormat="1" applyFont="1" applyFill="1" applyBorder="1" applyAlignment="1">
      <alignment horizontal="center" vertical="center"/>
    </xf>
    <xf numFmtId="2" fontId="1" fillId="2" borderId="47" xfId="0" applyNumberFormat="1" applyFont="1" applyFill="1" applyBorder="1" applyAlignment="1">
      <alignment horizontal="center" vertical="center"/>
    </xf>
    <xf numFmtId="2" fontId="1" fillId="8" borderId="0" xfId="0" applyNumberFormat="1" applyFont="1" applyFill="1" applyAlignment="1">
      <alignment horizontal="center" vertical="center"/>
    </xf>
    <xf numFmtId="2" fontId="1" fillId="9" borderId="0" xfId="0" applyNumberFormat="1" applyFont="1" applyFill="1" applyAlignment="1">
      <alignment horizontal="center" vertical="center"/>
    </xf>
    <xf numFmtId="170" fontId="1" fillId="2" borderId="49" xfId="1" applyNumberFormat="1" applyFont="1" applyFill="1" applyBorder="1" applyAlignment="1">
      <alignment horizontal="center" vertical="center"/>
    </xf>
    <xf numFmtId="2" fontId="1" fillId="2" borderId="19" xfId="0" applyNumberFormat="1" applyFont="1" applyFill="1" applyBorder="1" applyAlignment="1">
      <alignment horizontal="center" vertical="center"/>
    </xf>
    <xf numFmtId="2" fontId="1" fillId="2" borderId="50" xfId="0" applyNumberFormat="1" applyFont="1" applyFill="1" applyBorder="1" applyAlignment="1">
      <alignment horizontal="center" vertical="center"/>
    </xf>
    <xf numFmtId="170" fontId="1" fillId="2" borderId="0" xfId="1" applyNumberFormat="1" applyFont="1" applyFill="1" applyBorder="1" applyAlignment="1">
      <alignment horizontal="left" vertical="center"/>
    </xf>
    <xf numFmtId="0" fontId="7" fillId="4" borderId="0" xfId="0" applyFont="1" applyFill="1" applyAlignment="1">
      <alignment horizontal="left" vertical="center"/>
    </xf>
    <xf numFmtId="0" fontId="7" fillId="2" borderId="0" xfId="0" applyFont="1" applyFill="1" applyAlignment="1">
      <alignment vertical="center"/>
    </xf>
    <xf numFmtId="0" fontId="1" fillId="2" borderId="1" xfId="0" applyFont="1" applyFill="1" applyBorder="1" applyAlignment="1">
      <alignment vertical="center"/>
    </xf>
    <xf numFmtId="2" fontId="1" fillId="2" borderId="8" xfId="0" applyNumberFormat="1" applyFont="1" applyFill="1" applyBorder="1" applyAlignment="1">
      <alignment vertical="center"/>
    </xf>
    <xf numFmtId="2" fontId="1" fillId="2" borderId="54" xfId="0" applyNumberFormat="1" applyFont="1" applyFill="1" applyBorder="1" applyAlignment="1">
      <alignment vertical="center"/>
    </xf>
    <xf numFmtId="168" fontId="1" fillId="0" borderId="0" xfId="0" applyNumberFormat="1" applyFont="1"/>
    <xf numFmtId="169" fontId="1" fillId="0" borderId="0" xfId="0" applyNumberFormat="1" applyFont="1"/>
    <xf numFmtId="44" fontId="1" fillId="0" borderId="0" xfId="0" applyNumberFormat="1" applyFont="1"/>
    <xf numFmtId="0" fontId="1" fillId="4" borderId="0" xfId="0" applyFont="1" applyFill="1" applyAlignment="1">
      <alignment horizontal="left" vertical="center"/>
    </xf>
    <xf numFmtId="0" fontId="4" fillId="4" borderId="0" xfId="0" applyFont="1" applyFill="1" applyAlignment="1">
      <alignment horizontal="left" vertical="center"/>
    </xf>
    <xf numFmtId="0" fontId="1" fillId="2" borderId="0" xfId="0" applyFont="1" applyFill="1" applyAlignment="1">
      <alignment horizontal="left"/>
    </xf>
    <xf numFmtId="170" fontId="1" fillId="2" borderId="0" xfId="1" applyNumberFormat="1" applyFont="1" applyFill="1" applyBorder="1" applyAlignment="1">
      <alignment horizontal="right" vertical="center"/>
    </xf>
    <xf numFmtId="170" fontId="1" fillId="2" borderId="0" xfId="0" applyNumberFormat="1" applyFont="1" applyFill="1"/>
    <xf numFmtId="0" fontId="1" fillId="6" borderId="0" xfId="0" applyFont="1" applyFill="1" applyAlignment="1">
      <alignment horizontal="left" vertical="center"/>
    </xf>
    <xf numFmtId="173" fontId="1" fillId="2" borderId="0" xfId="0" applyNumberFormat="1" applyFont="1" applyFill="1" applyAlignment="1">
      <alignment horizontal="right" vertical="center"/>
    </xf>
    <xf numFmtId="170" fontId="8" fillId="6" borderId="1" xfId="1" applyNumberFormat="1" applyFont="1" applyFill="1" applyBorder="1" applyAlignment="1">
      <alignment horizontal="right" vertical="center"/>
    </xf>
    <xf numFmtId="0" fontId="8" fillId="6" borderId="56" xfId="0" applyFont="1" applyFill="1" applyBorder="1" applyAlignment="1">
      <alignment horizontal="right" vertical="center"/>
    </xf>
    <xf numFmtId="170" fontId="8" fillId="6" borderId="1" xfId="0" applyNumberFormat="1" applyFont="1" applyFill="1" applyBorder="1" applyAlignment="1">
      <alignment vertical="center"/>
    </xf>
    <xf numFmtId="0" fontId="8" fillId="6" borderId="0" xfId="0" applyFont="1" applyFill="1" applyAlignment="1">
      <alignment horizontal="right" vertical="center"/>
    </xf>
    <xf numFmtId="0" fontId="8" fillId="6" borderId="0" xfId="1" applyNumberFormat="1" applyFont="1" applyFill="1" applyBorder="1" applyAlignment="1">
      <alignment horizontal="right" vertical="center"/>
    </xf>
    <xf numFmtId="170" fontId="8" fillId="10" borderId="4" xfId="0" applyNumberFormat="1" applyFont="1" applyFill="1" applyBorder="1" applyAlignment="1">
      <alignment horizontal="right" vertical="center"/>
    </xf>
    <xf numFmtId="0" fontId="1" fillId="2" borderId="1" xfId="0" applyFont="1" applyFill="1" applyBorder="1" applyAlignment="1">
      <alignment horizontal="center" vertical="center"/>
    </xf>
    <xf numFmtId="0" fontId="1" fillId="2" borderId="3" xfId="0" applyFont="1" applyFill="1" applyBorder="1" applyAlignment="1">
      <alignment horizontal="left" vertical="center"/>
    </xf>
    <xf numFmtId="0" fontId="1" fillId="2" borderId="2" xfId="0" applyFont="1" applyFill="1" applyBorder="1" applyAlignment="1">
      <alignment horizontal="left" vertical="center"/>
    </xf>
    <xf numFmtId="170" fontId="8" fillId="6" borderId="3" xfId="0" applyNumberFormat="1" applyFont="1" applyFill="1" applyBorder="1" applyAlignment="1">
      <alignment vertical="center"/>
    </xf>
    <xf numFmtId="170" fontId="8" fillId="6" borderId="2" xfId="0" applyNumberFormat="1" applyFont="1" applyFill="1" applyBorder="1" applyAlignment="1">
      <alignment vertical="center"/>
    </xf>
    <xf numFmtId="0" fontId="3" fillId="2" borderId="1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5" xfId="0" applyFont="1" applyFill="1" applyBorder="1" applyAlignment="1">
      <alignment horizontal="center" vertical="center"/>
    </xf>
    <xf numFmtId="0" fontId="1" fillId="2" borderId="0" xfId="0" applyFont="1" applyFill="1" applyAlignment="1">
      <alignment horizontal="left" vertical="center"/>
    </xf>
    <xf numFmtId="9" fontId="8" fillId="6" borderId="3" xfId="0" applyNumberFormat="1" applyFont="1" applyFill="1" applyBorder="1" applyAlignment="1">
      <alignment horizontal="right" vertical="center"/>
    </xf>
    <xf numFmtId="0" fontId="8" fillId="6" borderId="2" xfId="0" applyFont="1" applyFill="1" applyBorder="1" applyAlignment="1">
      <alignment horizontal="right" vertical="center"/>
    </xf>
    <xf numFmtId="0" fontId="1" fillId="2" borderId="12" xfId="0" applyFont="1" applyFill="1" applyBorder="1" applyAlignment="1">
      <alignment horizontal="left" vertical="center"/>
    </xf>
    <xf numFmtId="0" fontId="1" fillId="2" borderId="5" xfId="0" applyFont="1" applyFill="1" applyBorder="1" applyAlignment="1">
      <alignment horizontal="lef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0" fontId="1" fillId="2" borderId="4" xfId="0" applyFont="1" applyFill="1" applyBorder="1" applyAlignment="1">
      <alignment horizontal="left" vertical="center"/>
    </xf>
    <xf numFmtId="0" fontId="1" fillId="2" borderId="13" xfId="0" applyFont="1" applyFill="1" applyBorder="1" applyAlignment="1">
      <alignment horizontal="left" vertical="center"/>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xf>
    <xf numFmtId="0" fontId="7" fillId="4" borderId="0" xfId="0" applyFont="1" applyFill="1" applyAlignment="1">
      <alignment horizontal="left" vertical="center"/>
    </xf>
    <xf numFmtId="0" fontId="8" fillId="6" borderId="3"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2" xfId="0" applyFont="1" applyFill="1" applyBorder="1" applyAlignment="1">
      <alignment horizontal="center" vertical="center"/>
    </xf>
    <xf numFmtId="0" fontId="1" fillId="2" borderId="32" xfId="0" applyFont="1" applyFill="1" applyBorder="1" applyAlignment="1">
      <alignment horizontal="left" vertical="center"/>
    </xf>
    <xf numFmtId="0" fontId="1" fillId="2" borderId="33" xfId="0" applyFont="1" applyFill="1" applyBorder="1" applyAlignment="1">
      <alignment horizontal="left" vertical="center"/>
    </xf>
    <xf numFmtId="0" fontId="1" fillId="2" borderId="34" xfId="0" applyFont="1" applyFill="1" applyBorder="1" applyAlignment="1">
      <alignment horizontal="left" vertical="center"/>
    </xf>
    <xf numFmtId="0" fontId="4" fillId="3" borderId="12" xfId="0" applyFont="1" applyFill="1" applyBorder="1" applyAlignment="1">
      <alignment horizontal="left" vertical="center"/>
    </xf>
    <xf numFmtId="0" fontId="4" fillId="3" borderId="5" xfId="0" applyFont="1" applyFill="1" applyBorder="1" applyAlignment="1">
      <alignment horizontal="left" vertical="center"/>
    </xf>
    <xf numFmtId="0" fontId="4" fillId="3" borderId="2" xfId="0" applyFont="1" applyFill="1" applyBorder="1" applyAlignment="1">
      <alignment horizontal="left" vertical="center"/>
    </xf>
    <xf numFmtId="0" fontId="4" fillId="3" borderId="38" xfId="0" applyFont="1" applyFill="1" applyBorder="1" applyAlignment="1">
      <alignment horizontal="left" vertical="center"/>
    </xf>
    <xf numFmtId="0" fontId="4" fillId="3" borderId="39" xfId="0" applyFont="1" applyFill="1" applyBorder="1" applyAlignment="1">
      <alignment horizontal="left" vertical="center"/>
    </xf>
    <xf numFmtId="170" fontId="3" fillId="2" borderId="46" xfId="0" applyNumberFormat="1" applyFont="1" applyFill="1" applyBorder="1" applyAlignment="1">
      <alignment horizontal="center" vertical="center" textRotation="90"/>
    </xf>
    <xf numFmtId="170" fontId="3" fillId="2" borderId="48" xfId="0" applyNumberFormat="1" applyFont="1" applyFill="1" applyBorder="1" applyAlignment="1">
      <alignment horizontal="center" vertical="center" textRotation="90"/>
    </xf>
    <xf numFmtId="0" fontId="3" fillId="2" borderId="40" xfId="0" applyFont="1" applyFill="1" applyBorder="1" applyAlignment="1">
      <alignment horizontal="center" vertical="center"/>
    </xf>
    <xf numFmtId="0" fontId="3" fillId="2" borderId="45" xfId="0" applyFont="1" applyFill="1" applyBorder="1" applyAlignment="1">
      <alignment horizontal="center" vertical="center"/>
    </xf>
    <xf numFmtId="0" fontId="1" fillId="2" borderId="39"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3" fillId="2" borderId="16" xfId="0" applyFont="1" applyFill="1" applyBorder="1" applyAlignment="1">
      <alignment horizontal="left" vertical="center"/>
    </xf>
    <xf numFmtId="0" fontId="3" fillId="2" borderId="17" xfId="0" applyFont="1" applyFill="1" applyBorder="1" applyAlignment="1">
      <alignment horizontal="left" vertical="center"/>
    </xf>
    <xf numFmtId="0" fontId="3" fillId="2" borderId="18"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1" fillId="2" borderId="18" xfId="0" applyFont="1" applyFill="1" applyBorder="1" applyAlignment="1">
      <alignment horizontal="left" vertical="center"/>
    </xf>
    <xf numFmtId="0" fontId="5" fillId="5" borderId="0" xfId="0" applyFont="1" applyFill="1" applyAlignment="1">
      <alignment horizontal="left" vertical="top" wrapText="1"/>
    </xf>
    <xf numFmtId="0" fontId="7" fillId="4" borderId="51" xfId="0" applyFont="1" applyFill="1" applyBorder="1" applyAlignment="1">
      <alignment horizontal="left" vertical="center"/>
    </xf>
    <xf numFmtId="0" fontId="7" fillId="4" borderId="52" xfId="0" applyFont="1" applyFill="1" applyBorder="1" applyAlignment="1">
      <alignment horizontal="left" vertical="center"/>
    </xf>
    <xf numFmtId="0" fontId="7" fillId="4" borderId="53" xfId="0" applyFont="1" applyFill="1" applyBorder="1" applyAlignment="1">
      <alignment horizontal="left" vertical="center"/>
    </xf>
    <xf numFmtId="0" fontId="7" fillId="4" borderId="31" xfId="0" applyFont="1" applyFill="1" applyBorder="1" applyAlignment="1">
      <alignment horizontal="left" vertical="center"/>
    </xf>
    <xf numFmtId="0" fontId="1" fillId="2" borderId="23" xfId="0" applyFont="1" applyFill="1" applyBorder="1" applyAlignment="1">
      <alignment horizontal="left" vertical="center"/>
    </xf>
    <xf numFmtId="0" fontId="1" fillId="2" borderId="21" xfId="0" applyFont="1" applyFill="1" applyBorder="1" applyAlignment="1">
      <alignment horizontal="left" vertical="center"/>
    </xf>
    <xf numFmtId="0" fontId="1" fillId="2" borderId="20" xfId="0" applyFont="1" applyFill="1" applyBorder="1" applyAlignment="1">
      <alignment horizontal="left" vertical="center"/>
    </xf>
    <xf numFmtId="0" fontId="1" fillId="2" borderId="24" xfId="0" applyFont="1" applyFill="1" applyBorder="1" applyAlignment="1">
      <alignment horizontal="left" vertical="center"/>
    </xf>
    <xf numFmtId="0" fontId="1" fillId="2" borderId="22" xfId="0" applyFont="1" applyFill="1" applyBorder="1" applyAlignment="1">
      <alignment horizontal="left" vertical="center"/>
    </xf>
    <xf numFmtId="0" fontId="1" fillId="2" borderId="26" xfId="0" applyFont="1" applyFill="1" applyBorder="1" applyAlignment="1">
      <alignment horizontal="left" vertical="center"/>
    </xf>
    <xf numFmtId="0" fontId="4" fillId="3" borderId="27" xfId="0" applyFont="1" applyFill="1" applyBorder="1" applyAlignment="1">
      <alignment horizontal="left" vertical="center"/>
    </xf>
    <xf numFmtId="0" fontId="4" fillId="3" borderId="28" xfId="0" applyFont="1" applyFill="1" applyBorder="1" applyAlignment="1">
      <alignment horizontal="left" vertical="center"/>
    </xf>
    <xf numFmtId="0" fontId="4" fillId="3" borderId="29" xfId="0" applyFont="1" applyFill="1" applyBorder="1" applyAlignment="1">
      <alignment horizontal="left" vertical="center"/>
    </xf>
    <xf numFmtId="0" fontId="1" fillId="0" borderId="0" xfId="0" applyFont="1"/>
    <xf numFmtId="4" fontId="8" fillId="10" borderId="1" xfId="0" applyNumberFormat="1" applyFont="1" applyFill="1" applyBorder="1" applyAlignment="1">
      <alignment horizontal="right" vertical="center"/>
    </xf>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externalLink" Target="externalLinks/externalLink1.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752475</xdr:colOff>
          <xdr:row>5</xdr:row>
          <xdr:rowOff>57150</xdr:rowOff>
        </xdr:from>
        <xdr:to>
          <xdr:col>20</xdr:col>
          <xdr:colOff>76200</xdr:colOff>
          <xdr:row>9</xdr:row>
          <xdr:rowOff>34925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ls/Downloads/Powersheet%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CF Valuation"/>
      <sheetName val="Financial Statements"/>
      <sheetName val="Cost of Capital"/>
      <sheetName val="Employee Options"/>
      <sheetName val="Synthetic Credit Rating"/>
      <sheetName val="Industry Averages (US)"/>
      <sheetName val="Industry Averages (Global)"/>
      <sheetName val="Helper Data"/>
    </sheetNames>
    <sheetDataSet>
      <sheetData sheetId="0"/>
      <sheetData sheetId="1"/>
      <sheetData sheetId="2"/>
      <sheetData sheetId="3"/>
      <sheetData sheetId="4">
        <row r="5">
          <cell r="B5"/>
        </row>
      </sheetData>
      <sheetData sheetId="5"/>
      <sheetData sheetId="6"/>
      <sheetData sheetId="7">
        <row r="4">
          <cell r="B4">
            <v>64032</v>
          </cell>
        </row>
        <row r="9">
          <cell r="B9">
            <v>2250</v>
          </cell>
        </row>
      </sheetData>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v t="i">0</v>
  </a>
  <a r="1">
    <v>178.44</v>
  </a>
</arrayData>
</file>

<file path=xl/richData/rdrichvalue.xml><?xml version="1.0" encoding="utf-8"?>
<rvData xmlns="http://schemas.microsoft.com/office/spreadsheetml/2017/richdata" count="4">
  <rv s="0">
    <v>https://www.bing.com/financeapi/forcetrigger?t=a1mou2&amp;q=XNAS%3aAAPL&amp;form=skydnc</v>
    <v>Learn more on Bing</v>
  </rv>
  <rv s="1">
    <v>en-GB</v>
    <v>a1mou2</v>
    <v>268435456</v>
    <v>1</v>
    <v>Powered by Refinitiv</v>
    <v>0</v>
    <v>APPLE INC. (XNAS:AAPL)</v>
    <v>2</v>
    <v>3</v>
    <v>Finance</v>
    <v>4</v>
    <v>178.49</v>
    <v>124.17</v>
    <v>1.2971999999999999</v>
    <v>-0.57999999999999996</v>
    <v>-3.4899999999999996E-3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166.7</v>
    <v>Computers, Phones &amp; Household Electronics</v>
    <v>Stock</v>
    <v>45020.572203772659</v>
    <v>0</v>
    <v>165.57</v>
    <v>2619956700500</v>
    <v>APPLE INC.</v>
    <v>APPLE INC.</v>
    <v>166.55</v>
    <v>28.178999999999998</v>
    <v>166.17</v>
    <v>165.59</v>
    <v>15821950000</v>
    <v>AAPL</v>
    <v>APPLE INC. (XNAS:AAPL)</v>
    <v>4008932</v>
    <v>65119380</v>
    <v>1977</v>
  </rv>
  <rv s="2">
    <v>1</v>
  </rv>
  <rv s="3">
    <v>5</v>
    <v>AAPL</v>
    <v>Daily</v>
    <v>44655</v>
    <v>44655</v>
    <v>0</v>
    <v>1</v>
    <v>637846272000000000,638162118309679639,0</v>
    <v>0</v>
    <v>a1mou2</v>
    <v>XNAS:AAPL</v>
    <v>1</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10</v>
      <v>1</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0" formatCode="General"/>
    </x:dxf>
    <x:dxf>
      <x:numFmt numFmtId="19" formatCode="dd/mm/yyyy"/>
    </x:dxf>
  </dxfs>
  <richProperties>
    <rPr n="NumberFormat" t="s"/>
    <rPr n="IsTitleField" t="b"/>
  </richProperties>
  <richStyles>
    <rSty dxfid="6">
      <rpv i="0">_([$$-en-US]* #,##0.00_);_([$$-en-US]* (#,##0.00);_([$$-en-US]* "-"??_);_(@_)</rpv>
    </rSty>
    <rSty dxfid="4">
      <rpv i="0">#,##0.00</rpv>
    </rSty>
    <rSty>
      <rpv i="1">1</rpv>
    </rSty>
    <rSty dxfid="3">
      <rpv i="0">#,##0</rpv>
    </rSty>
    <rSty dxfid="2"/>
    <rSty dxfid="6">
      <rpv i="0">_([$$-en-US]* #,##0_);_([$$-en-US]* (#,##0);_([$$-en-US]* "-"_);_(@_)</rpv>
    </rSty>
    <rSty dxfid="1"/>
    <rSty dxfid="5">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14E-7AEB-4DC1-8402-C22F300A3725}">
  <sheetPr codeName="Sheet1">
    <pageSetUpPr fitToPage="1"/>
  </sheetPr>
  <dimension ref="A1:AA62"/>
  <sheetViews>
    <sheetView tabSelected="1" zoomScale="115" zoomScaleNormal="115" workbookViewId="0">
      <selection activeCell="P6" sqref="P6"/>
    </sheetView>
  </sheetViews>
  <sheetFormatPr defaultRowHeight="12" x14ac:dyDescent="0.25"/>
  <cols>
    <col min="1" max="1" width="2.7109375" style="1" customWidth="1"/>
    <col min="2" max="2" width="9.140625" style="1" customWidth="1"/>
    <col min="3" max="3" width="9.140625" style="1"/>
    <col min="4" max="4" width="18.140625" style="1" bestFit="1" customWidth="1"/>
    <col min="5" max="5" width="13.28515625" style="1" bestFit="1" customWidth="1"/>
    <col min="6" max="11" width="9.140625" style="1"/>
    <col min="12" max="13" width="10.140625" style="1" bestFit="1" customWidth="1"/>
    <col min="14" max="14" width="10" style="1" customWidth="1"/>
    <col min="15" max="15" width="10.140625" style="1" bestFit="1" customWidth="1"/>
    <col min="16" max="16" width="9.140625" style="1"/>
    <col min="17" max="17" width="14.42578125" style="1" customWidth="1"/>
    <col min="18" max="18" width="9.140625" style="1"/>
    <col min="19" max="19" width="9.85546875" style="1" bestFit="1" customWidth="1"/>
    <col min="20" max="20" width="9.140625" style="1"/>
    <col min="21" max="21" width="12.28515625" style="1" bestFit="1" customWidth="1"/>
    <col min="22" max="16384" width="9.140625" style="1"/>
  </cols>
  <sheetData>
    <row r="1" spans="1:26" ht="15" customHeight="1" x14ac:dyDescent="0.25"/>
    <row r="2" spans="1:26" ht="15" customHeight="1" x14ac:dyDescent="0.25">
      <c r="B2" s="126" t="s">
        <v>145</v>
      </c>
      <c r="C2" s="126"/>
      <c r="D2" s="127" t="e" vm="1">
        <v>#VALUE!</v>
      </c>
      <c r="E2" s="128"/>
      <c r="F2" s="129"/>
    </row>
    <row r="3" spans="1:26" ht="15" customHeight="1" x14ac:dyDescent="0.25"/>
    <row r="4" spans="1:26" ht="15" customHeight="1" x14ac:dyDescent="0.25">
      <c r="B4" s="126" t="s">
        <v>4</v>
      </c>
      <c r="C4" s="126"/>
      <c r="D4" s="126"/>
      <c r="E4" s="94"/>
      <c r="F4" s="86"/>
      <c r="G4" s="95"/>
      <c r="H4" s="95"/>
      <c r="I4" s="95"/>
      <c r="J4" s="95"/>
      <c r="K4" s="95"/>
      <c r="L4" s="95"/>
      <c r="M4" s="43"/>
      <c r="P4" s="43"/>
      <c r="Q4" s="43"/>
      <c r="R4" s="43"/>
      <c r="S4" s="43"/>
      <c r="T4" s="43"/>
      <c r="U4" s="43"/>
    </row>
    <row r="5" spans="1:26" ht="15" customHeight="1" x14ac:dyDescent="0.25">
      <c r="B5" s="107"/>
      <c r="C5" s="107"/>
      <c r="D5" s="88" t="s">
        <v>484</v>
      </c>
      <c r="E5" s="107" t="s">
        <v>485</v>
      </c>
      <c r="F5" s="107"/>
      <c r="G5" s="107" t="s">
        <v>486</v>
      </c>
      <c r="H5" s="107"/>
      <c r="I5" s="107" t="s">
        <v>487</v>
      </c>
      <c r="J5" s="107"/>
      <c r="K5" s="107" t="s">
        <v>488</v>
      </c>
      <c r="L5" s="107"/>
      <c r="M5" s="53"/>
      <c r="N5" s="50"/>
      <c r="O5" s="50"/>
      <c r="P5" s="50" t="s">
        <v>491</v>
      </c>
      <c r="Q5" s="53"/>
      <c r="R5" s="115"/>
      <c r="S5" s="115"/>
      <c r="T5" s="115"/>
      <c r="U5" s="53"/>
    </row>
    <row r="6" spans="1:26" ht="15" customHeight="1" x14ac:dyDescent="0.25">
      <c r="B6" s="122" t="s">
        <v>0</v>
      </c>
      <c r="C6" s="122"/>
      <c r="D6" s="101">
        <v>0.15</v>
      </c>
      <c r="E6" s="116">
        <v>0.12</v>
      </c>
      <c r="F6" s="117"/>
      <c r="G6" s="116">
        <v>0.09</v>
      </c>
      <c r="H6" s="117"/>
      <c r="I6" s="116">
        <v>7.0000000000000007E-2</v>
      </c>
      <c r="J6" s="117"/>
      <c r="K6" s="116">
        <v>0.05</v>
      </c>
      <c r="L6" s="117"/>
      <c r="M6" s="53"/>
      <c r="N6" s="99" t="s">
        <v>489</v>
      </c>
      <c r="O6" s="104">
        <v>4</v>
      </c>
      <c r="P6" s="100" cm="1">
        <f t="array" ref="P6">_xlfn.SWITCH(O6,1,K6,2,I6,3,G6,4,E6,5,D6)</f>
        <v>0.12</v>
      </c>
      <c r="Q6" s="53"/>
      <c r="R6" s="115"/>
      <c r="S6" s="115"/>
      <c r="T6" s="115"/>
      <c r="U6" s="53"/>
    </row>
    <row r="7" spans="1:26" ht="15" customHeight="1" x14ac:dyDescent="0.25">
      <c r="B7" s="121" t="s">
        <v>1</v>
      </c>
      <c r="C7" s="121"/>
      <c r="D7" s="101">
        <v>0.31</v>
      </c>
      <c r="E7" s="116">
        <v>0.27</v>
      </c>
      <c r="F7" s="117"/>
      <c r="G7" s="116">
        <v>0.25</v>
      </c>
      <c r="H7" s="117"/>
      <c r="I7" s="116">
        <v>0.22</v>
      </c>
      <c r="J7" s="117"/>
      <c r="K7" s="116">
        <v>0.19</v>
      </c>
      <c r="L7" s="117"/>
      <c r="M7" s="53"/>
      <c r="N7" s="99" t="s">
        <v>489</v>
      </c>
      <c r="O7" s="104">
        <v>4</v>
      </c>
      <c r="P7" s="100" cm="1">
        <f t="array" ref="P7">_xlfn.SWITCH(O7,1,K7,2,I7,3,G7,4,E7,5,D7)</f>
        <v>0.27</v>
      </c>
      <c r="Q7" s="53"/>
      <c r="R7" s="115"/>
      <c r="S7" s="115"/>
      <c r="T7" s="115"/>
      <c r="U7" s="53"/>
    </row>
    <row r="8" spans="1:26" ht="15" customHeight="1" x14ac:dyDescent="0.2">
      <c r="B8" s="142" t="s">
        <v>2</v>
      </c>
      <c r="C8" s="142"/>
      <c r="D8" s="102">
        <v>5</v>
      </c>
      <c r="M8" s="115"/>
      <c r="N8" s="115"/>
      <c r="O8" s="85"/>
      <c r="P8" s="100"/>
      <c r="Q8" s="96"/>
      <c r="R8" s="115"/>
      <c r="S8" s="115"/>
      <c r="T8" s="115"/>
      <c r="U8" s="53"/>
    </row>
    <row r="9" spans="1:26" ht="15" customHeight="1" x14ac:dyDescent="0.2">
      <c r="B9" s="108" t="s">
        <v>12</v>
      </c>
      <c r="C9" s="109"/>
      <c r="D9" s="103">
        <v>5.5E-2</v>
      </c>
      <c r="E9" s="110">
        <v>0.06</v>
      </c>
      <c r="F9" s="111"/>
      <c r="G9" s="110">
        <v>6.5000000000000002E-2</v>
      </c>
      <c r="H9" s="111"/>
      <c r="I9" s="110">
        <v>7.4999999999999997E-2</v>
      </c>
      <c r="J9" s="111"/>
      <c r="K9" s="110">
        <v>8.5000000000000006E-2</v>
      </c>
      <c r="L9" s="111"/>
      <c r="N9" s="99" t="s">
        <v>489</v>
      </c>
      <c r="O9" s="105">
        <v>3</v>
      </c>
      <c r="P9" s="100" cm="1">
        <f t="array" ref="P9">_xlfn.SWITCH(O9,1,K9,2,I9,3,G9,4,E9,5,D9)</f>
        <v>6.5000000000000002E-2</v>
      </c>
      <c r="Q9" s="23"/>
      <c r="U9" s="53"/>
    </row>
    <row r="10" spans="1:26" ht="15" customHeight="1" x14ac:dyDescent="0.2">
      <c r="O10" s="97"/>
      <c r="P10" s="98"/>
      <c r="Q10" s="23"/>
      <c r="U10" s="53"/>
    </row>
    <row r="11" spans="1:26" ht="15" customHeight="1" x14ac:dyDescent="0.2">
      <c r="B11" s="86" t="s">
        <v>490</v>
      </c>
      <c r="C11" s="94"/>
      <c r="D11" s="94"/>
      <c r="O11" s="97"/>
      <c r="P11" s="98"/>
      <c r="Q11" s="23"/>
      <c r="U11" s="53"/>
    </row>
    <row r="12" spans="1:26" ht="15" customHeight="1" x14ac:dyDescent="0.2">
      <c r="B12" s="121" t="s">
        <v>3</v>
      </c>
      <c r="C12" s="121"/>
      <c r="D12" s="166">
        <v>1.75</v>
      </c>
      <c r="I12" s="53"/>
      <c r="M12" s="115"/>
      <c r="N12" s="115"/>
      <c r="O12" s="97"/>
      <c r="P12" s="98"/>
      <c r="Q12" s="23"/>
      <c r="U12" s="53"/>
    </row>
    <row r="13" spans="1:26" ht="15" customHeight="1" x14ac:dyDescent="0.2">
      <c r="B13" s="108" t="s">
        <v>24</v>
      </c>
      <c r="C13" s="109"/>
      <c r="D13" s="106">
        <v>0.16500000000000001</v>
      </c>
      <c r="E13" s="23"/>
      <c r="I13" s="53"/>
      <c r="O13" s="97"/>
      <c r="P13" s="98"/>
      <c r="Q13" s="23"/>
      <c r="U13" s="53"/>
    </row>
    <row r="14" spans="1:26" ht="15" customHeight="1" thickBo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 customHeight="1" thickTop="1" x14ac:dyDescent="0.25"/>
    <row r="16" spans="1:26" ht="15" customHeight="1" x14ac:dyDescent="0.25">
      <c r="B16" s="126" t="s">
        <v>8</v>
      </c>
      <c r="C16" s="126"/>
      <c r="D16" s="126"/>
      <c r="F16" s="151" t="str" cm="1">
        <f t="array" ref="F16">_FV(D2,"Description")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G16" s="151"/>
      <c r="H16" s="151"/>
      <c r="I16" s="151"/>
      <c r="J16" s="151"/>
      <c r="K16" s="151"/>
      <c r="L16" s="151"/>
      <c r="N16" s="60"/>
      <c r="O16" s="43"/>
      <c r="P16" s="43"/>
      <c r="Q16" s="43"/>
      <c r="S16" s="60"/>
      <c r="T16" s="43"/>
      <c r="U16" s="43"/>
      <c r="V16" s="43"/>
    </row>
    <row r="17" spans="1:27" ht="15" customHeight="1" x14ac:dyDescent="0.25">
      <c r="B17" s="121" t="s">
        <v>9</v>
      </c>
      <c r="C17" s="121"/>
      <c r="D17" s="44" t="str" cm="1">
        <f t="array" ref="D17">_FV(D2,"Official name",TRUE)</f>
        <v>APPLE INC.</v>
      </c>
      <c r="F17" s="151"/>
      <c r="G17" s="151"/>
      <c r="H17" s="151"/>
      <c r="I17" s="151"/>
      <c r="J17" s="151"/>
      <c r="K17" s="151"/>
      <c r="L17" s="151"/>
      <c r="N17" s="115"/>
      <c r="O17" s="115"/>
      <c r="P17" s="115"/>
      <c r="S17" s="115"/>
      <c r="T17" s="115"/>
      <c r="U17" s="115"/>
      <c r="V17" s="61"/>
    </row>
    <row r="18" spans="1:27" ht="15" customHeight="1" x14ac:dyDescent="0.25">
      <c r="B18" s="121" t="s">
        <v>10</v>
      </c>
      <c r="C18" s="121"/>
      <c r="D18" s="29" t="str" cm="1">
        <f t="array" ref="D18">_FV(D2,"Ticker symbol",TRUE)</f>
        <v>AAPL</v>
      </c>
      <c r="F18" s="151"/>
      <c r="G18" s="151"/>
      <c r="H18" s="151"/>
      <c r="I18" s="151"/>
      <c r="J18" s="151"/>
      <c r="K18" s="151"/>
      <c r="L18" s="151"/>
      <c r="N18" s="115"/>
      <c r="O18" s="115"/>
      <c r="P18" s="115"/>
      <c r="Q18" s="62"/>
      <c r="S18" s="115"/>
      <c r="T18" s="115"/>
      <c r="U18" s="115"/>
      <c r="V18" s="62"/>
    </row>
    <row r="19" spans="1:27" ht="15" customHeight="1" x14ac:dyDescent="0.25">
      <c r="B19" s="121" t="s">
        <v>11</v>
      </c>
      <c r="C19" s="121"/>
      <c r="D19" s="30" cm="1">
        <f t="array" ref="D19">_FV(D2,"Price")</f>
        <v>165.59</v>
      </c>
      <c r="F19" s="151"/>
      <c r="G19" s="151"/>
      <c r="H19" s="151"/>
      <c r="I19" s="151"/>
      <c r="J19" s="151"/>
      <c r="K19" s="151"/>
      <c r="L19" s="151"/>
      <c r="N19" s="115"/>
      <c r="O19" s="115"/>
      <c r="P19" s="115"/>
      <c r="S19" s="115"/>
      <c r="T19" s="115"/>
      <c r="U19" s="115"/>
    </row>
    <row r="20" spans="1:27" ht="15" customHeight="1" x14ac:dyDescent="0.25">
      <c r="B20" s="121" t="s">
        <v>170</v>
      </c>
      <c r="C20" s="121"/>
      <c r="D20" s="31" cm="1">
        <f t="array" ref="D20">_FV(D2,"Market cap",TRUE)</f>
        <v>2619956700500</v>
      </c>
      <c r="F20" s="151"/>
      <c r="G20" s="151"/>
      <c r="H20" s="151"/>
      <c r="I20" s="151"/>
      <c r="J20" s="151"/>
      <c r="K20" s="151"/>
      <c r="L20" s="151"/>
      <c r="N20" s="115"/>
      <c r="O20" s="115"/>
      <c r="P20" s="115"/>
      <c r="S20" s="115"/>
      <c r="T20" s="115"/>
      <c r="U20" s="115"/>
    </row>
    <row r="21" spans="1:27" ht="15" customHeight="1" x14ac:dyDescent="0.25">
      <c r="B21" s="108" t="s">
        <v>28</v>
      </c>
      <c r="C21" s="119"/>
      <c r="D21" s="32">
        <f>'Helper Data'!N18</f>
        <v>6.0407999601378097E-2</v>
      </c>
      <c r="E21" s="11"/>
      <c r="F21" s="151"/>
      <c r="G21" s="151"/>
      <c r="H21" s="151"/>
      <c r="I21" s="151"/>
      <c r="J21" s="151"/>
      <c r="K21" s="151"/>
      <c r="L21" s="151"/>
      <c r="N21" s="115"/>
      <c r="O21" s="115"/>
      <c r="P21" s="115"/>
      <c r="Q21" s="63"/>
      <c r="S21" s="115"/>
      <c r="T21" s="115"/>
      <c r="U21" s="115"/>
      <c r="V21" s="63"/>
    </row>
    <row r="22" spans="1:27" ht="15" customHeight="1" x14ac:dyDescent="0.25">
      <c r="B22" s="14" t="s">
        <v>146</v>
      </c>
      <c r="C22" s="22"/>
      <c r="D22" s="34" cm="1">
        <f t="array" aca="1" ref="D22" ca="1">(D19-_xlfn.STOCKHISTORY(D18,TODAY()-365,,0,0,1))/_xlfn.STOCKHISTORY(D18,TODAY()-365,,0,0,1)</f>
        <v>-7.2013001569154869E-2</v>
      </c>
      <c r="E22" s="11"/>
      <c r="F22" s="151"/>
      <c r="G22" s="151"/>
      <c r="H22" s="151"/>
      <c r="I22" s="151"/>
      <c r="J22" s="151"/>
      <c r="K22" s="151"/>
      <c r="L22" s="151"/>
      <c r="N22" s="115"/>
      <c r="O22" s="115"/>
      <c r="P22" s="115"/>
      <c r="S22" s="115"/>
      <c r="T22" s="115"/>
      <c r="U22" s="115"/>
    </row>
    <row r="23" spans="1:27" ht="15" customHeight="1" x14ac:dyDescent="0.25">
      <c r="B23" s="14" t="s">
        <v>147</v>
      </c>
      <c r="C23" s="22"/>
      <c r="D23" s="33" cm="1">
        <f t="array" ref="D23">_FV(D2,"Shares outstanding",TRUE)</f>
        <v>15821950000</v>
      </c>
      <c r="E23" s="11"/>
      <c r="F23" s="151"/>
      <c r="G23" s="151"/>
      <c r="H23" s="151"/>
      <c r="I23" s="151"/>
      <c r="J23" s="151"/>
      <c r="K23" s="151"/>
      <c r="L23" s="151"/>
      <c r="N23" s="115"/>
      <c r="O23" s="115"/>
      <c r="P23" s="115"/>
      <c r="S23" s="115"/>
      <c r="T23" s="115"/>
      <c r="U23" s="115"/>
    </row>
    <row r="24" spans="1:27" ht="15" customHeight="1" x14ac:dyDescent="0.25">
      <c r="B24" s="11"/>
      <c r="C24" s="11"/>
      <c r="D24" s="11"/>
      <c r="E24" s="11"/>
      <c r="F24" s="151"/>
      <c r="G24" s="151"/>
      <c r="H24" s="151"/>
      <c r="I24" s="151"/>
      <c r="J24" s="151"/>
      <c r="K24" s="151"/>
      <c r="L24" s="151"/>
      <c r="N24" s="115"/>
      <c r="O24" s="115"/>
      <c r="P24" s="115"/>
      <c r="S24" s="115"/>
      <c r="T24" s="115"/>
      <c r="U24" s="115"/>
    </row>
    <row r="25" spans="1:27" ht="15" customHeight="1" thickBo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7" ht="15" customHeight="1" thickTop="1" x14ac:dyDescent="0.25">
      <c r="D26" s="46"/>
      <c r="E26" s="45"/>
      <c r="F26" s="45">
        <f t="shared" ref="F26:N26" si="0">F29/G29-1</f>
        <v>0.33259384733074704</v>
      </c>
      <c r="G26" s="45">
        <f t="shared" si="0"/>
        <v>5.5120803769784787E-2</v>
      </c>
      <c r="H26" s="45">
        <f t="shared" si="0"/>
        <v>-2.04107758052674E-2</v>
      </c>
      <c r="I26" s="45">
        <f t="shared" si="0"/>
        <v>0.15861957650261305</v>
      </c>
      <c r="J26" s="45">
        <f t="shared" si="0"/>
        <v>6.304518199398057E-2</v>
      </c>
      <c r="K26" s="45">
        <f t="shared" si="0"/>
        <v>-7.7342061913013738E-2</v>
      </c>
      <c r="L26" s="45">
        <f t="shared" si="0"/>
        <v>0.27856341803659834</v>
      </c>
      <c r="M26" s="45">
        <f t="shared" si="0"/>
        <v>6.9539523725937524E-2</v>
      </c>
      <c r="N26" s="45">
        <f t="shared" si="0"/>
        <v>9.2020855163953197E-2</v>
      </c>
      <c r="O26" s="45">
        <f>O29/P29-1</f>
        <v>0.44581474193756976</v>
      </c>
    </row>
    <row r="27" spans="1:27" ht="15" customHeight="1" x14ac:dyDescent="0.25">
      <c r="B27" s="20" t="s">
        <v>14</v>
      </c>
      <c r="C27" s="21"/>
      <c r="D27" s="21"/>
      <c r="E27" s="21"/>
      <c r="F27" s="21"/>
      <c r="G27" s="21"/>
      <c r="H27" s="21"/>
      <c r="I27" s="21"/>
      <c r="J27" s="21"/>
      <c r="K27" s="21"/>
      <c r="L27" s="21"/>
      <c r="M27" s="21"/>
      <c r="N27" s="21"/>
      <c r="O27" s="21"/>
      <c r="P27" s="21"/>
      <c r="R27" s="155" t="s">
        <v>148</v>
      </c>
      <c r="S27" s="155"/>
      <c r="T27" s="155"/>
      <c r="U27" s="155"/>
      <c r="W27" s="152" t="s">
        <v>417</v>
      </c>
      <c r="X27" s="153"/>
      <c r="Y27" s="153"/>
      <c r="Z27" s="154"/>
      <c r="AA27" s="87"/>
    </row>
    <row r="28" spans="1:27" ht="15" customHeight="1" x14ac:dyDescent="0.25">
      <c r="B28" s="148"/>
      <c r="C28" s="149"/>
      <c r="D28" s="150"/>
      <c r="E28" s="12" t="str">
        <f>'Financial Statements'!B2</f>
        <v>TTM</v>
      </c>
      <c r="F28" s="12">
        <f>YEAR('Financial Statements'!C2)</f>
        <v>2021</v>
      </c>
      <c r="G28" s="12">
        <f>YEAR('Financial Statements'!D2)</f>
        <v>2020</v>
      </c>
      <c r="H28" s="12">
        <f>YEAR('Financial Statements'!E2)</f>
        <v>2019</v>
      </c>
      <c r="I28" s="12">
        <f>YEAR('Financial Statements'!F2)</f>
        <v>2018</v>
      </c>
      <c r="J28" s="12">
        <f>YEAR('Financial Statements'!G2)</f>
        <v>2017</v>
      </c>
      <c r="K28" s="12">
        <f>YEAR('Financial Statements'!H2)</f>
        <v>2016</v>
      </c>
      <c r="L28" s="12">
        <f>YEAR('Financial Statements'!I2)</f>
        <v>2015</v>
      </c>
      <c r="M28" s="12">
        <f>YEAR('Financial Statements'!J2)</f>
        <v>2014</v>
      </c>
      <c r="N28" s="12">
        <f>YEAR('Financial Statements'!K2)</f>
        <v>2013</v>
      </c>
      <c r="O28" s="12">
        <f>YEAR('Financial Statements'!L2)</f>
        <v>2012</v>
      </c>
      <c r="P28" s="12">
        <f>YEAR('Financial Statements'!M2)</f>
        <v>2011</v>
      </c>
      <c r="R28" s="156" t="s">
        <v>149</v>
      </c>
      <c r="S28" s="157"/>
      <c r="T28" s="158"/>
      <c r="U28" s="51" t="str">
        <f>IF(D20&gt;5000000000,"Large","Small")</f>
        <v>Large</v>
      </c>
      <c r="W28" s="112" t="s">
        <v>419</v>
      </c>
      <c r="X28" s="113"/>
      <c r="Y28" s="113"/>
      <c r="Z28" s="114"/>
      <c r="AA28" s="50"/>
    </row>
    <row r="29" spans="1:27" ht="15" customHeight="1" x14ac:dyDescent="0.25">
      <c r="B29" s="120" t="s">
        <v>15</v>
      </c>
      <c r="C29" s="121"/>
      <c r="D29" s="121"/>
      <c r="E29" s="16">
        <f>'Financial Statements'!B3</f>
        <v>378323000000</v>
      </c>
      <c r="F29" s="16">
        <f>'Financial Statements'!C3</f>
        <v>365817000000</v>
      </c>
      <c r="G29" s="16">
        <f>'Financial Statements'!D3</f>
        <v>274515000000</v>
      </c>
      <c r="H29" s="16">
        <f>'Financial Statements'!E3</f>
        <v>260174000000</v>
      </c>
      <c r="I29" s="16">
        <f>'Financial Statements'!F3</f>
        <v>265595000000</v>
      </c>
      <c r="J29" s="16">
        <f>'Financial Statements'!G3</f>
        <v>229234000000</v>
      </c>
      <c r="K29" s="16">
        <f>'Financial Statements'!H3</f>
        <v>215639000000</v>
      </c>
      <c r="L29" s="16">
        <f>'Financial Statements'!I3</f>
        <v>233715000000</v>
      </c>
      <c r="M29" s="16">
        <f>'Financial Statements'!J3</f>
        <v>182795000000</v>
      </c>
      <c r="N29" s="16">
        <f>'Financial Statements'!K3</f>
        <v>170910000000</v>
      </c>
      <c r="O29" s="16">
        <f>'Financial Statements'!L3</f>
        <v>156508000000</v>
      </c>
      <c r="P29" s="36">
        <f>'Financial Statements'!M3</f>
        <v>108249000000</v>
      </c>
      <c r="R29" s="159" t="s">
        <v>169</v>
      </c>
      <c r="S29" s="160"/>
      <c r="T29" s="161"/>
      <c r="U29" s="47">
        <f>IF('Financial Statements'!B15=0,100,IF('Financial Statements'!B12&lt;0,0,'Financial Statements'!B12/'Financial Statements'!B15))</f>
        <v>43.281377267678636</v>
      </c>
      <c r="W29" s="118" t="s">
        <v>420</v>
      </c>
      <c r="X29" s="119"/>
      <c r="Y29" s="109"/>
      <c r="Z29" s="89">
        <f>'Financial Statements'!B44/'Financial Statements'!B55</f>
        <v>1.0378115386179136</v>
      </c>
      <c r="AA29" s="50"/>
    </row>
    <row r="30" spans="1:27" ht="15" customHeight="1" x14ac:dyDescent="0.25">
      <c r="B30" s="120" t="s">
        <v>16</v>
      </c>
      <c r="C30" s="121"/>
      <c r="D30" s="121"/>
      <c r="E30" s="16">
        <f>'Financial Statements'!B12</f>
        <v>116903000000</v>
      </c>
      <c r="F30" s="16">
        <f>'Financial Statements'!C12</f>
        <v>108949000000</v>
      </c>
      <c r="G30" s="16">
        <f>'Financial Statements'!D12</f>
        <v>66288000000</v>
      </c>
      <c r="H30" s="16">
        <f>'Financial Statements'!E12</f>
        <v>63930000000</v>
      </c>
      <c r="I30" s="16">
        <f>'Financial Statements'!F12</f>
        <v>70898000000</v>
      </c>
      <c r="J30" s="16">
        <f>'Financial Statements'!G12</f>
        <v>61344000000</v>
      </c>
      <c r="K30" s="16">
        <f>'Financial Statements'!H12</f>
        <v>60024000000</v>
      </c>
      <c r="L30" s="16">
        <f>'Financial Statements'!I12</f>
        <v>71230000000</v>
      </c>
      <c r="M30" s="16">
        <f>'Financial Statements'!J12</f>
        <v>52503000000</v>
      </c>
      <c r="N30" s="16">
        <f>'Financial Statements'!K12</f>
        <v>48999000000</v>
      </c>
      <c r="O30" s="16">
        <f>'Financial Statements'!L12</f>
        <v>55241000000</v>
      </c>
      <c r="P30" s="36">
        <f>'Financial Statements'!M12</f>
        <v>33790000000</v>
      </c>
      <c r="R30" s="162" t="s">
        <v>171</v>
      </c>
      <c r="S30" s="163"/>
      <c r="T30" s="164"/>
      <c r="U30" s="52" t="str">
        <f>IF(U28="Large",VLOOKUP(U29,'Helper Data'!A3:F17,5),IF(U28="Small", VLOOKUP(U29,'Helper Data'!C3:F17,3), 0))</f>
        <v>Aaa/AAA</v>
      </c>
      <c r="W30" s="118" t="s">
        <v>421</v>
      </c>
      <c r="X30" s="119"/>
      <c r="Y30" s="109"/>
      <c r="Z30" s="89">
        <f>('Financial Statements'!B44-'Financial Statements'!B42)/'Financial Statements'!B55</f>
        <v>0.99799422662528625</v>
      </c>
      <c r="AA30" s="50"/>
    </row>
    <row r="31" spans="1:27" ht="15" customHeight="1" x14ac:dyDescent="0.25">
      <c r="B31" s="120" t="s">
        <v>17</v>
      </c>
      <c r="C31" s="121"/>
      <c r="D31" s="121"/>
      <c r="E31" s="15">
        <f>'Financial Statements'!B13</f>
        <v>0.30580000000000002</v>
      </c>
      <c r="F31" s="15">
        <f>'Financial Statements'!C13</f>
        <v>0.29780000000000001</v>
      </c>
      <c r="G31" s="15">
        <f>'Financial Statements'!D13</f>
        <v>0.24149999999999999</v>
      </c>
      <c r="H31" s="15">
        <f>'Financial Statements'!E13</f>
        <v>0.2457</v>
      </c>
      <c r="I31" s="15">
        <f>'Financial Statements'!F13</f>
        <v>0.26690000000000003</v>
      </c>
      <c r="J31" s="15">
        <f>'Financial Statements'!G13</f>
        <v>0.2676</v>
      </c>
      <c r="K31" s="15">
        <f>'Financial Statements'!H13</f>
        <v>0.27839999999999998</v>
      </c>
      <c r="L31" s="15">
        <f>'Financial Statements'!I13</f>
        <v>0.30480000000000002</v>
      </c>
      <c r="M31" s="15">
        <f>'Financial Statements'!J13</f>
        <v>0.28720000000000001</v>
      </c>
      <c r="N31" s="15">
        <f>'Financial Statements'!K13</f>
        <v>0.28670000000000001</v>
      </c>
      <c r="O31" s="15">
        <f>'Financial Statements'!L13</f>
        <v>0.35299999999999998</v>
      </c>
      <c r="P31" s="37">
        <f>'Financial Statements'!M13</f>
        <v>0.31219999999999998</v>
      </c>
      <c r="R31" s="115"/>
      <c r="S31" s="115"/>
      <c r="T31" s="115"/>
      <c r="U31" s="53"/>
      <c r="W31" s="112" t="s">
        <v>422</v>
      </c>
      <c r="X31" s="113"/>
      <c r="Y31" s="113"/>
      <c r="Z31" s="114"/>
      <c r="AA31" s="50"/>
    </row>
    <row r="32" spans="1:27" ht="15" customHeight="1" x14ac:dyDescent="0.25">
      <c r="B32" s="120" t="s">
        <v>18</v>
      </c>
      <c r="C32" s="121"/>
      <c r="D32" s="121"/>
      <c r="E32" s="15">
        <f>'Financial Statements'!B20</f>
        <v>0.1351</v>
      </c>
      <c r="F32" s="15">
        <f>'Financial Statements'!C20</f>
        <v>0.13300000000000001</v>
      </c>
      <c r="G32" s="15">
        <f>'Financial Statements'!D20</f>
        <v>0.14430000000000001</v>
      </c>
      <c r="H32" s="15">
        <f>'Financial Statements'!E20</f>
        <v>0.15939999999999999</v>
      </c>
      <c r="I32" s="15">
        <f>'Financial Statements'!F20</f>
        <v>0.18340000000000001</v>
      </c>
      <c r="J32" s="15">
        <f>'Financial Statements'!G20</f>
        <v>0.24560000000000001</v>
      </c>
      <c r="K32" s="15">
        <f>'Financial Statements'!H20</f>
        <v>0.25559999999999999</v>
      </c>
      <c r="L32" s="15">
        <f>'Financial Statements'!I20</f>
        <v>0.26369999999999999</v>
      </c>
      <c r="M32" s="15">
        <f>'Financial Statements'!J20</f>
        <v>0.26129999999999998</v>
      </c>
      <c r="N32" s="15">
        <f>'Financial Statements'!K20</f>
        <v>0.26150000000000001</v>
      </c>
      <c r="O32" s="15">
        <f>'Financial Statements'!L20</f>
        <v>0.25159999999999999</v>
      </c>
      <c r="P32" s="37">
        <f>'Financial Statements'!M20</f>
        <v>0.2422</v>
      </c>
      <c r="R32" s="20" t="s">
        <v>32</v>
      </c>
      <c r="S32" s="20"/>
      <c r="T32" s="20"/>
      <c r="U32" s="54"/>
      <c r="W32" s="118" t="s">
        <v>423</v>
      </c>
      <c r="X32" s="119"/>
      <c r="Y32" s="109"/>
      <c r="Z32" s="89">
        <f>'Financial Statements'!B12/'Financial Statements'!B15</f>
        <v>43.281377267678636</v>
      </c>
      <c r="AA32" s="50"/>
    </row>
    <row r="33" spans="2:27" ht="15" customHeight="1" x14ac:dyDescent="0.25">
      <c r="B33" s="120" t="s">
        <v>19</v>
      </c>
      <c r="C33" s="121"/>
      <c r="D33" s="121"/>
      <c r="E33" s="16">
        <f>'Financial Statements'!B74</f>
        <v>71932000000</v>
      </c>
      <c r="F33" s="16">
        <f>'Financial Statements'!C74</f>
        <v>63090000000</v>
      </c>
      <c r="G33" s="16">
        <f>'Financial Statements'!D74</f>
        <v>65339000000</v>
      </c>
      <c r="H33" s="16">
        <f>'Financial Statements'!E74</f>
        <v>90488000000</v>
      </c>
      <c r="I33" s="16">
        <f>'Financial Statements'!F74</f>
        <v>107147000000</v>
      </c>
      <c r="J33" s="16">
        <f>'Financial Statements'!G74</f>
        <v>134047000000</v>
      </c>
      <c r="K33" s="16">
        <f>'Financial Statements'!H74</f>
        <v>128249000000</v>
      </c>
      <c r="L33" s="16">
        <f>'Financial Statements'!I74</f>
        <v>119355000000</v>
      </c>
      <c r="M33" s="16">
        <f>'Financial Statements'!J74</f>
        <v>111547000000</v>
      </c>
      <c r="N33" s="16">
        <f>'Financial Statements'!K74</f>
        <v>123549000000</v>
      </c>
      <c r="O33" s="16">
        <f>'Financial Statements'!L74</f>
        <v>118210000000</v>
      </c>
      <c r="P33" s="36">
        <f>'Financial Statements'!M74</f>
        <v>76615000000</v>
      </c>
      <c r="R33" s="130" t="s">
        <v>199</v>
      </c>
      <c r="S33" s="131"/>
      <c r="T33" s="132"/>
      <c r="U33" s="55">
        <f>P47</f>
        <v>154209033568.18408</v>
      </c>
      <c r="W33" s="112" t="s">
        <v>424</v>
      </c>
      <c r="X33" s="113"/>
      <c r="Y33" s="113"/>
      <c r="Z33" s="114"/>
      <c r="AA33" s="50"/>
    </row>
    <row r="34" spans="2:27" ht="15" customHeight="1" x14ac:dyDescent="0.25">
      <c r="B34" s="120" t="s">
        <v>20</v>
      </c>
      <c r="C34" s="121"/>
      <c r="D34" s="121"/>
      <c r="E34" s="16">
        <f>'Financial Statements'!B59</f>
        <v>122798000000</v>
      </c>
      <c r="F34" s="16">
        <f>'Financial Statements'!C59</f>
        <v>124719000000</v>
      </c>
      <c r="G34" s="16">
        <f>'Financial Statements'!D59</f>
        <v>112436000000</v>
      </c>
      <c r="H34" s="16">
        <f>'Financial Statements'!E59</f>
        <v>108047000000</v>
      </c>
      <c r="I34" s="16">
        <f>'Financial Statements'!F59</f>
        <v>114483000000</v>
      </c>
      <c r="J34" s="16">
        <f>'Financial Statements'!G59</f>
        <v>115680000000</v>
      </c>
      <c r="K34" s="16">
        <f>'Financial Statements'!H59</f>
        <v>87032000000</v>
      </c>
      <c r="L34" s="16">
        <f>'Financial Statements'!I59</f>
        <v>55976000000</v>
      </c>
      <c r="M34" s="16">
        <f>'Financial Statements'!J59</f>
        <v>64282000000</v>
      </c>
      <c r="N34" s="16">
        <f>'Financial Statements'!K59</f>
        <v>16960000000</v>
      </c>
      <c r="O34" s="16">
        <f>'Financial Statements'!L59</f>
        <v>0</v>
      </c>
      <c r="P34" s="36">
        <f>'Financial Statements'!M59</f>
        <v>0</v>
      </c>
      <c r="R34" s="13" t="s">
        <v>33</v>
      </c>
      <c r="S34" s="14"/>
      <c r="T34" s="14"/>
      <c r="U34" s="56">
        <f>P50</f>
        <v>6.5000000000000002E-2</v>
      </c>
      <c r="W34" s="118" t="s">
        <v>425</v>
      </c>
      <c r="X34" s="119"/>
      <c r="Y34" s="109"/>
      <c r="Z34" s="89">
        <f>'Financial Statements'!B63/'Financial Statements'!B51</f>
        <v>0.81129669903014501</v>
      </c>
      <c r="AA34" s="50"/>
    </row>
    <row r="35" spans="2:27" ht="15" customHeight="1" x14ac:dyDescent="0.25">
      <c r="B35" s="120" t="s">
        <v>21</v>
      </c>
      <c r="C35" s="121"/>
      <c r="D35" s="121"/>
      <c r="E35" s="16">
        <f>'Financial Statements'!B40</f>
        <v>63913000000</v>
      </c>
      <c r="F35" s="16">
        <f>'Financial Statements'!C40</f>
        <v>62639000000</v>
      </c>
      <c r="G35" s="16">
        <f>'Financial Statements'!D40</f>
        <v>90943000000</v>
      </c>
      <c r="H35" s="16">
        <f>'Financial Statements'!E40</f>
        <v>100557000000</v>
      </c>
      <c r="I35" s="16">
        <f>'Financial Statements'!F40</f>
        <v>66301000000</v>
      </c>
      <c r="J35" s="16">
        <f>'Financial Statements'!G40</f>
        <v>74181000000</v>
      </c>
      <c r="K35" s="16">
        <f>'Financial Statements'!H40</f>
        <v>67155000000</v>
      </c>
      <c r="L35" s="16">
        <f>'Financial Statements'!I40</f>
        <v>41601000000</v>
      </c>
      <c r="M35" s="16">
        <f>'Financial Statements'!J40</f>
        <v>25077000000</v>
      </c>
      <c r="N35" s="16">
        <f>'Financial Statements'!K40</f>
        <v>40546000000</v>
      </c>
      <c r="O35" s="16">
        <f>'Financial Statements'!L40</f>
        <v>29129000000</v>
      </c>
      <c r="P35" s="36">
        <f>'Financial Statements'!M40</f>
        <v>25952000000</v>
      </c>
      <c r="R35" s="118" t="s">
        <v>34</v>
      </c>
      <c r="S35" s="119"/>
      <c r="T35" s="109"/>
      <c r="U35" s="57">
        <f>U33/(U34-'Helper Data'!I6)</f>
        <v>3309206728930.9888</v>
      </c>
      <c r="W35" s="118" t="s">
        <v>426</v>
      </c>
      <c r="X35" s="119"/>
      <c r="Y35" s="109"/>
      <c r="Z35" s="89">
        <f>'Financial Statements'!B63/('Financial Statements'!B51-'Financial Statements'!B63)</f>
        <v>4.2993243618973471</v>
      </c>
      <c r="AA35" s="50"/>
    </row>
    <row r="36" spans="2:27" ht="15" customHeight="1" x14ac:dyDescent="0.25">
      <c r="B36" s="120" t="s">
        <v>22</v>
      </c>
      <c r="C36" s="121"/>
      <c r="D36" s="121"/>
      <c r="E36" s="16">
        <f>E33+E34-E35</f>
        <v>130817000000</v>
      </c>
      <c r="F36" s="16">
        <f t="shared" ref="F36:P36" si="1">F33+F34-F35</f>
        <v>125170000000</v>
      </c>
      <c r="G36" s="16">
        <f t="shared" si="1"/>
        <v>86832000000</v>
      </c>
      <c r="H36" s="16">
        <f t="shared" si="1"/>
        <v>97978000000</v>
      </c>
      <c r="I36" s="16">
        <f t="shared" si="1"/>
        <v>155329000000</v>
      </c>
      <c r="J36" s="16">
        <f t="shared" si="1"/>
        <v>175546000000</v>
      </c>
      <c r="K36" s="16">
        <f t="shared" si="1"/>
        <v>148126000000</v>
      </c>
      <c r="L36" s="16">
        <f t="shared" si="1"/>
        <v>133730000000</v>
      </c>
      <c r="M36" s="16">
        <f t="shared" si="1"/>
        <v>150752000000</v>
      </c>
      <c r="N36" s="16">
        <f t="shared" si="1"/>
        <v>99963000000</v>
      </c>
      <c r="O36" s="16">
        <f t="shared" si="1"/>
        <v>89081000000</v>
      </c>
      <c r="P36" s="36">
        <f t="shared" si="1"/>
        <v>50663000000</v>
      </c>
      <c r="R36" s="118" t="s">
        <v>35</v>
      </c>
      <c r="S36" s="119"/>
      <c r="T36" s="109"/>
      <c r="U36" s="57">
        <f>U35*O51</f>
        <v>1762900581421.2625</v>
      </c>
      <c r="W36" s="112" t="s">
        <v>427</v>
      </c>
      <c r="X36" s="113"/>
      <c r="Y36" s="113"/>
      <c r="Z36" s="114"/>
      <c r="AA36" s="50"/>
    </row>
    <row r="37" spans="2:27" ht="15" customHeight="1" x14ac:dyDescent="0.25">
      <c r="B37" s="143" t="s">
        <v>3</v>
      </c>
      <c r="C37" s="144"/>
      <c r="D37" s="144"/>
      <c r="E37" s="17">
        <f>E29/E36</f>
        <v>2.8920018040468745</v>
      </c>
      <c r="F37" s="17">
        <f t="shared" ref="F37:P37" si="2">F29/F36</f>
        <v>2.9225613166094111</v>
      </c>
      <c r="G37" s="17">
        <f t="shared" si="2"/>
        <v>3.1614496959646212</v>
      </c>
      <c r="H37" s="17">
        <f t="shared" si="2"/>
        <v>2.6554328522729591</v>
      </c>
      <c r="I37" s="17">
        <f t="shared" si="2"/>
        <v>1.7098867564974989</v>
      </c>
      <c r="J37" s="17">
        <f t="shared" si="2"/>
        <v>1.3058343681997882</v>
      </c>
      <c r="K37" s="17">
        <f t="shared" si="2"/>
        <v>1.4557808892429418</v>
      </c>
      <c r="L37" s="17">
        <f t="shared" si="2"/>
        <v>1.7476632019741269</v>
      </c>
      <c r="M37" s="17">
        <f t="shared" si="2"/>
        <v>1.212554393971556</v>
      </c>
      <c r="N37" s="17">
        <f t="shared" si="2"/>
        <v>1.709732601062393</v>
      </c>
      <c r="O37" s="17">
        <f t="shared" si="2"/>
        <v>1.7569178612723251</v>
      </c>
      <c r="P37" s="42">
        <f t="shared" si="2"/>
        <v>2.1366480468981308</v>
      </c>
      <c r="R37" s="13" t="s">
        <v>36</v>
      </c>
      <c r="S37" s="14"/>
      <c r="T37" s="14"/>
      <c r="U37" s="57">
        <f>SUM(F52:P52)</f>
        <v>850192999884.427</v>
      </c>
      <c r="W37" s="118" t="s">
        <v>428</v>
      </c>
      <c r="X37" s="119"/>
      <c r="Y37" s="109"/>
      <c r="Z37" s="89">
        <f>'Financial Statements'!B80/'Financial Statements'!B3</f>
        <v>0.2657914004699688</v>
      </c>
      <c r="AA37" s="50"/>
    </row>
    <row r="38" spans="2:27" ht="15" customHeight="1" x14ac:dyDescent="0.25">
      <c r="R38" s="118" t="s">
        <v>37</v>
      </c>
      <c r="S38" s="119"/>
      <c r="T38" s="109"/>
      <c r="U38" s="57">
        <f>U37+U36</f>
        <v>2613093581305.6895</v>
      </c>
      <c r="W38" s="118" t="s">
        <v>429</v>
      </c>
      <c r="X38" s="119"/>
      <c r="Y38" s="109"/>
      <c r="Z38" s="89">
        <f>'Financial Statements'!B80/'Financial Statements'!B51</f>
        <v>0.26379164250992287</v>
      </c>
      <c r="AA38" s="50"/>
    </row>
    <row r="39" spans="2:27" ht="15" customHeight="1" x14ac:dyDescent="0.25">
      <c r="B39" s="20" t="s">
        <v>23</v>
      </c>
      <c r="C39" s="21"/>
      <c r="D39" s="21"/>
      <c r="E39" s="21"/>
      <c r="F39" s="21"/>
      <c r="G39" s="21"/>
      <c r="H39" s="21"/>
      <c r="I39" s="21"/>
      <c r="J39" s="21"/>
      <c r="K39" s="21"/>
      <c r="L39" s="21"/>
      <c r="M39" s="20"/>
      <c r="N39" s="21"/>
      <c r="O39" s="21"/>
      <c r="P39" s="21"/>
      <c r="R39" s="118" t="s">
        <v>7</v>
      </c>
      <c r="S39" s="119"/>
      <c r="T39" s="109"/>
      <c r="U39" s="58"/>
      <c r="W39" s="118" t="s">
        <v>430</v>
      </c>
      <c r="X39" s="119"/>
      <c r="Y39" s="109"/>
      <c r="Z39" s="89">
        <f>'Financial Statements'!B28/'Financial Statements'!B51</f>
        <v>0.31367477196471061</v>
      </c>
      <c r="AA39" s="50"/>
    </row>
    <row r="40" spans="2:27" ht="15" customHeight="1" x14ac:dyDescent="0.25">
      <c r="B40" s="145"/>
      <c r="C40" s="146"/>
      <c r="D40" s="147"/>
      <c r="E40" s="12" t="s">
        <v>49</v>
      </c>
      <c r="F40" s="12">
        <f>F28+1</f>
        <v>2022</v>
      </c>
      <c r="G40" s="12">
        <f>F40+1</f>
        <v>2023</v>
      </c>
      <c r="H40" s="12">
        <f t="shared" ref="H40:O40" si="3">G40+1</f>
        <v>2024</v>
      </c>
      <c r="I40" s="12">
        <f t="shared" si="3"/>
        <v>2025</v>
      </c>
      <c r="J40" s="12">
        <f t="shared" si="3"/>
        <v>2026</v>
      </c>
      <c r="K40" s="12">
        <f t="shared" si="3"/>
        <v>2027</v>
      </c>
      <c r="L40" s="12">
        <f t="shared" si="3"/>
        <v>2028</v>
      </c>
      <c r="M40" s="12">
        <f t="shared" si="3"/>
        <v>2029</v>
      </c>
      <c r="N40" s="12">
        <f t="shared" si="3"/>
        <v>2030</v>
      </c>
      <c r="O40" s="12">
        <f t="shared" si="3"/>
        <v>2031</v>
      </c>
      <c r="P40" s="35" t="s">
        <v>50</v>
      </c>
      <c r="R40" s="13" t="s">
        <v>38</v>
      </c>
      <c r="S40" s="14"/>
      <c r="T40" s="14"/>
      <c r="U40" s="57">
        <f>(('Financial Statements'!B72)+('Financial Statements'!B59)*Main!U8)</f>
        <v>71932000000</v>
      </c>
      <c r="W40" s="118" t="s">
        <v>431</v>
      </c>
      <c r="X40" s="119"/>
      <c r="Y40" s="109"/>
      <c r="Z40" s="89">
        <f>'Financial Statements'!B80/'Financial Statements'!B74</f>
        <v>1.3979174776177501</v>
      </c>
      <c r="AA40" s="50"/>
    </row>
    <row r="41" spans="2:27" ht="15" customHeight="1" x14ac:dyDescent="0.25">
      <c r="B41" s="118" t="s">
        <v>15</v>
      </c>
      <c r="C41" s="119"/>
      <c r="D41" s="109"/>
      <c r="E41" s="16">
        <f>E29</f>
        <v>378323000000</v>
      </c>
      <c r="F41" s="16" cm="1">
        <f t="array" ref="F41">E41*(1+_xlfn.SWITCH($O$6,5,$D$6,4,$E$6,3,$G$6,2,$I$6,1,$K$6))</f>
        <v>423721760000.00006</v>
      </c>
      <c r="G41" s="16" cm="1">
        <f t="array" ref="G41">F41*(1+_xlfn.SWITCH($O$6,5,$D$6,4,$E$6,3,$G$6,2,$I$6,1,$K$6))</f>
        <v>474568371200.00012</v>
      </c>
      <c r="H41" s="16" cm="1">
        <f t="array" ref="H41">G41*(1+_xlfn.SWITCH($O$6,5,$D$6,4,$E$6,3,$G$6,2,$I$6,1,$K$6))</f>
        <v>531516575744.00018</v>
      </c>
      <c r="I41" s="16" cm="1">
        <f t="array" ref="I41">H41*(1+_xlfn.SWITCH($O$6,5,$D$6,4,$E$6,3,$G$6,2,$I$6,1,$K$6))</f>
        <v>595298564833.28027</v>
      </c>
      <c r="J41" s="16" cm="1">
        <f t="array" ref="J41">I41*(1+_xlfn.SWITCH($O$6,5,$D$6,4,$E$6,3,$G$6,2,$I$6,1,$K$6))</f>
        <v>666734392613.27393</v>
      </c>
      <c r="K41" s="16">
        <f>J41*(1+$D$6-(($D$6-'Helper Data'!$I$6)/5))</f>
        <v>749196102291.68359</v>
      </c>
      <c r="L41" s="16">
        <f>K41*(1+$D$6-(($D$6-'Helper Data'!$I$6)/5)*2)</f>
        <v>822137834810.80188</v>
      </c>
      <c r="M41" s="16">
        <f>L41*(1+$D$6-(($D$6-'Helper Data'!$I$6)/5)*3)</f>
        <v>880542506595.76123</v>
      </c>
      <c r="N41" s="16">
        <f>M41*(1+$D$6-(($D$6-'Helper Data'!$I$6)/5)*4)</f>
        <v>919920367490.72351</v>
      </c>
      <c r="O41" s="16">
        <f>N41*(1+$D$6-(($D$6-'Helper Data'!$I$6)/5)*5)</f>
        <v>936846902252.55286</v>
      </c>
      <c r="P41" s="36">
        <f>O41*(1+'Helper Data'!$I$6)</f>
        <v>954084885253.99976</v>
      </c>
      <c r="R41" s="118" t="s">
        <v>39</v>
      </c>
      <c r="S41" s="119"/>
      <c r="T41" s="109"/>
      <c r="U41" s="57">
        <f>U38*(1-U39)+U40*U39</f>
        <v>2613093581305.6895</v>
      </c>
      <c r="W41" s="112" t="s">
        <v>432</v>
      </c>
      <c r="X41" s="113"/>
      <c r="Y41" s="113"/>
      <c r="Z41" s="114"/>
      <c r="AA41" s="50"/>
    </row>
    <row r="42" spans="2:27" ht="15" customHeight="1" x14ac:dyDescent="0.25">
      <c r="B42" s="118" t="s">
        <v>16</v>
      </c>
      <c r="C42" s="119"/>
      <c r="D42" s="109"/>
      <c r="E42" s="16">
        <f t="shared" ref="E42" si="4">E30</f>
        <v>116903000000</v>
      </c>
      <c r="F42" s="16">
        <f>F41*F43</f>
        <v>114404875200.00003</v>
      </c>
      <c r="G42" s="16">
        <f t="shared" ref="G42:P42" si="5">G41*G43</f>
        <v>128133460224.00005</v>
      </c>
      <c r="H42" s="16">
        <f t="shared" si="5"/>
        <v>143509475450.88007</v>
      </c>
      <c r="I42" s="16">
        <f t="shared" si="5"/>
        <v>160730612504.98569</v>
      </c>
      <c r="J42" s="16">
        <f t="shared" si="5"/>
        <v>180018286005.58398</v>
      </c>
      <c r="K42" s="16">
        <f t="shared" si="5"/>
        <v>202282947618.75458</v>
      </c>
      <c r="L42" s="16">
        <f t="shared" si="5"/>
        <v>221977215398.91653</v>
      </c>
      <c r="M42" s="16">
        <f t="shared" si="5"/>
        <v>237746476780.85556</v>
      </c>
      <c r="N42" s="16">
        <f t="shared" si="5"/>
        <v>248378499222.49536</v>
      </c>
      <c r="O42" s="16">
        <f t="shared" si="5"/>
        <v>252948663608.1893</v>
      </c>
      <c r="P42" s="36">
        <f t="shared" si="5"/>
        <v>257602919018.57996</v>
      </c>
      <c r="R42" s="118" t="s">
        <v>40</v>
      </c>
      <c r="S42" s="119"/>
      <c r="T42" s="109"/>
      <c r="U42" s="57">
        <f>'Financial Statements'!B59</f>
        <v>122798000000</v>
      </c>
      <c r="W42" s="118" t="s">
        <v>433</v>
      </c>
      <c r="X42" s="119"/>
      <c r="Y42" s="109"/>
      <c r="Z42" s="89">
        <f>'Financial Statements'!B3/'Financial Statements'!B42</f>
        <v>64.384445200816884</v>
      </c>
      <c r="AA42" s="50"/>
    </row>
    <row r="43" spans="2:27" ht="15" customHeight="1" x14ac:dyDescent="0.25">
      <c r="B43" s="118" t="s">
        <v>17</v>
      </c>
      <c r="C43" s="119"/>
      <c r="D43" s="109"/>
      <c r="E43" s="18">
        <f>E31</f>
        <v>0.30580000000000002</v>
      </c>
      <c r="F43" s="18" cm="1">
        <f t="array" ref="F43">IF(F40&gt;$D$8, _xlfn.SWITCH($O$7,5,$D$7,4,$E$7,3,$G$7,2,$I$7,1,$K$7), _xlfn.SWITCH($O$7,5,$D$7,4,$E$7,3,$G$7,2,$I$7,1,$K$7)-((_xlfn.SWITCH($O$7,5,$D$7,4,$E$7,3,$G$7,2,$I$7,1,$K$7)-E43)/$D$8)*($D$8-F40))</f>
        <v>0.27</v>
      </c>
      <c r="G43" s="18" cm="1">
        <f t="array" ref="G43">IF(G40&gt;$D$8, _xlfn.SWITCH($O$7,5,$D$7,4,$E$7,3,$G$7,2,$I$7,1,$K$7), _xlfn.SWITCH($O$7,5,$D$7,4,$E$7,3,$G$7,2,$I$7,1,$K$7)-((_xlfn.SWITCH($O$7,5,$D$7,4,$E$7,3,$G$7,2,$I$7,1,$K$7)-F43)/$D$8)*($D$8-G40))</f>
        <v>0.27</v>
      </c>
      <c r="H43" s="18" cm="1">
        <f t="array" ref="H43">IF(H40&gt;$D$8, _xlfn.SWITCH($O$7,5,$D$7,4,$E$7,3,$G$7,2,$I$7,1,$K$7), _xlfn.SWITCH($O$7,5,$D$7,4,$E$7,3,$G$7,2,$I$7,1,$K$7)-((_xlfn.SWITCH($O$7,5,$D$7,4,$E$7,3,$G$7,2,$I$7,1,$K$7)-G43)/$D$8)*($D$8-H40))</f>
        <v>0.27</v>
      </c>
      <c r="I43" s="18" cm="1">
        <f t="array" ref="I43">IF(I40&gt;$D$8, _xlfn.SWITCH($O$7,5,$D$7,4,$E$7,3,$G$7,2,$I$7,1,$K$7), _xlfn.SWITCH($O$7,5,$D$7,4,$E$7,3,$G$7,2,$I$7,1,$K$7)-((_xlfn.SWITCH($O$7,5,$D$7,4,$E$7,3,$G$7,2,$I$7,1,$K$7)-H43)/$D$8)*($D$8-I40))</f>
        <v>0.27</v>
      </c>
      <c r="J43" s="18" cm="1">
        <f t="array" ref="J43">IF(J40&gt;$D$8, _xlfn.SWITCH($O$7,5,$D$7,4,$E$7,3,$G$7,2,$I$7,1,$K$7), _xlfn.SWITCH($O$7,5,$D$7,4,$E$7,3,$G$7,2,$I$7,1,$K$7)-((_xlfn.SWITCH($O$7,5,$D$7,4,$E$7,3,$G$7,2,$I$7,1,$K$7)-I43)/$D$8)*($D$8-J40))</f>
        <v>0.27</v>
      </c>
      <c r="K43" s="18" cm="1">
        <f t="array" ref="K43">IF(K40&gt;$D$8, _xlfn.SWITCH($O$7,5,$D$7,4,$E$7,3,$G$7,2,$I$7,1,$K$7), _xlfn.SWITCH($O$7,5,$D$7,4,$E$7,3,$G$7,2,$I$7,1,$K$7)-((_xlfn.SWITCH($O$7,5,$D$7,4,$E$7,3,$G$7,2,$I$7,1,$K$7)-J43)/$D$8)*($D$8-K40))</f>
        <v>0.27</v>
      </c>
      <c r="L43" s="18" cm="1">
        <f t="array" ref="L43">IF(L40&gt;$D$8, _xlfn.SWITCH($O$7,5,$D$7,4,$E$7,3,$G$7,2,$I$7,1,$K$7), _xlfn.SWITCH($O$7,5,$D$7,4,$E$7,3,$G$7,2,$I$7,1,$K$7)-((_xlfn.SWITCH($O$7,5,$D$7,4,$E$7,3,$G$7,2,$I$7,1,$K$7)-K43)/$D$8)*($D$8-L40))</f>
        <v>0.27</v>
      </c>
      <c r="M43" s="18" cm="1">
        <f t="array" ref="M43">IF(M40&gt;$D$8, _xlfn.SWITCH($O$7,5,$D$7,4,$E$7,3,$G$7,2,$I$7,1,$K$7), _xlfn.SWITCH($O$7,5,$D$7,4,$E$7,3,$G$7,2,$I$7,1,$K$7)-((_xlfn.SWITCH($O$7,5,$D$7,4,$E$7,3,$G$7,2,$I$7,1,$K$7)-L43)/$D$8)*($D$8-M40))</f>
        <v>0.27</v>
      </c>
      <c r="N43" s="18" cm="1">
        <f t="array" ref="N43">IF(N40&gt;$D$8, _xlfn.SWITCH($O$7,5,$D$7,4,$E$7,3,$G$7,2,$I$7,1,$K$7), _xlfn.SWITCH($O$7,5,$D$7,4,$E$7,3,$G$7,2,$I$7,1,$K$7)-((_xlfn.SWITCH($O$7,5,$D$7,4,$E$7,3,$G$7,2,$I$7,1,$K$7)-M43)/$D$8)*($D$8-N40))</f>
        <v>0.27</v>
      </c>
      <c r="O43" s="18" cm="1">
        <f t="array" ref="O43">IF(O40&gt;$D$8, _xlfn.SWITCH($O$7,5,$D$7,4,$E$7,3,$G$7,2,$I$7,1,$K$7), _xlfn.SWITCH($O$7,5,$D$7,4,$E$7,3,$G$7,2,$I$7,1,$K$7)-((_xlfn.SWITCH($O$7,5,$D$7,4,$E$7,3,$G$7,2,$I$7,1,$K$7)-N43)/$D$8)*($D$8-O40))</f>
        <v>0.27</v>
      </c>
      <c r="P43" s="18" cm="1">
        <f t="array" ref="P43">IF(P40&gt;$D$8, _xlfn.SWITCH($O$7,5,$D$7,4,$E$7,3,$G$7,2,$I$7,1,$K$7), _xlfn.SWITCH($O$7,5,$D$7,4,$E$7,3,$G$7,2,$I$7,1,$K$7)-((_xlfn.SWITCH($O$7,5,$D$7,4,$E$7,3,$G$7,2,$I$7,1,$K$7)-O43)/$D$8)*($D$8-P40))</f>
        <v>0.27</v>
      </c>
      <c r="R43" s="118" t="s">
        <v>41</v>
      </c>
      <c r="S43" s="119"/>
      <c r="T43" s="109"/>
      <c r="U43" s="58">
        <f>'Financial Statements'!B22</f>
        <v>0</v>
      </c>
      <c r="W43" s="118" t="s">
        <v>434</v>
      </c>
      <c r="X43" s="119"/>
      <c r="Y43" s="109"/>
      <c r="Z43" s="89">
        <f>'Financial Statements'!B3/'Financial Statements'!B51</f>
        <v>0.99247621271226238</v>
      </c>
      <c r="AA43" s="50"/>
    </row>
    <row r="44" spans="2:27" ht="15" customHeight="1" x14ac:dyDescent="0.25">
      <c r="B44" s="118" t="s">
        <v>24</v>
      </c>
      <c r="C44" s="119"/>
      <c r="D44" s="109"/>
      <c r="E44" s="15">
        <f>IF(ISBLANK(D13),AVERAGE(F32:H32),D13)</f>
        <v>0.16500000000000001</v>
      </c>
      <c r="F44" s="15">
        <f>$E$44</f>
        <v>0.16500000000000001</v>
      </c>
      <c r="G44" s="15">
        <f t="shared" ref="G44:P44" si="6">$E$44</f>
        <v>0.16500000000000001</v>
      </c>
      <c r="H44" s="15">
        <f t="shared" si="6"/>
        <v>0.16500000000000001</v>
      </c>
      <c r="I44" s="15">
        <f t="shared" si="6"/>
        <v>0.16500000000000001</v>
      </c>
      <c r="J44" s="15">
        <f t="shared" si="6"/>
        <v>0.16500000000000001</v>
      </c>
      <c r="K44" s="15">
        <f t="shared" si="6"/>
        <v>0.16500000000000001</v>
      </c>
      <c r="L44" s="15">
        <f t="shared" si="6"/>
        <v>0.16500000000000001</v>
      </c>
      <c r="M44" s="15">
        <f t="shared" si="6"/>
        <v>0.16500000000000001</v>
      </c>
      <c r="N44" s="15">
        <f t="shared" si="6"/>
        <v>0.16500000000000001</v>
      </c>
      <c r="O44" s="15">
        <f t="shared" si="6"/>
        <v>0.16500000000000001</v>
      </c>
      <c r="P44" s="37">
        <f t="shared" si="6"/>
        <v>0.16500000000000001</v>
      </c>
      <c r="R44" s="118" t="s">
        <v>42</v>
      </c>
      <c r="S44" s="119"/>
      <c r="T44" s="109"/>
      <c r="U44" s="57">
        <f>'Financial Statements'!B40</f>
        <v>63913000000</v>
      </c>
      <c r="W44" s="112" t="s">
        <v>435</v>
      </c>
      <c r="X44" s="113"/>
      <c r="Y44" s="113"/>
      <c r="Z44" s="114"/>
      <c r="AA44" s="50"/>
    </row>
    <row r="45" spans="2:27" ht="15" customHeight="1" x14ac:dyDescent="0.25">
      <c r="B45" s="118" t="s">
        <v>25</v>
      </c>
      <c r="C45" s="119"/>
      <c r="D45" s="109"/>
      <c r="E45" s="16">
        <f>IF(E42 &gt; 0, E42 * (1-E44), E42)</f>
        <v>97614005000</v>
      </c>
      <c r="F45" s="16">
        <f t="shared" ref="F45:O45" si="7">IF(F42 &gt; 0, IF(F42 &lt; E48, F42, F42 - (F42 - E48) * F44), F42)</f>
        <v>95528070792.000031</v>
      </c>
      <c r="G45" s="16">
        <f t="shared" si="7"/>
        <v>106991439287.04004</v>
      </c>
      <c r="H45" s="16">
        <f t="shared" si="7"/>
        <v>119830412001.48486</v>
      </c>
      <c r="I45" s="16">
        <f t="shared" si="7"/>
        <v>134210061441.66306</v>
      </c>
      <c r="J45" s="16">
        <f t="shared" si="7"/>
        <v>150315268814.66263</v>
      </c>
      <c r="K45" s="16">
        <f t="shared" si="7"/>
        <v>168906261261.66006</v>
      </c>
      <c r="L45" s="16">
        <f t="shared" si="7"/>
        <v>185350974858.09531</v>
      </c>
      <c r="M45" s="16">
        <f t="shared" si="7"/>
        <v>198518308112.0144</v>
      </c>
      <c r="N45" s="16">
        <f t="shared" si="7"/>
        <v>207396046850.78363</v>
      </c>
      <c r="O45" s="16">
        <f t="shared" si="7"/>
        <v>211212134112.83807</v>
      </c>
      <c r="P45" s="36">
        <f>P42*(1-P44)</f>
        <v>215098437380.51425</v>
      </c>
      <c r="R45" s="118" t="s">
        <v>43</v>
      </c>
      <c r="S45" s="119"/>
      <c r="T45" s="109"/>
      <c r="U45" s="57"/>
      <c r="W45" s="123" t="s">
        <v>436</v>
      </c>
      <c r="X45" s="124"/>
      <c r="Y45" s="125"/>
      <c r="Z45" s="90">
        <f>D19/('Financial Statements'!B80/Main!D23)</f>
        <v>26.054961966088211</v>
      </c>
      <c r="AA45" s="50"/>
    </row>
    <row r="46" spans="2:27" ht="15" customHeight="1" x14ac:dyDescent="0.25">
      <c r="B46" s="118" t="s">
        <v>172</v>
      </c>
      <c r="C46" s="119"/>
      <c r="D46" s="109"/>
      <c r="E46" s="16"/>
      <c r="F46" s="16">
        <f>IF(F41 &gt; E41, (F41-E41) / F54, 0)</f>
        <v>25942148571.428608</v>
      </c>
      <c r="G46" s="16">
        <f>(G41-F41)/G54</f>
        <v>29055206400.000034</v>
      </c>
      <c r="H46" s="16">
        <f t="shared" ref="H46:O46" si="8">(H41-G41)/H54</f>
        <v>32541831168.000034</v>
      </c>
      <c r="I46" s="16">
        <f t="shared" si="8"/>
        <v>36446850908.160049</v>
      </c>
      <c r="J46" s="16">
        <f t="shared" si="8"/>
        <v>40820473017.139229</v>
      </c>
      <c r="K46" s="16">
        <f t="shared" si="8"/>
        <v>47120976959.09124</v>
      </c>
      <c r="L46" s="16">
        <f t="shared" si="8"/>
        <v>41680990010.924736</v>
      </c>
      <c r="M46" s="16">
        <f t="shared" si="8"/>
        <v>33374098162.833916</v>
      </c>
      <c r="N46" s="16">
        <f t="shared" si="8"/>
        <v>22501634797.121304</v>
      </c>
      <c r="O46" s="16">
        <f t="shared" si="8"/>
        <v>9672305578.1881981</v>
      </c>
      <c r="P46" s="36">
        <f>IF('Helper Data'!$I$6&gt;0,('Helper Data'!$I$6/Main!P56)*Main!P45,0)</f>
        <v>60889403812.330185</v>
      </c>
      <c r="R46" s="118" t="s">
        <v>44</v>
      </c>
      <c r="S46" s="119"/>
      <c r="T46" s="109"/>
      <c r="U46" s="57">
        <f>U41-U42-U43+U44+U45</f>
        <v>2554208581305.6895</v>
      </c>
      <c r="Z46" s="48"/>
    </row>
    <row r="47" spans="2:27" ht="15" customHeight="1" x14ac:dyDescent="0.25">
      <c r="B47" s="118" t="s">
        <v>26</v>
      </c>
      <c r="C47" s="119"/>
      <c r="D47" s="109"/>
      <c r="E47" s="16"/>
      <c r="F47" s="16">
        <f>F45-F46</f>
        <v>69585922220.571426</v>
      </c>
      <c r="G47" s="16">
        <f t="shared" ref="G47:P47" si="9">G45-G46</f>
        <v>77936232887.040009</v>
      </c>
      <c r="H47" s="16">
        <f t="shared" si="9"/>
        <v>87288580833.484833</v>
      </c>
      <c r="I47" s="16">
        <f t="shared" si="9"/>
        <v>97763210533.503006</v>
      </c>
      <c r="J47" s="16">
        <f t="shared" si="9"/>
        <v>109494795797.52341</v>
      </c>
      <c r="K47" s="16">
        <f t="shared" si="9"/>
        <v>121785284302.56882</v>
      </c>
      <c r="L47" s="16">
        <f t="shared" si="9"/>
        <v>143669984847.17056</v>
      </c>
      <c r="M47" s="16">
        <f t="shared" si="9"/>
        <v>165144209949.18048</v>
      </c>
      <c r="N47" s="16">
        <f t="shared" si="9"/>
        <v>184894412053.66232</v>
      </c>
      <c r="O47" s="16">
        <f t="shared" si="9"/>
        <v>201539828534.64987</v>
      </c>
      <c r="P47" s="36">
        <f t="shared" si="9"/>
        <v>154209033568.18408</v>
      </c>
      <c r="R47" s="118" t="s">
        <v>45</v>
      </c>
      <c r="S47" s="119"/>
      <c r="T47" s="109"/>
      <c r="U47" s="58"/>
      <c r="Z47" s="48"/>
    </row>
    <row r="48" spans="2:27" ht="15" customHeight="1" x14ac:dyDescent="0.25">
      <c r="B48" s="118" t="s">
        <v>27</v>
      </c>
      <c r="C48" s="119"/>
      <c r="D48" s="109"/>
      <c r="E48" s="16"/>
      <c r="F48" s="16">
        <f>IF(F42 &lt; 0, E48 - F42, IF(E48 &gt; F42, E48 - F42, 0))</f>
        <v>0</v>
      </c>
      <c r="G48" s="16">
        <f t="shared" ref="G48:P48" si="10">IF(G42 &lt; 0, F48 - G42, IF(F48 &gt; G42, F48 - G42, 0))</f>
        <v>0</v>
      </c>
      <c r="H48" s="16">
        <f t="shared" si="10"/>
        <v>0</v>
      </c>
      <c r="I48" s="16">
        <f t="shared" si="10"/>
        <v>0</v>
      </c>
      <c r="J48" s="16">
        <f t="shared" si="10"/>
        <v>0</v>
      </c>
      <c r="K48" s="16">
        <f t="shared" si="10"/>
        <v>0</v>
      </c>
      <c r="L48" s="16">
        <f t="shared" si="10"/>
        <v>0</v>
      </c>
      <c r="M48" s="16">
        <f t="shared" si="10"/>
        <v>0</v>
      </c>
      <c r="N48" s="16">
        <f t="shared" si="10"/>
        <v>0</v>
      </c>
      <c r="O48" s="16">
        <f t="shared" si="10"/>
        <v>0</v>
      </c>
      <c r="P48" s="36">
        <f t="shared" si="10"/>
        <v>0</v>
      </c>
      <c r="R48" s="118" t="s">
        <v>46</v>
      </c>
      <c r="S48" s="119"/>
      <c r="T48" s="109"/>
      <c r="U48" s="57">
        <f>U46-U47</f>
        <v>2554208581305.6895</v>
      </c>
      <c r="Z48" s="48"/>
    </row>
    <row r="49" spans="2:26" ht="15" customHeight="1" x14ac:dyDescent="0.25">
      <c r="B49" s="118"/>
      <c r="C49" s="119"/>
      <c r="D49" s="109"/>
      <c r="E49" s="3"/>
      <c r="F49" s="3"/>
      <c r="G49" s="3"/>
      <c r="H49" s="3"/>
      <c r="I49" s="3"/>
      <c r="J49" s="3"/>
      <c r="K49" s="3"/>
      <c r="L49" s="3"/>
      <c r="M49" s="3"/>
      <c r="N49" s="3"/>
      <c r="O49" s="3"/>
      <c r="P49" s="38"/>
      <c r="R49" s="118" t="s">
        <v>47</v>
      </c>
      <c r="S49" s="119"/>
      <c r="T49" s="109"/>
      <c r="U49" s="59">
        <f>D19</f>
        <v>165.59</v>
      </c>
      <c r="Z49" s="48"/>
    </row>
    <row r="50" spans="2:26" ht="15" customHeight="1" x14ac:dyDescent="0.25">
      <c r="B50" s="118" t="s">
        <v>12</v>
      </c>
      <c r="C50" s="119"/>
      <c r="D50" s="109"/>
      <c r="E50" s="3"/>
      <c r="F50" s="15" cm="1">
        <f t="array" ref="F50">_xlfn.SWITCH(O9,5,D9,4,E9,3,G9,2,I9,1,K9)</f>
        <v>6.5000000000000002E-2</v>
      </c>
      <c r="G50" s="15">
        <f>F50</f>
        <v>6.5000000000000002E-2</v>
      </c>
      <c r="H50" s="15">
        <f t="shared" ref="H50:P50" si="11">G50</f>
        <v>6.5000000000000002E-2</v>
      </c>
      <c r="I50" s="15">
        <f t="shared" si="11"/>
        <v>6.5000000000000002E-2</v>
      </c>
      <c r="J50" s="15">
        <f t="shared" si="11"/>
        <v>6.5000000000000002E-2</v>
      </c>
      <c r="K50" s="15">
        <f t="shared" si="11"/>
        <v>6.5000000000000002E-2</v>
      </c>
      <c r="L50" s="15">
        <f t="shared" si="11"/>
        <v>6.5000000000000002E-2</v>
      </c>
      <c r="M50" s="15">
        <f t="shared" si="11"/>
        <v>6.5000000000000002E-2</v>
      </c>
      <c r="N50" s="15">
        <f t="shared" si="11"/>
        <v>6.5000000000000002E-2</v>
      </c>
      <c r="O50" s="15">
        <f t="shared" si="11"/>
        <v>6.5000000000000002E-2</v>
      </c>
      <c r="P50" s="15">
        <f t="shared" si="11"/>
        <v>6.5000000000000002E-2</v>
      </c>
      <c r="R50" s="133" t="s">
        <v>51</v>
      </c>
      <c r="S50" s="134"/>
      <c r="T50" s="135"/>
      <c r="U50" s="66">
        <f>IF(U48/D23&lt;0,0,U48/D23)</f>
        <v>161.43449962271967</v>
      </c>
      <c r="Z50" s="48"/>
    </row>
    <row r="51" spans="2:26" ht="15" customHeight="1" x14ac:dyDescent="0.25">
      <c r="B51" s="118" t="s">
        <v>29</v>
      </c>
      <c r="C51" s="119"/>
      <c r="D51" s="109"/>
      <c r="E51" s="3"/>
      <c r="F51" s="25">
        <f>1/(1+F50)</f>
        <v>0.93896713615023475</v>
      </c>
      <c r="G51" s="25">
        <f>F51*1/(1+G50)</f>
        <v>0.88165928277017347</v>
      </c>
      <c r="H51" s="25">
        <f t="shared" ref="H51:O51" si="12">G51*1/(1+H50)</f>
        <v>0.82784909180297983</v>
      </c>
      <c r="I51" s="25">
        <f t="shared" si="12"/>
        <v>0.77732309089481677</v>
      </c>
      <c r="J51" s="25">
        <f t="shared" si="12"/>
        <v>0.7298808365209547</v>
      </c>
      <c r="K51" s="25">
        <f t="shared" si="12"/>
        <v>0.68533411879901851</v>
      </c>
      <c r="L51" s="25">
        <f t="shared" si="12"/>
        <v>0.64350621483475923</v>
      </c>
      <c r="M51" s="25">
        <f t="shared" si="12"/>
        <v>0.60423118763827155</v>
      </c>
      <c r="N51" s="25">
        <f t="shared" si="12"/>
        <v>0.56735322782936304</v>
      </c>
      <c r="O51" s="25">
        <f t="shared" si="12"/>
        <v>0.53272603552052866</v>
      </c>
      <c r="P51" s="39"/>
      <c r="R51" s="136" t="s">
        <v>48</v>
      </c>
      <c r="S51" s="137"/>
      <c r="T51" s="137"/>
      <c r="U51" s="65">
        <f>U50/U49-1</f>
        <v>-2.5095116717678168E-2</v>
      </c>
      <c r="Z51" s="48"/>
    </row>
    <row r="52" spans="2:26" ht="15" customHeight="1" x14ac:dyDescent="0.25">
      <c r="B52" s="118" t="s">
        <v>30</v>
      </c>
      <c r="C52" s="119"/>
      <c r="D52" s="109"/>
      <c r="E52" s="3"/>
      <c r="F52" s="16">
        <f>F47*F51</f>
        <v>65338894103.822937</v>
      </c>
      <c r="G52" s="16">
        <f t="shared" ref="G52:O52" si="13">G47*G51</f>
        <v>68713203188.996902</v>
      </c>
      <c r="H52" s="16">
        <f t="shared" si="13"/>
        <v>72261772367.771408</v>
      </c>
      <c r="I52" s="16">
        <f t="shared" si="13"/>
        <v>75993600987.703262</v>
      </c>
      <c r="J52" s="16">
        <f t="shared" si="13"/>
        <v>79918153151.387497</v>
      </c>
      <c r="K52" s="16">
        <f t="shared" si="13"/>
        <v>83463610500.188934</v>
      </c>
      <c r="L52" s="16">
        <f t="shared" si="13"/>
        <v>92452528134.369949</v>
      </c>
      <c r="M52" s="16">
        <f t="shared" si="13"/>
        <v>99785282109.177383</v>
      </c>
      <c r="N52" s="16">
        <f t="shared" si="13"/>
        <v>104900441486.25761</v>
      </c>
      <c r="O52" s="16">
        <f t="shared" si="13"/>
        <v>107365513854.75114</v>
      </c>
      <c r="P52" s="36"/>
      <c r="R52" s="64"/>
      <c r="S52" s="64"/>
      <c r="T52" s="64"/>
      <c r="U52" s="67"/>
      <c r="Z52" s="48"/>
    </row>
    <row r="53" spans="2:26" ht="15" customHeight="1" x14ac:dyDescent="0.25">
      <c r="B53" s="118"/>
      <c r="C53" s="119"/>
      <c r="D53" s="109"/>
      <c r="E53" s="3"/>
      <c r="F53" s="3"/>
      <c r="G53" s="3"/>
      <c r="H53" s="3"/>
      <c r="I53" s="3"/>
      <c r="J53" s="3"/>
      <c r="K53" s="3"/>
      <c r="L53" s="3"/>
      <c r="M53" s="3"/>
      <c r="N53" s="3"/>
      <c r="O53" s="3"/>
      <c r="P53" s="38"/>
      <c r="R53" s="73" t="s">
        <v>438</v>
      </c>
      <c r="S53" s="74"/>
      <c r="T53" s="74"/>
      <c r="U53" s="75"/>
      <c r="V53" s="76"/>
      <c r="W53" s="76"/>
      <c r="X53" s="76"/>
      <c r="Y53" s="76"/>
      <c r="Z53" s="77"/>
    </row>
    <row r="54" spans="2:26" ht="15" customHeight="1" x14ac:dyDescent="0.25">
      <c r="B54" s="118" t="s">
        <v>3</v>
      </c>
      <c r="C54" s="119"/>
      <c r="D54" s="109"/>
      <c r="E54" s="3"/>
      <c r="F54" s="19">
        <f>IF(ISBLANK(D12),AVERAGE(F37:H37),D12)</f>
        <v>1.75</v>
      </c>
      <c r="G54" s="19">
        <f>$F$54</f>
        <v>1.75</v>
      </c>
      <c r="H54" s="19">
        <f t="shared" ref="H54:O54" si="14">$F$54</f>
        <v>1.75</v>
      </c>
      <c r="I54" s="19">
        <f t="shared" si="14"/>
        <v>1.75</v>
      </c>
      <c r="J54" s="19">
        <f t="shared" si="14"/>
        <v>1.75</v>
      </c>
      <c r="K54" s="19">
        <f t="shared" si="14"/>
        <v>1.75</v>
      </c>
      <c r="L54" s="19">
        <f t="shared" si="14"/>
        <v>1.75</v>
      </c>
      <c r="M54" s="19">
        <f t="shared" si="14"/>
        <v>1.75</v>
      </c>
      <c r="N54" s="19">
        <f t="shared" si="14"/>
        <v>1.75</v>
      </c>
      <c r="O54" s="19">
        <f t="shared" si="14"/>
        <v>1.75</v>
      </c>
      <c r="P54" s="40"/>
      <c r="R54" s="49"/>
      <c r="S54" s="140" t="s">
        <v>437</v>
      </c>
      <c r="T54" s="140"/>
      <c r="U54" s="140"/>
      <c r="V54" s="140"/>
      <c r="W54" s="140"/>
      <c r="X54" s="140"/>
      <c r="Y54" s="140"/>
      <c r="Z54" s="141"/>
    </row>
    <row r="55" spans="2:26" ht="15" customHeight="1" x14ac:dyDescent="0.25">
      <c r="B55" s="118" t="s">
        <v>22</v>
      </c>
      <c r="C55" s="119"/>
      <c r="D55" s="109"/>
      <c r="E55" s="16">
        <f>'Helper Data'!I21</f>
        <v>130817000000</v>
      </c>
      <c r="F55" s="16">
        <f>E55+F46</f>
        <v>156759148571.42862</v>
      </c>
      <c r="G55" s="16">
        <f t="shared" ref="G55:O55" si="15">F55+G46</f>
        <v>185814354971.42865</v>
      </c>
      <c r="H55" s="16">
        <f t="shared" si="15"/>
        <v>218356186139.42868</v>
      </c>
      <c r="I55" s="16">
        <f t="shared" si="15"/>
        <v>254803037047.58875</v>
      </c>
      <c r="J55" s="16">
        <f t="shared" si="15"/>
        <v>295623510064.72797</v>
      </c>
      <c r="K55" s="16">
        <f t="shared" si="15"/>
        <v>342744487023.81921</v>
      </c>
      <c r="L55" s="16">
        <f t="shared" si="15"/>
        <v>384425477034.74396</v>
      </c>
      <c r="M55" s="16">
        <f t="shared" si="15"/>
        <v>417799575197.57788</v>
      </c>
      <c r="N55" s="16">
        <f t="shared" si="15"/>
        <v>440301209994.69916</v>
      </c>
      <c r="O55" s="16">
        <f t="shared" si="15"/>
        <v>449973515572.88733</v>
      </c>
      <c r="P55" s="36"/>
      <c r="R55" s="138" t="s">
        <v>17</v>
      </c>
      <c r="S55" s="72">
        <f>U50</f>
        <v>161.43449962271967</v>
      </c>
      <c r="T55" s="70">
        <f>W55*0.6</f>
        <v>5.3999999999999999E-2</v>
      </c>
      <c r="U55" s="70">
        <f>W55*0.75</f>
        <v>6.7500000000000004E-2</v>
      </c>
      <c r="V55" s="70">
        <f>W55*0.9</f>
        <v>8.1000000000000003E-2</v>
      </c>
      <c r="W55" s="70">
        <f>G6</f>
        <v>0.09</v>
      </c>
      <c r="X55" s="70">
        <f>W55*1.1</f>
        <v>9.9000000000000005E-2</v>
      </c>
      <c r="Y55" s="70">
        <f>W55*1.25</f>
        <v>0.11249999999999999</v>
      </c>
      <c r="Z55" s="78">
        <f>W55*1.4</f>
        <v>0.126</v>
      </c>
    </row>
    <row r="56" spans="2:26" ht="15" customHeight="1" x14ac:dyDescent="0.25">
      <c r="B56" s="123" t="s">
        <v>31</v>
      </c>
      <c r="C56" s="124"/>
      <c r="D56" s="125"/>
      <c r="E56" s="26">
        <f>E45/E55</f>
        <v>0.74618746034536798</v>
      </c>
      <c r="F56" s="26">
        <f t="shared" ref="F56:O56" si="16">F45/F55</f>
        <v>0.60939391201446758</v>
      </c>
      <c r="G56" s="26">
        <f t="shared" si="16"/>
        <v>0.57579749047640238</v>
      </c>
      <c r="H56" s="26">
        <f t="shared" si="16"/>
        <v>0.54878414081187799</v>
      </c>
      <c r="I56" s="26">
        <f t="shared" si="16"/>
        <v>0.52672080755692507</v>
      </c>
      <c r="J56" s="26">
        <f t="shared" si="16"/>
        <v>0.5084685882450638</v>
      </c>
      <c r="K56" s="26">
        <f t="shared" si="16"/>
        <v>0.49280518770217835</v>
      </c>
      <c r="L56" s="26">
        <f t="shared" si="16"/>
        <v>0.48215060117189756</v>
      </c>
      <c r="M56" s="26">
        <f t="shared" si="16"/>
        <v>0.47515201043020416</v>
      </c>
      <c r="N56" s="26">
        <f t="shared" si="16"/>
        <v>0.47103219828371695</v>
      </c>
      <c r="O56" s="26">
        <f t="shared" si="16"/>
        <v>0.46938792351796899</v>
      </c>
      <c r="P56" s="41">
        <f>O50</f>
        <v>6.5000000000000002E-2</v>
      </c>
      <c r="R56" s="138"/>
      <c r="S56" s="69">
        <f>S59*0.6</f>
        <v>0.15</v>
      </c>
      <c r="T56" s="68">
        <f t="dataTable" ref="T56:Z62" dt2D="1" dtr="1" r1="G6" r2="G7" ca="1"/>
        <v>161.43449962271967</v>
      </c>
      <c r="U56" s="68">
        <v>161.43449962271967</v>
      </c>
      <c r="V56" s="68">
        <v>161.43449962271967</v>
      </c>
      <c r="W56" s="68">
        <v>161.43449962271967</v>
      </c>
      <c r="X56" s="68">
        <v>161.43449962271967</v>
      </c>
      <c r="Y56" s="68">
        <v>161.43449962271967</v>
      </c>
      <c r="Z56" s="79">
        <v>161.43449962271967</v>
      </c>
    </row>
    <row r="57" spans="2:26" x14ac:dyDescent="0.25">
      <c r="R57" s="138"/>
      <c r="S57" s="69">
        <f>S59*0.75</f>
        <v>0.1875</v>
      </c>
      <c r="T57" s="68">
        <v>161.43449962271967</v>
      </c>
      <c r="U57" s="71">
        <v>161.43449962271967</v>
      </c>
      <c r="V57" s="71">
        <v>161.43449962271967</v>
      </c>
      <c r="W57" s="71">
        <v>161.43449962271967</v>
      </c>
      <c r="X57" s="71">
        <v>161.43449962271967</v>
      </c>
      <c r="Y57" s="71">
        <v>161.43449962271967</v>
      </c>
      <c r="Z57" s="79">
        <v>161.43449962271967</v>
      </c>
    </row>
    <row r="58" spans="2:26" x14ac:dyDescent="0.25">
      <c r="R58" s="138"/>
      <c r="S58" s="69">
        <f>S59*0.9</f>
        <v>0.22500000000000001</v>
      </c>
      <c r="T58" s="68">
        <v>161.43449962271967</v>
      </c>
      <c r="U58" s="71">
        <v>161.43449962271967</v>
      </c>
      <c r="V58" s="80">
        <v>161.43449962271967</v>
      </c>
      <c r="W58" s="80">
        <v>161.43449962271967</v>
      </c>
      <c r="X58" s="80">
        <v>161.43449962271967</v>
      </c>
      <c r="Y58" s="71">
        <v>161.43449962271967</v>
      </c>
      <c r="Z58" s="79">
        <v>161.43449962271967</v>
      </c>
    </row>
    <row r="59" spans="2:26" x14ac:dyDescent="0.25">
      <c r="R59" s="138"/>
      <c r="S59" s="69">
        <f>G7</f>
        <v>0.25</v>
      </c>
      <c r="T59" s="68">
        <v>161.43449962271967</v>
      </c>
      <c r="U59" s="71">
        <v>161.43449962271967</v>
      </c>
      <c r="V59" s="80">
        <v>161.43449962271967</v>
      </c>
      <c r="W59" s="81">
        <v>161.43449962271967</v>
      </c>
      <c r="X59" s="80">
        <v>161.43449962271967</v>
      </c>
      <c r="Y59" s="71">
        <v>161.43449962271967</v>
      </c>
      <c r="Z59" s="79">
        <v>161.43449962271967</v>
      </c>
    </row>
    <row r="60" spans="2:26" x14ac:dyDescent="0.25">
      <c r="R60" s="138"/>
      <c r="S60" s="69">
        <f>S59*1.1</f>
        <v>0.27500000000000002</v>
      </c>
      <c r="T60" s="68">
        <v>161.43449962271967</v>
      </c>
      <c r="U60" s="71">
        <v>161.43449962271967</v>
      </c>
      <c r="V60" s="80">
        <v>161.43449962271967</v>
      </c>
      <c r="W60" s="80">
        <v>161.43449962271967</v>
      </c>
      <c r="X60" s="80">
        <v>161.43449962271967</v>
      </c>
      <c r="Y60" s="71">
        <v>161.43449962271967</v>
      </c>
      <c r="Z60" s="79">
        <v>161.43449962271967</v>
      </c>
    </row>
    <row r="61" spans="2:26" x14ac:dyDescent="0.25">
      <c r="R61" s="138"/>
      <c r="S61" s="69">
        <f>S59*1.25</f>
        <v>0.3125</v>
      </c>
      <c r="T61" s="68">
        <v>161.43449962271967</v>
      </c>
      <c r="U61" s="71">
        <v>161.43449962271967</v>
      </c>
      <c r="V61" s="71">
        <v>161.43449962271967</v>
      </c>
      <c r="W61" s="71">
        <v>161.43449962271967</v>
      </c>
      <c r="X61" s="71">
        <v>161.43449962271967</v>
      </c>
      <c r="Y61" s="71">
        <v>161.43449962271967</v>
      </c>
      <c r="Z61" s="79">
        <v>161.43449962271967</v>
      </c>
    </row>
    <row r="62" spans="2:26" x14ac:dyDescent="0.25">
      <c r="R62" s="139"/>
      <c r="S62" s="82">
        <f>S59*1.4</f>
        <v>0.35</v>
      </c>
      <c r="T62" s="83">
        <v>161.43449962271967</v>
      </c>
      <c r="U62" s="83">
        <v>161.43449962271967</v>
      </c>
      <c r="V62" s="83">
        <v>161.43449962271967</v>
      </c>
      <c r="W62" s="83">
        <v>161.43449962271967</v>
      </c>
      <c r="X62" s="83">
        <v>161.43449962271967</v>
      </c>
      <c r="Y62" s="83">
        <v>161.43449962271967</v>
      </c>
      <c r="Z62" s="84">
        <v>161.43449962271967</v>
      </c>
    </row>
  </sheetData>
  <scenarios current="0" sqref="U45">
    <scenario name="Bullish" locked="1" count="2" user="Nils">
      <inputCells r="D6" val="$E$39" numFmtId="170"/>
      <inputCells r="D7" val="$E$38" numFmtId="170"/>
    </scenario>
  </scenarios>
  <mergeCells count="124">
    <mergeCell ref="W27:Z27"/>
    <mergeCell ref="W29:Y29"/>
    <mergeCell ref="B21:C21"/>
    <mergeCell ref="N24:P24"/>
    <mergeCell ref="S22:U22"/>
    <mergeCell ref="R31:T31"/>
    <mergeCell ref="R27:U27"/>
    <mergeCell ref="R28:T28"/>
    <mergeCell ref="R29:T29"/>
    <mergeCell ref="R30:T30"/>
    <mergeCell ref="R45:T45"/>
    <mergeCell ref="R46:T46"/>
    <mergeCell ref="R47:T47"/>
    <mergeCell ref="R48:T48"/>
    <mergeCell ref="N22:P22"/>
    <mergeCell ref="N23:P23"/>
    <mergeCell ref="K9:L9"/>
    <mergeCell ref="B29:D29"/>
    <mergeCell ref="B28:D28"/>
    <mergeCell ref="F16:L24"/>
    <mergeCell ref="N17:P17"/>
    <mergeCell ref="N18:P18"/>
    <mergeCell ref="N19:P19"/>
    <mergeCell ref="N20:P20"/>
    <mergeCell ref="N21:P21"/>
    <mergeCell ref="S17:U17"/>
    <mergeCell ref="S18:U18"/>
    <mergeCell ref="S19:U19"/>
    <mergeCell ref="S20:U20"/>
    <mergeCell ref="S21:U21"/>
    <mergeCell ref="B47:D47"/>
    <mergeCell ref="B7:C7"/>
    <mergeCell ref="B8:C8"/>
    <mergeCell ref="B12:C12"/>
    <mergeCell ref="B20:C20"/>
    <mergeCell ref="B19:C19"/>
    <mergeCell ref="B18:C18"/>
    <mergeCell ref="B17:C17"/>
    <mergeCell ref="B45:D45"/>
    <mergeCell ref="B46:D46"/>
    <mergeCell ref="B37:D37"/>
    <mergeCell ref="B31:D31"/>
    <mergeCell ref="B32:D32"/>
    <mergeCell ref="B41:D41"/>
    <mergeCell ref="B42:D42"/>
    <mergeCell ref="B40:D40"/>
    <mergeCell ref="B33:D33"/>
    <mergeCell ref="B34:D34"/>
    <mergeCell ref="B35:D35"/>
    <mergeCell ref="B36:D36"/>
    <mergeCell ref="B54:D54"/>
    <mergeCell ref="B55:D55"/>
    <mergeCell ref="R50:T50"/>
    <mergeCell ref="R51:T51"/>
    <mergeCell ref="R55:R62"/>
    <mergeCell ref="B56:D56"/>
    <mergeCell ref="B50:D50"/>
    <mergeCell ref="B48:D48"/>
    <mergeCell ref="B49:D49"/>
    <mergeCell ref="B51:D51"/>
    <mergeCell ref="B52:D52"/>
    <mergeCell ref="B53:D53"/>
    <mergeCell ref="S54:Z54"/>
    <mergeCell ref="R49:T49"/>
    <mergeCell ref="W32:Y32"/>
    <mergeCell ref="W34:Y34"/>
    <mergeCell ref="B2:C2"/>
    <mergeCell ref="D2:F2"/>
    <mergeCell ref="B16:D16"/>
    <mergeCell ref="B4:D4"/>
    <mergeCell ref="R44:T44"/>
    <mergeCell ref="R42:T42"/>
    <mergeCell ref="R43:T43"/>
    <mergeCell ref="R41:T41"/>
    <mergeCell ref="R39:T39"/>
    <mergeCell ref="R38:T38"/>
    <mergeCell ref="R36:T36"/>
    <mergeCell ref="R35:T35"/>
    <mergeCell ref="R33:T33"/>
    <mergeCell ref="B43:D43"/>
    <mergeCell ref="B44:D44"/>
    <mergeCell ref="R5:T5"/>
    <mergeCell ref="R6:T6"/>
    <mergeCell ref="R7:T7"/>
    <mergeCell ref="R8:T8"/>
    <mergeCell ref="G6:H6"/>
    <mergeCell ref="G7:H7"/>
    <mergeCell ref="I6:J6"/>
    <mergeCell ref="W45:Y45"/>
    <mergeCell ref="W36:Z36"/>
    <mergeCell ref="W41:Z41"/>
    <mergeCell ref="W44:Z44"/>
    <mergeCell ref="W33:Z33"/>
    <mergeCell ref="W40:Y40"/>
    <mergeCell ref="W42:Y42"/>
    <mergeCell ref="W43:Y43"/>
    <mergeCell ref="W35:Y35"/>
    <mergeCell ref="W37:Y37"/>
    <mergeCell ref="W38:Y38"/>
    <mergeCell ref="W39:Y39"/>
    <mergeCell ref="B5:C5"/>
    <mergeCell ref="B9:C9"/>
    <mergeCell ref="E9:F9"/>
    <mergeCell ref="G9:H9"/>
    <mergeCell ref="I9:J9"/>
    <mergeCell ref="W28:Z28"/>
    <mergeCell ref="W31:Z31"/>
    <mergeCell ref="B13:C13"/>
    <mergeCell ref="M8:N8"/>
    <mergeCell ref="E5:F5"/>
    <mergeCell ref="M12:N12"/>
    <mergeCell ref="G5:H5"/>
    <mergeCell ref="I5:J5"/>
    <mergeCell ref="K5:L5"/>
    <mergeCell ref="E6:F6"/>
    <mergeCell ref="E7:F7"/>
    <mergeCell ref="W30:Y30"/>
    <mergeCell ref="I7:J7"/>
    <mergeCell ref="K6:L6"/>
    <mergeCell ref="K7:L7"/>
    <mergeCell ref="B30:D30"/>
    <mergeCell ref="B6:C6"/>
    <mergeCell ref="S23:U23"/>
    <mergeCell ref="S24:U24"/>
  </mergeCells>
  <phoneticPr fontId="2" type="noConversion"/>
  <printOptions horizontalCentered="1"/>
  <pageMargins left="9.8425196850393706E-2" right="9.8425196850393706E-2" top="0.11811023622047245" bottom="0.19685039370078741" header="0.11811023622047245" footer="9.8425196850393706E-2"/>
  <pageSetup paperSize="9" fitToHeight="0" orientation="portrait" r:id="rId1"/>
  <drawing r:id="rId2"/>
  <legacyDrawing r:id="rId3"/>
  <controls>
    <mc:AlternateContent xmlns:mc="http://schemas.openxmlformats.org/markup-compatibility/2006">
      <mc:Choice Requires="x14">
        <control shapeId="1025" r:id="rId4" name="CommandButton1">
          <controlPr defaultSize="0" autoLine="0" r:id="rId5">
            <anchor moveWithCells="1">
              <from>
                <xdr:col>16</xdr:col>
                <xdr:colOff>752475</xdr:colOff>
                <xdr:row>5</xdr:row>
                <xdr:rowOff>57150</xdr:rowOff>
              </from>
              <to>
                <xdr:col>20</xdr:col>
                <xdr:colOff>76200</xdr:colOff>
                <xdr:row>9</xdr:row>
                <xdr:rowOff>28575</xdr:rowOff>
              </to>
            </anchor>
          </controlPr>
        </control>
      </mc:Choice>
      <mc:Fallback>
        <control shapeId="1025" r:id="rId4"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6F43-020B-4D98-B566-10583FC578C4}">
  <sheetPr codeName="Sheet2"/>
  <dimension ref="A1:X102"/>
  <sheetViews>
    <sheetView zoomScale="115" zoomScaleNormal="115" workbookViewId="0">
      <selection activeCell="A90" sqref="A90"/>
    </sheetView>
  </sheetViews>
  <sheetFormatPr defaultRowHeight="12" x14ac:dyDescent="0.2"/>
  <cols>
    <col min="1" max="1" width="46.7109375" style="4" customWidth="1"/>
    <col min="2" max="13" width="10.28515625" style="4" bestFit="1" customWidth="1"/>
    <col min="14" max="15" width="9.7109375" style="4" bestFit="1" customWidth="1"/>
    <col min="16" max="24" width="9.28515625" style="4" bestFit="1" customWidth="1"/>
    <col min="25" max="16384" width="9.140625" style="4"/>
  </cols>
  <sheetData>
    <row r="1" spans="1:24" s="8" customFormat="1" ht="20.100000000000001" customHeight="1" x14ac:dyDescent="0.2">
      <c r="A1" s="8" t="s">
        <v>52</v>
      </c>
    </row>
    <row r="2" spans="1:24" s="9" customFormat="1" ht="20.100000000000001" customHeight="1" x14ac:dyDescent="0.2">
      <c r="A2" s="10" t="s">
        <v>53</v>
      </c>
      <c r="B2" s="10" t="s">
        <v>54</v>
      </c>
      <c r="C2" s="10" t="s">
        <v>439</v>
      </c>
      <c r="D2" s="10" t="s">
        <v>440</v>
      </c>
      <c r="E2" s="10" t="s">
        <v>441</v>
      </c>
      <c r="F2" s="10" t="s">
        <v>442</v>
      </c>
      <c r="G2" s="10" t="s">
        <v>443</v>
      </c>
      <c r="H2" s="10" t="s">
        <v>444</v>
      </c>
      <c r="I2" s="10" t="s">
        <v>445</v>
      </c>
      <c r="J2" s="10" t="s">
        <v>446</v>
      </c>
      <c r="K2" s="10" t="s">
        <v>447</v>
      </c>
      <c r="L2" s="10" t="s">
        <v>448</v>
      </c>
      <c r="M2" s="10" t="s">
        <v>449</v>
      </c>
      <c r="N2" s="10" t="s">
        <v>450</v>
      </c>
      <c r="O2" s="10" t="s">
        <v>451</v>
      </c>
      <c r="P2" s="10" t="s">
        <v>452</v>
      </c>
      <c r="Q2" s="10" t="s">
        <v>453</v>
      </c>
      <c r="R2" s="10" t="s">
        <v>454</v>
      </c>
      <c r="S2" s="9" t="s">
        <v>455</v>
      </c>
      <c r="T2" s="9" t="s">
        <v>456</v>
      </c>
      <c r="U2" s="9" t="s">
        <v>457</v>
      </c>
      <c r="V2" s="9" t="s">
        <v>458</v>
      </c>
      <c r="W2" s="9" t="s">
        <v>459</v>
      </c>
      <c r="X2" s="9" t="s">
        <v>460</v>
      </c>
    </row>
    <row r="3" spans="1:24" x14ac:dyDescent="0.2">
      <c r="A3" s="4" t="s">
        <v>15</v>
      </c>
      <c r="B3" s="5">
        <v>378323000000</v>
      </c>
      <c r="C3" s="5">
        <v>365817000000</v>
      </c>
      <c r="D3" s="5">
        <v>274515000000</v>
      </c>
      <c r="E3" s="5">
        <v>260174000000</v>
      </c>
      <c r="F3" s="5">
        <v>265595000000</v>
      </c>
      <c r="G3" s="5">
        <v>229234000000</v>
      </c>
      <c r="H3" s="5">
        <v>215639000000</v>
      </c>
      <c r="I3" s="5">
        <v>233715000000</v>
      </c>
      <c r="J3" s="5">
        <v>182795000000</v>
      </c>
      <c r="K3" s="5">
        <v>170910000000</v>
      </c>
      <c r="L3" s="5">
        <v>156508000000</v>
      </c>
      <c r="M3" s="5">
        <v>108249000000</v>
      </c>
      <c r="N3" s="5">
        <v>65225000000</v>
      </c>
      <c r="O3" s="5">
        <v>36537000000</v>
      </c>
      <c r="P3" s="5">
        <v>32479000000</v>
      </c>
      <c r="Q3" s="5">
        <v>24006000000</v>
      </c>
      <c r="R3" s="5">
        <v>19315000000</v>
      </c>
      <c r="S3" s="5">
        <v>13931000000</v>
      </c>
      <c r="T3" s="5">
        <v>8279000000</v>
      </c>
      <c r="U3" s="5">
        <v>6207000000</v>
      </c>
      <c r="V3" s="5">
        <v>5742000000</v>
      </c>
      <c r="W3" s="5">
        <v>5363000000</v>
      </c>
      <c r="X3" s="5">
        <v>7983000000</v>
      </c>
    </row>
    <row r="4" spans="1:24" x14ac:dyDescent="0.2">
      <c r="A4" s="4" t="s">
        <v>55</v>
      </c>
      <c r="B4" s="5">
        <v>215572000000</v>
      </c>
      <c r="C4" s="5">
        <v>212981000000</v>
      </c>
      <c r="D4" s="5">
        <v>169559000000</v>
      </c>
      <c r="E4" s="5">
        <v>161782000000</v>
      </c>
      <c r="F4" s="5">
        <v>163756000000</v>
      </c>
      <c r="G4" s="5">
        <v>141048000000</v>
      </c>
      <c r="H4" s="5">
        <v>131376000000</v>
      </c>
      <c r="I4" s="5">
        <v>140089000000</v>
      </c>
      <c r="J4" s="5">
        <v>112258000000</v>
      </c>
      <c r="K4" s="5">
        <v>106606000000</v>
      </c>
      <c r="L4" s="5">
        <v>87846000000</v>
      </c>
      <c r="M4" s="5">
        <v>64431000000</v>
      </c>
      <c r="N4" s="5">
        <v>39541000000</v>
      </c>
      <c r="O4" s="5">
        <v>23397000000</v>
      </c>
      <c r="P4" s="5">
        <v>21334000000</v>
      </c>
      <c r="Q4" s="5">
        <v>15852000000</v>
      </c>
      <c r="R4" s="5">
        <v>13717000000</v>
      </c>
      <c r="S4" s="5">
        <v>9888000000</v>
      </c>
      <c r="T4" s="5">
        <v>6020000000</v>
      </c>
      <c r="U4" s="5">
        <v>4499000000</v>
      </c>
      <c r="V4" s="5">
        <v>4139000000</v>
      </c>
      <c r="W4" s="5">
        <v>4128000000</v>
      </c>
      <c r="X4" s="5">
        <v>5817000000</v>
      </c>
    </row>
    <row r="5" spans="1:24" x14ac:dyDescent="0.2">
      <c r="A5" s="4" t="s">
        <v>56</v>
      </c>
      <c r="B5" s="5">
        <v>162751000000</v>
      </c>
      <c r="C5" s="5">
        <v>152836000000</v>
      </c>
      <c r="D5" s="5">
        <v>104956000000</v>
      </c>
      <c r="E5" s="5">
        <v>98392000000</v>
      </c>
      <c r="F5" s="5">
        <v>101839000000</v>
      </c>
      <c r="G5" s="5">
        <v>88186000000</v>
      </c>
      <c r="H5" s="5">
        <v>84263000000</v>
      </c>
      <c r="I5" s="5">
        <v>93626000000</v>
      </c>
      <c r="J5" s="5">
        <v>70537000000</v>
      </c>
      <c r="K5" s="5">
        <v>64304000000</v>
      </c>
      <c r="L5" s="5">
        <v>68662000000</v>
      </c>
      <c r="M5" s="5">
        <v>43818000000</v>
      </c>
      <c r="N5" s="5">
        <v>25684000000</v>
      </c>
      <c r="O5" s="5">
        <v>13140000000</v>
      </c>
      <c r="P5" s="5">
        <v>11145000000</v>
      </c>
      <c r="Q5" s="5">
        <v>8154000000</v>
      </c>
      <c r="R5" s="5">
        <v>5598000000</v>
      </c>
      <c r="S5" s="5">
        <v>4043000000</v>
      </c>
      <c r="T5" s="5">
        <v>2259000000</v>
      </c>
      <c r="U5" s="5">
        <v>1708000000</v>
      </c>
      <c r="V5" s="5">
        <v>1603000000</v>
      </c>
      <c r="W5" s="5">
        <v>1235000000</v>
      </c>
      <c r="X5" s="5">
        <v>2166000000</v>
      </c>
    </row>
    <row r="6" spans="1:24" x14ac:dyDescent="0.2">
      <c r="A6" s="4" t="s">
        <v>57</v>
      </c>
      <c r="B6" s="6">
        <v>0.4294</v>
      </c>
      <c r="C6" s="6">
        <v>0.4178</v>
      </c>
      <c r="D6" s="6">
        <v>0.38229999999999997</v>
      </c>
      <c r="E6" s="6">
        <v>0.37819999999999998</v>
      </c>
      <c r="F6" s="6">
        <v>0.38340000000000002</v>
      </c>
      <c r="G6" s="6">
        <v>0.38469999999999999</v>
      </c>
      <c r="H6" s="6">
        <v>0.39079999999999998</v>
      </c>
      <c r="I6" s="6">
        <v>0.40060000000000001</v>
      </c>
      <c r="J6" s="6">
        <v>0.38590000000000002</v>
      </c>
      <c r="K6" s="6">
        <v>0.37619999999999998</v>
      </c>
      <c r="L6" s="6">
        <v>0.43869999999999998</v>
      </c>
      <c r="M6" s="6">
        <v>0.40479999999999999</v>
      </c>
      <c r="N6" s="6">
        <v>0.39379999999999998</v>
      </c>
      <c r="O6" s="6">
        <v>0.35959999999999998</v>
      </c>
      <c r="P6" s="6">
        <v>0.34310000000000002</v>
      </c>
      <c r="Q6" s="6">
        <v>0.3397</v>
      </c>
      <c r="R6" s="6">
        <v>0.2898</v>
      </c>
      <c r="S6" s="6">
        <v>0.29020000000000001</v>
      </c>
      <c r="T6" s="6">
        <v>0.27289999999999998</v>
      </c>
      <c r="U6" s="6">
        <v>0.2752</v>
      </c>
      <c r="V6" s="6">
        <v>0.2792</v>
      </c>
      <c r="W6" s="6">
        <v>0.2303</v>
      </c>
      <c r="X6" s="6">
        <v>0.27129999999999999</v>
      </c>
    </row>
    <row r="7" spans="1:24" x14ac:dyDescent="0.2">
      <c r="A7" s="4" t="s">
        <v>58</v>
      </c>
      <c r="B7" s="5">
        <v>22791000000</v>
      </c>
      <c r="C7" s="5">
        <v>21973000000</v>
      </c>
      <c r="D7" s="5">
        <v>19916000000</v>
      </c>
      <c r="E7" s="5">
        <v>18245000000</v>
      </c>
      <c r="F7" s="5">
        <v>16705000000</v>
      </c>
      <c r="G7" s="5">
        <v>15261000000</v>
      </c>
      <c r="H7" s="5">
        <v>14194000000</v>
      </c>
      <c r="I7" s="5">
        <v>14329000000</v>
      </c>
      <c r="J7" s="5">
        <v>11993000000</v>
      </c>
      <c r="K7" s="5">
        <v>10830000000</v>
      </c>
      <c r="L7" s="5">
        <v>10040000000</v>
      </c>
      <c r="M7" s="5">
        <v>7599000000</v>
      </c>
      <c r="N7" s="5">
        <v>5517000000</v>
      </c>
      <c r="O7" s="5">
        <v>4149000000</v>
      </c>
      <c r="P7" s="5">
        <v>3761000000</v>
      </c>
      <c r="Q7" s="5">
        <v>2963000000</v>
      </c>
      <c r="R7" s="5">
        <v>2433000000</v>
      </c>
      <c r="S7" s="5">
        <v>1859000000</v>
      </c>
      <c r="T7" s="5">
        <v>1421000000</v>
      </c>
      <c r="U7" s="5">
        <v>1212000000</v>
      </c>
      <c r="V7" s="5">
        <v>1111000000</v>
      </c>
      <c r="W7" s="5">
        <v>1138000000</v>
      </c>
      <c r="X7" s="5">
        <v>1166000000</v>
      </c>
    </row>
    <row r="8" spans="1:24" x14ac:dyDescent="0.2">
      <c r="A8" s="4" t="s">
        <v>59</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row>
    <row r="9" spans="1:24" x14ac:dyDescent="0.2">
      <c r="A9" s="4" t="s">
        <v>60</v>
      </c>
      <c r="B9" s="5">
        <v>23057000000</v>
      </c>
      <c r="C9" s="5">
        <v>21914000000</v>
      </c>
      <c r="D9" s="5">
        <v>18752000000</v>
      </c>
      <c r="E9" s="5">
        <v>16217000000</v>
      </c>
      <c r="F9" s="5">
        <v>14236000000</v>
      </c>
      <c r="G9" s="5">
        <v>11581000000</v>
      </c>
      <c r="H9" s="5">
        <v>10045000000</v>
      </c>
      <c r="I9" s="5">
        <v>8067000000</v>
      </c>
      <c r="J9" s="5">
        <v>6041000000</v>
      </c>
      <c r="K9" s="5">
        <v>4475000000</v>
      </c>
      <c r="L9" s="5">
        <v>3381000000</v>
      </c>
      <c r="M9" s="5">
        <v>2429000000</v>
      </c>
      <c r="N9" s="5">
        <v>1782000000</v>
      </c>
      <c r="O9" s="5">
        <v>1333000000</v>
      </c>
      <c r="P9" s="5">
        <v>1109000000</v>
      </c>
      <c r="Q9" s="5">
        <v>782000000</v>
      </c>
      <c r="R9" s="5">
        <v>712000000</v>
      </c>
      <c r="S9" s="5">
        <v>534000000</v>
      </c>
      <c r="T9" s="5">
        <v>489000000</v>
      </c>
      <c r="U9" s="5">
        <v>471000000</v>
      </c>
      <c r="V9" s="5">
        <v>447000000</v>
      </c>
      <c r="W9" s="5">
        <v>441000000</v>
      </c>
      <c r="X9" s="5">
        <v>380000000</v>
      </c>
    </row>
    <row r="10" spans="1:24" x14ac:dyDescent="0.2">
      <c r="A10" s="4" t="s">
        <v>61</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row>
    <row r="11" spans="1:24" x14ac:dyDescent="0.2">
      <c r="A11" s="4" t="s">
        <v>62</v>
      </c>
      <c r="B11" s="5">
        <v>45848000000</v>
      </c>
      <c r="C11" s="5">
        <v>43887000000</v>
      </c>
      <c r="D11" s="5">
        <v>38668000000</v>
      </c>
      <c r="E11" s="5">
        <v>34462000000</v>
      </c>
      <c r="F11" s="5">
        <v>30941000000</v>
      </c>
      <c r="G11" s="5">
        <v>26842000000</v>
      </c>
      <c r="H11" s="5">
        <v>24239000000</v>
      </c>
      <c r="I11" s="5">
        <v>22396000000</v>
      </c>
      <c r="J11" s="5">
        <v>18034000000</v>
      </c>
      <c r="K11" s="5">
        <v>15305000000</v>
      </c>
      <c r="L11" s="5">
        <v>13421000000</v>
      </c>
      <c r="M11" s="5">
        <v>10028000000</v>
      </c>
      <c r="N11" s="5">
        <v>7299000000</v>
      </c>
      <c r="O11" s="5">
        <v>5482000000</v>
      </c>
      <c r="P11" s="5">
        <v>4870000000</v>
      </c>
      <c r="Q11" s="5">
        <v>3745000000</v>
      </c>
      <c r="R11" s="5">
        <v>3145000000</v>
      </c>
      <c r="S11" s="5">
        <v>2393000000</v>
      </c>
      <c r="T11" s="5">
        <v>1910000000</v>
      </c>
      <c r="U11" s="5">
        <v>1683000000</v>
      </c>
      <c r="V11" s="5">
        <v>1558000000</v>
      </c>
      <c r="W11" s="5">
        <v>1579000000</v>
      </c>
      <c r="X11" s="5">
        <v>1546000000</v>
      </c>
    </row>
    <row r="12" spans="1:24" x14ac:dyDescent="0.2">
      <c r="A12" s="4" t="s">
        <v>63</v>
      </c>
      <c r="B12" s="5">
        <v>116903000000</v>
      </c>
      <c r="C12" s="5">
        <v>108949000000</v>
      </c>
      <c r="D12" s="5">
        <v>66288000000</v>
      </c>
      <c r="E12" s="5">
        <v>63930000000</v>
      </c>
      <c r="F12" s="5">
        <v>70898000000</v>
      </c>
      <c r="G12" s="5">
        <v>61344000000</v>
      </c>
      <c r="H12" s="5">
        <v>60024000000</v>
      </c>
      <c r="I12" s="5">
        <v>71230000000</v>
      </c>
      <c r="J12" s="5">
        <v>52503000000</v>
      </c>
      <c r="K12" s="5">
        <v>48999000000</v>
      </c>
      <c r="L12" s="5">
        <v>55241000000</v>
      </c>
      <c r="M12" s="5">
        <v>33790000000</v>
      </c>
      <c r="N12" s="5">
        <v>18385000000</v>
      </c>
      <c r="O12" s="5">
        <v>7658000000</v>
      </c>
      <c r="P12" s="5">
        <v>6275000000</v>
      </c>
      <c r="Q12" s="5">
        <v>4409000000</v>
      </c>
      <c r="R12" s="5">
        <v>2453000000</v>
      </c>
      <c r="S12" s="5">
        <v>1650000000</v>
      </c>
      <c r="T12" s="5">
        <v>349000000</v>
      </c>
      <c r="U12" s="5">
        <v>25000000</v>
      </c>
      <c r="V12" s="5">
        <v>45000000</v>
      </c>
      <c r="W12" s="5">
        <v>-344000000</v>
      </c>
      <c r="X12" s="5">
        <v>620000000</v>
      </c>
    </row>
    <row r="13" spans="1:24" x14ac:dyDescent="0.2">
      <c r="A13" s="4" t="s">
        <v>64</v>
      </c>
      <c r="B13" s="6">
        <v>0.30580000000000002</v>
      </c>
      <c r="C13" s="6">
        <v>0.29780000000000001</v>
      </c>
      <c r="D13" s="6">
        <v>0.24149999999999999</v>
      </c>
      <c r="E13" s="6">
        <v>0.2457</v>
      </c>
      <c r="F13" s="6">
        <v>0.26690000000000003</v>
      </c>
      <c r="G13" s="6">
        <v>0.2676</v>
      </c>
      <c r="H13" s="6">
        <v>0.27839999999999998</v>
      </c>
      <c r="I13" s="6">
        <v>0.30480000000000002</v>
      </c>
      <c r="J13" s="6">
        <v>0.28720000000000001</v>
      </c>
      <c r="K13" s="6">
        <v>0.28670000000000001</v>
      </c>
      <c r="L13" s="6">
        <v>0.35299999999999998</v>
      </c>
      <c r="M13" s="6">
        <v>0.31219999999999998</v>
      </c>
      <c r="N13" s="6">
        <v>0.28189999999999998</v>
      </c>
      <c r="O13" s="6">
        <v>0.20960000000000001</v>
      </c>
      <c r="P13" s="6">
        <v>0.19320000000000001</v>
      </c>
      <c r="Q13" s="6">
        <v>0.1837</v>
      </c>
      <c r="R13" s="6">
        <v>0.127</v>
      </c>
      <c r="S13" s="6">
        <v>0.11840000000000001</v>
      </c>
      <c r="T13" s="6">
        <v>4.2200000000000001E-2</v>
      </c>
      <c r="U13" s="6">
        <v>4.0000000000000001E-3</v>
      </c>
      <c r="V13" s="6">
        <v>7.7999999999999996E-3</v>
      </c>
      <c r="W13" s="6">
        <v>-6.4100000000000004E-2</v>
      </c>
      <c r="X13" s="6">
        <v>7.7700000000000005E-2</v>
      </c>
    </row>
    <row r="14" spans="1:24" x14ac:dyDescent="0.2">
      <c r="A14" s="4" t="s">
        <v>65</v>
      </c>
      <c r="B14" s="5">
        <v>2746000000</v>
      </c>
      <c r="C14" s="5">
        <v>2843000000</v>
      </c>
      <c r="D14" s="5">
        <v>3763000000</v>
      </c>
      <c r="E14" s="5">
        <v>4961000000</v>
      </c>
      <c r="F14" s="5">
        <v>5686000000</v>
      </c>
      <c r="G14" s="5">
        <v>5201000000</v>
      </c>
      <c r="H14" s="5">
        <v>3999000000</v>
      </c>
      <c r="I14" s="5">
        <v>0</v>
      </c>
      <c r="J14" s="5">
        <v>0</v>
      </c>
      <c r="K14" s="5">
        <v>0</v>
      </c>
      <c r="L14" s="5">
        <v>0</v>
      </c>
      <c r="M14" s="5">
        <v>0</v>
      </c>
      <c r="N14" s="5">
        <v>0</v>
      </c>
      <c r="O14" s="5">
        <v>0</v>
      </c>
      <c r="P14" s="5">
        <v>0</v>
      </c>
      <c r="Q14" s="5">
        <v>0</v>
      </c>
      <c r="R14" s="5">
        <v>0</v>
      </c>
      <c r="S14" s="5">
        <v>0</v>
      </c>
      <c r="T14" s="5">
        <v>0</v>
      </c>
      <c r="U14" s="5">
        <v>0</v>
      </c>
      <c r="V14" s="5">
        <v>0</v>
      </c>
      <c r="W14" s="5">
        <v>0</v>
      </c>
      <c r="X14" s="5">
        <v>0</v>
      </c>
    </row>
    <row r="15" spans="1:24" x14ac:dyDescent="0.2">
      <c r="A15" s="4" t="s">
        <v>66</v>
      </c>
      <c r="B15" s="5">
        <v>2701000000</v>
      </c>
      <c r="C15" s="5">
        <v>2645000000</v>
      </c>
      <c r="D15" s="5">
        <v>2873000000</v>
      </c>
      <c r="E15" s="5">
        <v>3576000000</v>
      </c>
      <c r="F15" s="5">
        <v>3240000000</v>
      </c>
      <c r="G15" s="5">
        <v>2323000000</v>
      </c>
      <c r="H15" s="5">
        <v>1456000000</v>
      </c>
      <c r="I15" s="5">
        <v>733000000</v>
      </c>
      <c r="J15" s="5">
        <v>384000000</v>
      </c>
      <c r="K15" s="5">
        <v>136000000</v>
      </c>
      <c r="L15" s="5">
        <v>0</v>
      </c>
      <c r="M15" s="5">
        <v>0</v>
      </c>
      <c r="N15" s="5">
        <v>0</v>
      </c>
      <c r="O15" s="5">
        <v>0</v>
      </c>
      <c r="P15" s="5">
        <v>0</v>
      </c>
      <c r="Q15" s="5">
        <v>0</v>
      </c>
      <c r="R15" s="5">
        <v>0</v>
      </c>
      <c r="S15" s="5">
        <v>0</v>
      </c>
      <c r="T15" s="5">
        <v>3000000</v>
      </c>
      <c r="U15" s="5">
        <v>8000000</v>
      </c>
      <c r="V15" s="5">
        <v>11000000</v>
      </c>
      <c r="W15" s="5">
        <v>16000000</v>
      </c>
      <c r="X15" s="5">
        <v>21000000</v>
      </c>
    </row>
    <row r="16" spans="1:24" x14ac:dyDescent="0.2">
      <c r="A16" s="4" t="s">
        <v>67</v>
      </c>
      <c r="B16" s="5">
        <v>45000000</v>
      </c>
      <c r="C16" s="5">
        <v>198000000</v>
      </c>
      <c r="D16" s="5">
        <v>890000000</v>
      </c>
      <c r="E16" s="5">
        <v>1385000000</v>
      </c>
      <c r="F16" s="5">
        <v>2446000000</v>
      </c>
      <c r="G16" s="5">
        <v>2878000000</v>
      </c>
      <c r="H16" s="5">
        <v>2543000000</v>
      </c>
      <c r="I16" s="5">
        <v>0</v>
      </c>
      <c r="J16" s="5">
        <v>0</v>
      </c>
      <c r="K16" s="5">
        <v>0</v>
      </c>
      <c r="L16" s="5">
        <v>0</v>
      </c>
      <c r="M16" s="5">
        <v>0</v>
      </c>
      <c r="N16" s="5">
        <v>0</v>
      </c>
      <c r="O16" s="5">
        <v>0</v>
      </c>
      <c r="P16" s="5">
        <v>0</v>
      </c>
      <c r="Q16" s="5">
        <v>0</v>
      </c>
      <c r="R16" s="5">
        <v>0</v>
      </c>
      <c r="S16" s="5">
        <v>0</v>
      </c>
      <c r="T16" s="5">
        <v>0</v>
      </c>
      <c r="U16" s="5">
        <v>0</v>
      </c>
      <c r="V16" s="5">
        <v>0</v>
      </c>
      <c r="W16" s="5">
        <v>0</v>
      </c>
      <c r="X16" s="5">
        <v>0</v>
      </c>
    </row>
    <row r="17" spans="1:24" x14ac:dyDescent="0.2">
      <c r="A17" s="4" t="s">
        <v>68</v>
      </c>
      <c r="B17" s="5">
        <v>-34000000</v>
      </c>
      <c r="C17" s="5">
        <v>258000000</v>
      </c>
      <c r="D17" s="5">
        <v>803000000</v>
      </c>
      <c r="E17" s="5">
        <v>1807000000</v>
      </c>
      <c r="F17" s="5">
        <v>2005000000</v>
      </c>
      <c r="G17" s="5">
        <v>-2745000000</v>
      </c>
      <c r="H17" s="5">
        <v>-1348000000</v>
      </c>
      <c r="I17" s="5">
        <v>-1285000000</v>
      </c>
      <c r="J17" s="5">
        <v>-980000000</v>
      </c>
      <c r="K17" s="5">
        <v>-1156000000</v>
      </c>
      <c r="L17" s="5">
        <v>-522000000</v>
      </c>
      <c r="M17" s="5">
        <v>-415000000</v>
      </c>
      <c r="N17" s="5">
        <v>-155000000</v>
      </c>
      <c r="O17" s="5">
        <v>-326000000</v>
      </c>
      <c r="P17" s="5">
        <v>-620000000</v>
      </c>
      <c r="Q17" s="5">
        <v>-599000000</v>
      </c>
      <c r="R17" s="5">
        <v>-365000000</v>
      </c>
      <c r="S17" s="5">
        <v>-165000000</v>
      </c>
      <c r="T17" s="5"/>
      <c r="U17" s="5">
        <v>-67000000</v>
      </c>
      <c r="V17" s="5">
        <v>-42000000</v>
      </c>
      <c r="W17" s="5">
        <v>-292000000</v>
      </c>
      <c r="X17" s="5">
        <v>-472000000</v>
      </c>
    </row>
    <row r="18" spans="1:24" x14ac:dyDescent="0.2">
      <c r="A18" s="4" t="s">
        <v>69</v>
      </c>
      <c r="B18" s="5">
        <v>116869000000</v>
      </c>
      <c r="C18" s="5">
        <v>109207000000</v>
      </c>
      <c r="D18" s="5">
        <v>67091000000</v>
      </c>
      <c r="E18" s="5">
        <v>65737000000</v>
      </c>
      <c r="F18" s="5">
        <v>72903000000</v>
      </c>
      <c r="G18" s="5">
        <v>64089000000</v>
      </c>
      <c r="H18" s="5">
        <v>61372000000</v>
      </c>
      <c r="I18" s="5">
        <v>72515000000</v>
      </c>
      <c r="J18" s="5">
        <v>53483000000</v>
      </c>
      <c r="K18" s="5">
        <v>50155000000</v>
      </c>
      <c r="L18" s="5">
        <v>55763000000</v>
      </c>
      <c r="M18" s="5">
        <v>34205000000</v>
      </c>
      <c r="N18" s="5">
        <v>18540000000</v>
      </c>
      <c r="O18" s="5">
        <v>7984000000</v>
      </c>
      <c r="P18" s="5">
        <v>6895000000</v>
      </c>
      <c r="Q18" s="5">
        <v>5008000000</v>
      </c>
      <c r="R18" s="5">
        <v>2818000000</v>
      </c>
      <c r="S18" s="5">
        <v>1815000000</v>
      </c>
      <c r="T18" s="5">
        <v>383000000</v>
      </c>
      <c r="U18" s="5">
        <v>92000000</v>
      </c>
      <c r="V18" s="5">
        <v>87000000</v>
      </c>
      <c r="W18" s="5">
        <v>-52000000</v>
      </c>
      <c r="X18" s="5">
        <v>1092000000</v>
      </c>
    </row>
    <row r="19" spans="1:24" x14ac:dyDescent="0.2">
      <c r="A19" s="4" t="s">
        <v>70</v>
      </c>
      <c r="B19" s="5">
        <v>16314000000</v>
      </c>
      <c r="C19" s="5">
        <v>14527000000</v>
      </c>
      <c r="D19" s="5">
        <v>9680000000</v>
      </c>
      <c r="E19" s="5">
        <v>10481000000</v>
      </c>
      <c r="F19" s="5">
        <v>13372000000</v>
      </c>
      <c r="G19" s="5">
        <v>15738000000</v>
      </c>
      <c r="H19" s="5">
        <v>15685000000</v>
      </c>
      <c r="I19" s="5">
        <v>19121000000</v>
      </c>
      <c r="J19" s="5">
        <v>13973000000</v>
      </c>
      <c r="K19" s="5">
        <v>13118000000</v>
      </c>
      <c r="L19" s="5">
        <v>14030000000</v>
      </c>
      <c r="M19" s="5">
        <v>8283000000</v>
      </c>
      <c r="N19" s="5">
        <v>4527000000</v>
      </c>
      <c r="O19" s="5">
        <v>2280000000</v>
      </c>
      <c r="P19" s="5">
        <v>2061000000</v>
      </c>
      <c r="Q19" s="5">
        <v>1512000000</v>
      </c>
      <c r="R19" s="5">
        <v>829000000</v>
      </c>
      <c r="S19" s="5">
        <v>480000000</v>
      </c>
      <c r="T19" s="5">
        <v>107000000</v>
      </c>
      <c r="U19" s="5">
        <v>24000000</v>
      </c>
      <c r="V19" s="5">
        <v>22000000</v>
      </c>
      <c r="W19" s="5">
        <v>-15000000</v>
      </c>
      <c r="X19" s="5">
        <v>306000000</v>
      </c>
    </row>
    <row r="20" spans="1:24" x14ac:dyDescent="0.2">
      <c r="A20" s="4" t="s">
        <v>71</v>
      </c>
      <c r="B20" s="6">
        <v>0.1351</v>
      </c>
      <c r="C20" s="6">
        <v>0.13300000000000001</v>
      </c>
      <c r="D20" s="6">
        <v>0.14430000000000001</v>
      </c>
      <c r="E20" s="6">
        <v>0.15939999999999999</v>
      </c>
      <c r="F20" s="6">
        <v>0.18340000000000001</v>
      </c>
      <c r="G20" s="6">
        <v>0.24560000000000001</v>
      </c>
      <c r="H20" s="6">
        <v>0.25559999999999999</v>
      </c>
      <c r="I20" s="6">
        <v>0.26369999999999999</v>
      </c>
      <c r="J20" s="6">
        <v>0.26129999999999998</v>
      </c>
      <c r="K20" s="6">
        <v>0.26150000000000001</v>
      </c>
      <c r="L20" s="6">
        <v>0.25159999999999999</v>
      </c>
      <c r="M20" s="6">
        <v>0.2422</v>
      </c>
      <c r="N20" s="6">
        <v>0.2442</v>
      </c>
      <c r="O20" s="6">
        <v>0.28560000000000002</v>
      </c>
      <c r="P20" s="6">
        <v>0.2989</v>
      </c>
      <c r="Q20" s="6">
        <v>0.3019</v>
      </c>
      <c r="R20" s="6">
        <v>0.29420000000000002</v>
      </c>
      <c r="S20" s="6">
        <v>0.26450000000000001</v>
      </c>
      <c r="T20" s="6">
        <v>0.27939999999999998</v>
      </c>
      <c r="U20" s="6">
        <v>0.26090000000000002</v>
      </c>
      <c r="V20" s="6">
        <v>0.25290000000000001</v>
      </c>
      <c r="W20" s="6">
        <v>0.28849999999999998</v>
      </c>
      <c r="X20" s="6">
        <v>0.2802</v>
      </c>
    </row>
    <row r="21" spans="1:24" x14ac:dyDescent="0.2">
      <c r="A21" s="4" t="s">
        <v>72</v>
      </c>
      <c r="B21" s="5">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row>
    <row r="22" spans="1:24" x14ac:dyDescent="0.2">
      <c r="A22" s="4" t="s">
        <v>73</v>
      </c>
      <c r="B22" s="5">
        <v>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row>
    <row r="23" spans="1:24" x14ac:dyDescent="0.2">
      <c r="A23" s="4" t="s">
        <v>74</v>
      </c>
      <c r="B23" s="5">
        <v>100555000000</v>
      </c>
      <c r="C23" s="5">
        <v>94680000000</v>
      </c>
      <c r="D23" s="5">
        <v>57411000000</v>
      </c>
      <c r="E23" s="5">
        <v>55256000000</v>
      </c>
      <c r="F23" s="5">
        <v>59531000000</v>
      </c>
      <c r="G23" s="5">
        <v>48351000000</v>
      </c>
      <c r="H23" s="5">
        <v>45687000000</v>
      </c>
      <c r="I23" s="5">
        <v>53394000000</v>
      </c>
      <c r="J23" s="5">
        <v>39510000000</v>
      </c>
      <c r="K23" s="5">
        <v>37037000000</v>
      </c>
      <c r="L23" s="5">
        <v>41733000000</v>
      </c>
      <c r="M23" s="5">
        <v>25922000000</v>
      </c>
      <c r="N23" s="5">
        <v>14013000000</v>
      </c>
      <c r="O23" s="5">
        <v>8235000000</v>
      </c>
      <c r="P23" s="5">
        <v>0</v>
      </c>
      <c r="Q23" s="5">
        <v>0</v>
      </c>
      <c r="R23" s="5">
        <v>0</v>
      </c>
      <c r="S23" s="5">
        <v>0</v>
      </c>
      <c r="T23" s="5">
        <v>0</v>
      </c>
      <c r="U23" s="5">
        <v>0</v>
      </c>
      <c r="V23" s="5">
        <v>0</v>
      </c>
      <c r="W23" s="5">
        <v>0</v>
      </c>
      <c r="X23" s="5">
        <v>0</v>
      </c>
    </row>
    <row r="24" spans="1:24" x14ac:dyDescent="0.2">
      <c r="A24" s="4" t="s">
        <v>75</v>
      </c>
      <c r="B24" s="5">
        <v>100555000000</v>
      </c>
      <c r="C24" s="5">
        <v>94680000000</v>
      </c>
      <c r="D24" s="5">
        <v>57411000000</v>
      </c>
      <c r="E24" s="5">
        <v>55256000000</v>
      </c>
      <c r="F24" s="5">
        <v>59531000000</v>
      </c>
      <c r="G24" s="5">
        <v>48351000000</v>
      </c>
      <c r="H24" s="5">
        <v>45687000000</v>
      </c>
      <c r="I24" s="5">
        <v>53394000000</v>
      </c>
      <c r="J24" s="5">
        <v>39510000000</v>
      </c>
      <c r="K24" s="5">
        <v>37037000000</v>
      </c>
      <c r="L24" s="5">
        <v>41733000000</v>
      </c>
      <c r="M24" s="5">
        <v>25922000000</v>
      </c>
      <c r="N24" s="5">
        <v>14013000000</v>
      </c>
      <c r="O24" s="5">
        <v>5704000000</v>
      </c>
      <c r="P24" s="5">
        <v>4834000000</v>
      </c>
      <c r="Q24" s="5">
        <v>3496000000</v>
      </c>
      <c r="R24" s="5">
        <v>1989000000</v>
      </c>
      <c r="S24" s="5">
        <v>1335000000</v>
      </c>
      <c r="T24" s="5">
        <v>276000000</v>
      </c>
      <c r="U24" s="5">
        <v>69000000</v>
      </c>
      <c r="V24" s="5">
        <v>65000000</v>
      </c>
      <c r="W24" s="5">
        <v>-25000000</v>
      </c>
      <c r="X24" s="5">
        <v>786000000</v>
      </c>
    </row>
    <row r="25" spans="1:24" x14ac:dyDescent="0.2">
      <c r="A25" s="4" t="s">
        <v>76</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row>
    <row r="26" spans="1:24" x14ac:dyDescent="0.2">
      <c r="A26" s="4" t="s">
        <v>77</v>
      </c>
      <c r="B26" s="5">
        <v>100555000000</v>
      </c>
      <c r="C26" s="5">
        <v>94680000000</v>
      </c>
      <c r="D26" s="5">
        <v>57411000000</v>
      </c>
      <c r="E26" s="5">
        <v>55256000000</v>
      </c>
      <c r="F26" s="5">
        <v>59531000000</v>
      </c>
      <c r="G26" s="5">
        <v>48351000000</v>
      </c>
      <c r="H26" s="5">
        <v>45687000000</v>
      </c>
      <c r="I26" s="5">
        <v>53394000000</v>
      </c>
      <c r="J26" s="5">
        <v>39510000000</v>
      </c>
      <c r="K26" s="5">
        <v>37037000000</v>
      </c>
      <c r="L26" s="5">
        <v>41733000000</v>
      </c>
      <c r="M26" s="5">
        <v>25922000000</v>
      </c>
      <c r="N26" s="5">
        <v>14013000000</v>
      </c>
      <c r="O26" s="5">
        <v>8235000000</v>
      </c>
      <c r="P26" s="5">
        <v>4834000000</v>
      </c>
      <c r="Q26" s="5">
        <v>3496000000</v>
      </c>
      <c r="R26" s="5">
        <v>1989000000</v>
      </c>
      <c r="S26" s="5">
        <v>1335000000</v>
      </c>
      <c r="T26" s="5">
        <v>276000000</v>
      </c>
      <c r="U26" s="5">
        <v>68000000</v>
      </c>
      <c r="V26" s="5">
        <v>65000000</v>
      </c>
      <c r="W26" s="5">
        <v>0</v>
      </c>
      <c r="X26" s="5">
        <v>786000000</v>
      </c>
    </row>
    <row r="27" spans="1:24" x14ac:dyDescent="0.2">
      <c r="A27" s="4" t="s">
        <v>78</v>
      </c>
      <c r="B27" s="6">
        <v>0.26419999999999999</v>
      </c>
      <c r="C27" s="6">
        <v>0.25879999999999997</v>
      </c>
      <c r="D27" s="6">
        <v>0.20910000000000001</v>
      </c>
      <c r="E27" s="6">
        <v>0.21240000000000001</v>
      </c>
      <c r="F27" s="6">
        <v>0.22409999999999999</v>
      </c>
      <c r="G27" s="6">
        <v>0.2109</v>
      </c>
      <c r="H27" s="6">
        <v>0.21190000000000001</v>
      </c>
      <c r="I27" s="6">
        <v>0.22850000000000001</v>
      </c>
      <c r="J27" s="6">
        <v>0.21609999999999999</v>
      </c>
      <c r="K27" s="6">
        <v>0.2167</v>
      </c>
      <c r="L27" s="6">
        <v>0.26669999999999999</v>
      </c>
      <c r="M27" s="6">
        <v>0.23949999999999999</v>
      </c>
      <c r="N27" s="6">
        <v>0.21479999999999999</v>
      </c>
      <c r="O27" s="6">
        <v>0.22539999999999999</v>
      </c>
      <c r="P27" s="6">
        <v>0</v>
      </c>
      <c r="Q27" s="6">
        <v>0</v>
      </c>
      <c r="R27" s="6">
        <v>0</v>
      </c>
      <c r="S27" s="6">
        <v>0</v>
      </c>
      <c r="T27" s="6">
        <v>0</v>
      </c>
      <c r="U27" s="6">
        <v>0</v>
      </c>
      <c r="V27" s="6">
        <v>0</v>
      </c>
      <c r="W27" s="6">
        <v>0</v>
      </c>
      <c r="X27" s="6">
        <v>0</v>
      </c>
    </row>
    <row r="28" spans="1:24" x14ac:dyDescent="0.2">
      <c r="A28" s="4" t="s">
        <v>79</v>
      </c>
      <c r="B28" s="5">
        <v>119570000000</v>
      </c>
      <c r="C28" s="5">
        <v>111852000000</v>
      </c>
      <c r="D28" s="5">
        <v>69964000000</v>
      </c>
      <c r="E28" s="5">
        <v>69313000000</v>
      </c>
      <c r="F28" s="5">
        <v>76143000000</v>
      </c>
      <c r="G28" s="5">
        <v>66412000000</v>
      </c>
      <c r="H28" s="5">
        <v>62828000000</v>
      </c>
      <c r="I28" s="5">
        <v>73248000000</v>
      </c>
      <c r="J28" s="5">
        <v>53867000000</v>
      </c>
      <c r="K28" s="5">
        <v>50291000000</v>
      </c>
      <c r="L28" s="5">
        <v>55763000000</v>
      </c>
      <c r="M28" s="5">
        <v>34205000000</v>
      </c>
      <c r="N28" s="5">
        <v>18540000000</v>
      </c>
      <c r="O28" s="5">
        <v>7984000000</v>
      </c>
      <c r="P28" s="5">
        <v>6895000000</v>
      </c>
      <c r="Q28" s="5">
        <v>5008000000</v>
      </c>
      <c r="R28" s="5">
        <v>2818000000</v>
      </c>
      <c r="S28" s="5">
        <v>1815000000</v>
      </c>
      <c r="T28" s="5">
        <v>386000000</v>
      </c>
      <c r="U28" s="5">
        <v>101000000</v>
      </c>
      <c r="V28" s="5">
        <v>98000000</v>
      </c>
      <c r="W28" s="5">
        <v>-24000000</v>
      </c>
      <c r="X28" s="5">
        <v>1113000000</v>
      </c>
    </row>
    <row r="29" spans="1:24" x14ac:dyDescent="0.2">
      <c r="A29" s="4" t="s">
        <v>80</v>
      </c>
      <c r="B29" s="5">
        <v>0</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row>
    <row r="30" spans="1:24" x14ac:dyDescent="0.2">
      <c r="A30" s="4" t="s">
        <v>81</v>
      </c>
      <c r="B30" s="5">
        <v>11315000000</v>
      </c>
      <c r="C30" s="5">
        <v>11284000000</v>
      </c>
      <c r="D30" s="5">
        <v>11056000000</v>
      </c>
      <c r="E30" s="5">
        <v>12547000000</v>
      </c>
      <c r="F30" s="5">
        <v>10903000000</v>
      </c>
      <c r="G30" s="5">
        <v>10157000000</v>
      </c>
      <c r="H30" s="5">
        <v>0</v>
      </c>
      <c r="I30" s="5">
        <v>0</v>
      </c>
      <c r="J30" s="5">
        <v>0</v>
      </c>
      <c r="K30" s="5">
        <v>0</v>
      </c>
      <c r="L30" s="5">
        <v>0</v>
      </c>
      <c r="M30" s="5">
        <v>0</v>
      </c>
      <c r="N30" s="5">
        <v>0</v>
      </c>
      <c r="O30" s="5">
        <v>0</v>
      </c>
      <c r="P30" s="5">
        <v>0</v>
      </c>
      <c r="Q30" s="5">
        <v>0</v>
      </c>
      <c r="R30" s="5">
        <v>0</v>
      </c>
      <c r="S30" s="5">
        <v>0</v>
      </c>
      <c r="T30" s="5">
        <v>0</v>
      </c>
      <c r="U30" s="5">
        <v>0</v>
      </c>
      <c r="V30" s="5">
        <v>0</v>
      </c>
      <c r="W30" s="5">
        <v>0</v>
      </c>
      <c r="X30" s="5">
        <v>0</v>
      </c>
    </row>
    <row r="31" spans="1:24" x14ac:dyDescent="0.2">
      <c r="A31" s="4" t="s">
        <v>82</v>
      </c>
      <c r="B31" s="5">
        <v>0</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row>
    <row r="32" spans="1:24" x14ac:dyDescent="0.2">
      <c r="A32" s="4" t="s">
        <v>83</v>
      </c>
      <c r="B32" s="5">
        <v>130885000000</v>
      </c>
      <c r="C32" s="5">
        <v>123136000000</v>
      </c>
      <c r="D32" s="5">
        <v>81020000000</v>
      </c>
      <c r="E32" s="5">
        <v>81860000000</v>
      </c>
      <c r="F32" s="5">
        <v>87046000000</v>
      </c>
      <c r="G32" s="5">
        <v>76569000000</v>
      </c>
      <c r="H32" s="5">
        <v>73333000000</v>
      </c>
      <c r="I32" s="5">
        <v>84505000000</v>
      </c>
      <c r="J32" s="5">
        <v>61813000000</v>
      </c>
      <c r="K32" s="5">
        <v>57048000000</v>
      </c>
      <c r="L32" s="5">
        <v>59040000000</v>
      </c>
      <c r="M32" s="5">
        <v>36019000000</v>
      </c>
      <c r="N32" s="5">
        <v>19567000000</v>
      </c>
      <c r="O32" s="5">
        <v>8687000000</v>
      </c>
      <c r="P32" s="5">
        <v>7368000000</v>
      </c>
      <c r="Q32" s="5">
        <v>5325000000</v>
      </c>
      <c r="R32" s="5">
        <v>3043000000</v>
      </c>
      <c r="S32" s="5">
        <v>1994000000</v>
      </c>
      <c r="T32" s="5">
        <v>536000000</v>
      </c>
      <c r="U32" s="5">
        <v>214000000</v>
      </c>
      <c r="V32" s="5">
        <v>216000000</v>
      </c>
      <c r="W32" s="5">
        <v>78000000</v>
      </c>
      <c r="X32" s="5">
        <v>1197000000</v>
      </c>
    </row>
    <row r="33" spans="1:24" x14ac:dyDescent="0.2">
      <c r="A33" s="4" t="s">
        <v>84</v>
      </c>
      <c r="B33" s="7" t="s">
        <v>85</v>
      </c>
      <c r="C33" s="7" t="s">
        <v>85</v>
      </c>
      <c r="D33" s="7" t="s">
        <v>85</v>
      </c>
      <c r="E33" s="7" t="s">
        <v>85</v>
      </c>
      <c r="F33" s="7" t="s">
        <v>85</v>
      </c>
      <c r="G33" s="7" t="s">
        <v>85</v>
      </c>
      <c r="H33" s="7" t="s">
        <v>85</v>
      </c>
      <c r="I33" s="7" t="s">
        <v>85</v>
      </c>
      <c r="J33" s="7" t="s">
        <v>85</v>
      </c>
      <c r="K33" s="7" t="s">
        <v>85</v>
      </c>
      <c r="L33" s="7" t="s">
        <v>85</v>
      </c>
      <c r="M33" s="7" t="s">
        <v>85</v>
      </c>
      <c r="N33" s="7" t="s">
        <v>85</v>
      </c>
      <c r="O33" s="7" t="s">
        <v>85</v>
      </c>
      <c r="P33" s="7" t="s">
        <v>85</v>
      </c>
      <c r="Q33" s="7" t="s">
        <v>85</v>
      </c>
      <c r="R33" s="7" t="s">
        <v>85</v>
      </c>
      <c r="S33" s="7" t="s">
        <v>85</v>
      </c>
      <c r="T33" s="7" t="s">
        <v>85</v>
      </c>
      <c r="U33" s="7" t="s">
        <v>85</v>
      </c>
      <c r="V33" s="7" t="s">
        <v>85</v>
      </c>
      <c r="W33" s="7" t="s">
        <v>85</v>
      </c>
      <c r="X33" s="7" t="s">
        <v>85</v>
      </c>
    </row>
    <row r="34" spans="1:24" x14ac:dyDescent="0.2">
      <c r="A34" s="4" t="s">
        <v>86</v>
      </c>
      <c r="B34" s="4" t="s">
        <v>461</v>
      </c>
      <c r="C34" s="4" t="s">
        <v>462</v>
      </c>
      <c r="D34" s="4" t="s">
        <v>463</v>
      </c>
      <c r="E34" s="4" t="s">
        <v>464</v>
      </c>
      <c r="F34" s="4" t="s">
        <v>465</v>
      </c>
      <c r="G34" s="4" t="s">
        <v>466</v>
      </c>
      <c r="H34" s="4" t="s">
        <v>467</v>
      </c>
      <c r="I34" s="4" t="s">
        <v>468</v>
      </c>
      <c r="J34" s="4" t="s">
        <v>469</v>
      </c>
      <c r="K34" s="4" t="s">
        <v>470</v>
      </c>
      <c r="L34" s="4" t="s">
        <v>471</v>
      </c>
      <c r="M34" s="4" t="s">
        <v>472</v>
      </c>
      <c r="N34" s="4" t="s">
        <v>473</v>
      </c>
      <c r="O34" s="4" t="s">
        <v>474</v>
      </c>
      <c r="P34" s="4" t="s">
        <v>475</v>
      </c>
      <c r="Q34" s="4" t="s">
        <v>476</v>
      </c>
      <c r="R34" s="4" t="s">
        <v>477</v>
      </c>
      <c r="S34" s="4" t="s">
        <v>478</v>
      </c>
      <c r="T34" s="4" t="s">
        <v>479</v>
      </c>
      <c r="U34" s="4" t="s">
        <v>480</v>
      </c>
      <c r="V34" s="4" t="s">
        <v>481</v>
      </c>
      <c r="W34" s="4" t="s">
        <v>482</v>
      </c>
      <c r="X34" s="4" t="s">
        <v>483</v>
      </c>
    </row>
    <row r="36" spans="1:24" s="8" customFormat="1" ht="20.100000000000001" customHeight="1" x14ac:dyDescent="0.2">
      <c r="A36" s="8" t="s">
        <v>87</v>
      </c>
    </row>
    <row r="37" spans="1:24" s="9" customFormat="1" ht="20.100000000000001" customHeight="1" x14ac:dyDescent="0.2">
      <c r="A37" s="10" t="s">
        <v>53</v>
      </c>
      <c r="B37" s="10" t="s">
        <v>54</v>
      </c>
      <c r="C37" s="10" t="s">
        <v>439</v>
      </c>
      <c r="D37" s="10" t="s">
        <v>440</v>
      </c>
      <c r="E37" s="10" t="s">
        <v>441</v>
      </c>
      <c r="F37" s="10" t="s">
        <v>442</v>
      </c>
      <c r="G37" s="10" t="s">
        <v>443</v>
      </c>
      <c r="H37" s="10" t="s">
        <v>444</v>
      </c>
      <c r="I37" s="10" t="s">
        <v>445</v>
      </c>
      <c r="J37" s="10" t="s">
        <v>446</v>
      </c>
      <c r="K37" s="10" t="s">
        <v>447</v>
      </c>
      <c r="L37" s="10" t="s">
        <v>448</v>
      </c>
      <c r="M37" s="10" t="s">
        <v>449</v>
      </c>
      <c r="N37" s="10" t="s">
        <v>450</v>
      </c>
      <c r="O37" s="10" t="s">
        <v>451</v>
      </c>
      <c r="P37" s="10" t="s">
        <v>452</v>
      </c>
      <c r="Q37" s="10" t="s">
        <v>453</v>
      </c>
      <c r="R37" s="10" t="s">
        <v>454</v>
      </c>
      <c r="S37" s="9" t="s">
        <v>455</v>
      </c>
      <c r="T37" s="9" t="s">
        <v>456</v>
      </c>
      <c r="U37" s="9" t="s">
        <v>457</v>
      </c>
      <c r="V37" s="9" t="s">
        <v>458</v>
      </c>
      <c r="W37" s="9" t="s">
        <v>459</v>
      </c>
      <c r="X37" s="9" t="s">
        <v>460</v>
      </c>
    </row>
    <row r="38" spans="1:24" x14ac:dyDescent="0.2">
      <c r="A38" s="4" t="s">
        <v>42</v>
      </c>
      <c r="B38" s="5">
        <v>37119000000</v>
      </c>
      <c r="C38" s="5">
        <v>34940000000</v>
      </c>
      <c r="D38" s="5">
        <v>38016000000</v>
      </c>
      <c r="E38" s="5">
        <v>48844000000</v>
      </c>
      <c r="F38" s="5">
        <v>25913000000</v>
      </c>
      <c r="G38" s="5">
        <v>20289000000</v>
      </c>
      <c r="H38" s="5">
        <v>20484000000</v>
      </c>
      <c r="I38" s="5">
        <v>21120000000</v>
      </c>
      <c r="J38" s="5">
        <v>13844000000</v>
      </c>
      <c r="K38" s="5">
        <v>14259000000</v>
      </c>
      <c r="L38" s="5">
        <v>10746000000</v>
      </c>
      <c r="M38" s="5">
        <v>9815000000</v>
      </c>
      <c r="N38" s="5">
        <v>11261000000</v>
      </c>
      <c r="O38" s="5">
        <v>5263000000</v>
      </c>
      <c r="P38" s="5">
        <v>11875000000</v>
      </c>
      <c r="Q38" s="5">
        <v>9352000000</v>
      </c>
      <c r="R38" s="5">
        <v>6392000000</v>
      </c>
      <c r="S38" s="5">
        <v>3491000000</v>
      </c>
      <c r="T38" s="5">
        <v>2969000000</v>
      </c>
      <c r="U38" s="5">
        <v>3396000000</v>
      </c>
      <c r="V38" s="5">
        <v>2252000000</v>
      </c>
      <c r="W38" s="5">
        <v>2310000000</v>
      </c>
      <c r="X38" s="5">
        <v>1191000000</v>
      </c>
    </row>
    <row r="39" spans="1:24" x14ac:dyDescent="0.2">
      <c r="A39" s="4" t="s">
        <v>88</v>
      </c>
      <c r="B39" s="5">
        <v>26794000000</v>
      </c>
      <c r="C39" s="5">
        <v>27699000000</v>
      </c>
      <c r="D39" s="5">
        <v>52927000000</v>
      </c>
      <c r="E39" s="5">
        <v>51713000000</v>
      </c>
      <c r="F39" s="5">
        <v>40388000000</v>
      </c>
      <c r="G39" s="5">
        <v>53892000000</v>
      </c>
      <c r="H39" s="5">
        <v>46671000000</v>
      </c>
      <c r="I39" s="5">
        <v>20481000000</v>
      </c>
      <c r="J39" s="5">
        <v>11233000000</v>
      </c>
      <c r="K39" s="5">
        <v>26287000000</v>
      </c>
      <c r="L39" s="5">
        <v>18383000000</v>
      </c>
      <c r="M39" s="5">
        <v>16137000000</v>
      </c>
      <c r="N39" s="5">
        <v>14359000000</v>
      </c>
      <c r="O39" s="5">
        <v>18201000000</v>
      </c>
      <c r="P39" s="5">
        <v>12615000000</v>
      </c>
      <c r="Q39" s="5">
        <v>6034000000</v>
      </c>
      <c r="R39" s="5">
        <v>3718000000</v>
      </c>
      <c r="S39" s="5">
        <v>4770000000</v>
      </c>
      <c r="T39" s="5">
        <v>2495000000</v>
      </c>
      <c r="U39" s="5">
        <v>1170000000</v>
      </c>
      <c r="V39" s="5">
        <v>2085000000</v>
      </c>
      <c r="W39" s="5">
        <v>2026000000</v>
      </c>
      <c r="X39" s="5">
        <v>2836000000</v>
      </c>
    </row>
    <row r="40" spans="1:24" x14ac:dyDescent="0.2">
      <c r="A40" s="4" t="s">
        <v>89</v>
      </c>
      <c r="B40" s="5">
        <v>63913000000</v>
      </c>
      <c r="C40" s="5">
        <v>62639000000</v>
      </c>
      <c r="D40" s="5">
        <v>90943000000</v>
      </c>
      <c r="E40" s="5">
        <v>100557000000</v>
      </c>
      <c r="F40" s="5">
        <v>66301000000</v>
      </c>
      <c r="G40" s="5">
        <v>74181000000</v>
      </c>
      <c r="H40" s="5">
        <v>67155000000</v>
      </c>
      <c r="I40" s="5">
        <v>41601000000</v>
      </c>
      <c r="J40" s="5">
        <v>25077000000</v>
      </c>
      <c r="K40" s="5">
        <v>40546000000</v>
      </c>
      <c r="L40" s="5">
        <v>29129000000</v>
      </c>
      <c r="M40" s="5">
        <v>25952000000</v>
      </c>
      <c r="N40" s="5">
        <v>25620000000</v>
      </c>
      <c r="O40" s="5">
        <v>23464000000</v>
      </c>
      <c r="P40" s="5">
        <v>24490000000</v>
      </c>
      <c r="Q40" s="5">
        <v>15386000000</v>
      </c>
      <c r="R40" s="5">
        <v>10110000000</v>
      </c>
      <c r="S40" s="5">
        <v>8261000000</v>
      </c>
      <c r="T40" s="5">
        <v>5464000000</v>
      </c>
      <c r="U40" s="5">
        <v>4566000000</v>
      </c>
      <c r="V40" s="5">
        <v>4337000000</v>
      </c>
      <c r="W40" s="5">
        <v>4336000000</v>
      </c>
      <c r="X40" s="5">
        <v>4027000000</v>
      </c>
    </row>
    <row r="41" spans="1:24" x14ac:dyDescent="0.2">
      <c r="A41" s="4" t="s">
        <v>90</v>
      </c>
      <c r="B41" s="5">
        <v>65253000000</v>
      </c>
      <c r="C41" s="5">
        <v>51506000000</v>
      </c>
      <c r="D41" s="5">
        <v>37445000000</v>
      </c>
      <c r="E41" s="5">
        <v>45804000000</v>
      </c>
      <c r="F41" s="5">
        <v>48995000000</v>
      </c>
      <c r="G41" s="5">
        <v>35673000000</v>
      </c>
      <c r="H41" s="5">
        <v>29299000000</v>
      </c>
      <c r="I41" s="5">
        <v>30343000000</v>
      </c>
      <c r="J41" s="5">
        <v>27219000000</v>
      </c>
      <c r="K41" s="5">
        <v>20641000000</v>
      </c>
      <c r="L41" s="5">
        <v>18692000000</v>
      </c>
      <c r="M41" s="5">
        <v>11717000000</v>
      </c>
      <c r="N41" s="5">
        <v>9924000000</v>
      </c>
      <c r="O41" s="5">
        <v>5057000000</v>
      </c>
      <c r="P41" s="5">
        <v>4704000000</v>
      </c>
      <c r="Q41" s="5">
        <v>4029000000</v>
      </c>
      <c r="R41" s="5">
        <v>2845000000</v>
      </c>
      <c r="S41" s="5">
        <v>1312000000</v>
      </c>
      <c r="T41" s="5">
        <v>1050000000</v>
      </c>
      <c r="U41" s="5">
        <v>950000000</v>
      </c>
      <c r="V41" s="5">
        <v>565000000</v>
      </c>
      <c r="W41" s="5">
        <v>466000000</v>
      </c>
      <c r="X41" s="5">
        <v>953000000</v>
      </c>
    </row>
    <row r="42" spans="1:24" x14ac:dyDescent="0.2">
      <c r="A42" s="4" t="s">
        <v>91</v>
      </c>
      <c r="B42" s="5">
        <v>5876000000</v>
      </c>
      <c r="C42" s="5">
        <v>6580000000</v>
      </c>
      <c r="D42" s="5">
        <v>4061000000</v>
      </c>
      <c r="E42" s="5">
        <v>4106000000</v>
      </c>
      <c r="F42" s="5">
        <v>3956000000</v>
      </c>
      <c r="G42" s="5">
        <v>4855000000</v>
      </c>
      <c r="H42" s="5">
        <v>2132000000</v>
      </c>
      <c r="I42" s="5">
        <v>2349000000</v>
      </c>
      <c r="J42" s="5">
        <v>2111000000</v>
      </c>
      <c r="K42" s="5">
        <v>1764000000</v>
      </c>
      <c r="L42" s="5">
        <v>791000000</v>
      </c>
      <c r="M42" s="5">
        <v>776000000</v>
      </c>
      <c r="N42" s="5">
        <v>1051000000</v>
      </c>
      <c r="O42" s="5">
        <v>455000000</v>
      </c>
      <c r="P42" s="5">
        <v>509000000</v>
      </c>
      <c r="Q42" s="5">
        <v>346000000</v>
      </c>
      <c r="R42" s="5">
        <v>270000000</v>
      </c>
      <c r="S42" s="5">
        <v>165000000</v>
      </c>
      <c r="T42" s="5">
        <v>101000000</v>
      </c>
      <c r="U42" s="5">
        <v>56000000</v>
      </c>
      <c r="V42" s="5">
        <v>45000000</v>
      </c>
      <c r="W42" s="5">
        <v>11000000</v>
      </c>
      <c r="X42" s="5">
        <v>33000000</v>
      </c>
    </row>
    <row r="43" spans="1:24" x14ac:dyDescent="0.2">
      <c r="A43" s="4" t="s">
        <v>92</v>
      </c>
      <c r="B43" s="5">
        <v>18112000000</v>
      </c>
      <c r="C43" s="5">
        <v>14111000000</v>
      </c>
      <c r="D43" s="5">
        <v>11264000000</v>
      </c>
      <c r="E43" s="5">
        <v>12352000000</v>
      </c>
      <c r="F43" s="5">
        <v>12087000000</v>
      </c>
      <c r="G43" s="5">
        <v>13936000000</v>
      </c>
      <c r="H43" s="5">
        <v>8283000000</v>
      </c>
      <c r="I43" s="5">
        <v>15085000000</v>
      </c>
      <c r="J43" s="5">
        <v>14124000000</v>
      </c>
      <c r="K43" s="5">
        <v>10335000000</v>
      </c>
      <c r="L43" s="5">
        <v>9041000000</v>
      </c>
      <c r="M43" s="5">
        <v>6543000000</v>
      </c>
      <c r="N43" s="5">
        <v>5083000000</v>
      </c>
      <c r="O43" s="5">
        <v>7289000000</v>
      </c>
      <c r="P43" s="5">
        <v>4987000000</v>
      </c>
      <c r="Q43" s="5">
        <v>2195000000</v>
      </c>
      <c r="R43" s="5">
        <v>1284000000</v>
      </c>
      <c r="S43" s="5">
        <v>562000000</v>
      </c>
      <c r="T43" s="5">
        <v>440000000</v>
      </c>
      <c r="U43" s="5">
        <v>315000000</v>
      </c>
      <c r="V43" s="5">
        <v>441000000</v>
      </c>
      <c r="W43" s="5">
        <v>330000000</v>
      </c>
      <c r="X43" s="5">
        <v>414000000</v>
      </c>
    </row>
    <row r="44" spans="1:24" x14ac:dyDescent="0.2">
      <c r="A44" s="4" t="s">
        <v>93</v>
      </c>
      <c r="B44" s="5">
        <v>153154000000</v>
      </c>
      <c r="C44" s="5">
        <v>134836000000</v>
      </c>
      <c r="D44" s="5">
        <v>143713000000</v>
      </c>
      <c r="E44" s="5">
        <v>162819000000</v>
      </c>
      <c r="F44" s="5">
        <v>131339000000</v>
      </c>
      <c r="G44" s="5">
        <v>128645000000</v>
      </c>
      <c r="H44" s="5">
        <v>106869000000</v>
      </c>
      <c r="I44" s="5">
        <v>89378000000</v>
      </c>
      <c r="J44" s="5">
        <v>68531000000</v>
      </c>
      <c r="K44" s="5">
        <v>73286000000</v>
      </c>
      <c r="L44" s="5">
        <v>57653000000</v>
      </c>
      <c r="M44" s="5">
        <v>44988000000</v>
      </c>
      <c r="N44" s="5">
        <v>41678000000</v>
      </c>
      <c r="O44" s="5">
        <v>36265000000</v>
      </c>
      <c r="P44" s="5">
        <v>34690000000</v>
      </c>
      <c r="Q44" s="5">
        <v>21956000000</v>
      </c>
      <c r="R44" s="5">
        <v>14509000000</v>
      </c>
      <c r="S44" s="5">
        <v>10300000000</v>
      </c>
      <c r="T44" s="5">
        <v>7055000000</v>
      </c>
      <c r="U44" s="5">
        <v>5887000000</v>
      </c>
      <c r="V44" s="5">
        <v>5388000000</v>
      </c>
      <c r="W44" s="5">
        <v>5143000000</v>
      </c>
      <c r="X44" s="5">
        <v>5427000000</v>
      </c>
    </row>
    <row r="45" spans="1:24" x14ac:dyDescent="0.2">
      <c r="A45" s="4" t="s">
        <v>94</v>
      </c>
      <c r="B45" s="5">
        <v>138683000000</v>
      </c>
      <c r="C45" s="5">
        <v>127877000000</v>
      </c>
      <c r="D45" s="5">
        <v>100887000000</v>
      </c>
      <c r="E45" s="5">
        <v>105341000000</v>
      </c>
      <c r="F45" s="5">
        <v>170799000000</v>
      </c>
      <c r="G45" s="5">
        <v>194714000000</v>
      </c>
      <c r="H45" s="5">
        <v>170430000000</v>
      </c>
      <c r="I45" s="5">
        <v>164065000000</v>
      </c>
      <c r="J45" s="5">
        <v>130162000000</v>
      </c>
      <c r="K45" s="5">
        <v>106215000000</v>
      </c>
      <c r="L45" s="5">
        <v>92122000000</v>
      </c>
      <c r="M45" s="5">
        <v>55618000000</v>
      </c>
      <c r="N45" s="5">
        <v>25391000000</v>
      </c>
      <c r="O45" s="5">
        <v>10528000000</v>
      </c>
      <c r="P45" s="5">
        <v>0</v>
      </c>
      <c r="Q45" s="5">
        <v>0</v>
      </c>
      <c r="R45" s="5">
        <v>0</v>
      </c>
      <c r="S45" s="5">
        <v>0</v>
      </c>
      <c r="T45" s="5">
        <v>0</v>
      </c>
      <c r="U45" s="5">
        <v>0</v>
      </c>
      <c r="V45" s="5">
        <v>0</v>
      </c>
      <c r="W45" s="5">
        <v>0</v>
      </c>
      <c r="X45" s="5">
        <v>0</v>
      </c>
    </row>
    <row r="46" spans="1:24" x14ac:dyDescent="0.2">
      <c r="A46" s="4" t="s">
        <v>95</v>
      </c>
      <c r="B46" s="5">
        <v>39245000000</v>
      </c>
      <c r="C46" s="5">
        <v>49527000000</v>
      </c>
      <c r="D46" s="5">
        <v>45336000000</v>
      </c>
      <c r="E46" s="5">
        <v>37378000000</v>
      </c>
      <c r="F46" s="5">
        <v>41304000000</v>
      </c>
      <c r="G46" s="5">
        <v>33783000000</v>
      </c>
      <c r="H46" s="5">
        <v>27010000000</v>
      </c>
      <c r="I46" s="5">
        <v>22471000000</v>
      </c>
      <c r="J46" s="5">
        <v>20624000000</v>
      </c>
      <c r="K46" s="5">
        <v>16597000000</v>
      </c>
      <c r="L46" s="5">
        <v>15452000000</v>
      </c>
      <c r="M46" s="5">
        <v>7777000000</v>
      </c>
      <c r="N46" s="5">
        <v>4768000000</v>
      </c>
      <c r="O46" s="5">
        <v>2954000000</v>
      </c>
      <c r="P46" s="5">
        <v>2455000000</v>
      </c>
      <c r="Q46" s="5">
        <v>1832000000</v>
      </c>
      <c r="R46" s="5">
        <v>1281000000</v>
      </c>
      <c r="S46" s="5">
        <v>817000000</v>
      </c>
      <c r="T46" s="5">
        <v>707000000</v>
      </c>
      <c r="U46" s="5">
        <v>669000000</v>
      </c>
      <c r="V46" s="5">
        <v>621000000</v>
      </c>
      <c r="W46" s="5">
        <v>564000000</v>
      </c>
      <c r="X46" s="5">
        <v>313000000</v>
      </c>
    </row>
    <row r="47" spans="1:24" x14ac:dyDescent="0.2">
      <c r="A47" s="4" t="s">
        <v>96</v>
      </c>
      <c r="B47" s="5">
        <v>0</v>
      </c>
      <c r="C47" s="5">
        <v>0</v>
      </c>
      <c r="D47" s="5">
        <v>0</v>
      </c>
      <c r="E47" s="5">
        <v>0</v>
      </c>
      <c r="F47" s="5">
        <v>0</v>
      </c>
      <c r="G47" s="5">
        <v>2298000000</v>
      </c>
      <c r="H47" s="5">
        <v>3206000000</v>
      </c>
      <c r="I47" s="5">
        <v>3893000000</v>
      </c>
      <c r="J47" s="5">
        <v>4142000000</v>
      </c>
      <c r="K47" s="5">
        <v>4179000000</v>
      </c>
      <c r="L47" s="5">
        <v>4224000000</v>
      </c>
      <c r="M47" s="5">
        <v>3536000000</v>
      </c>
      <c r="N47" s="5">
        <v>342000000</v>
      </c>
      <c r="O47" s="5">
        <v>247000000</v>
      </c>
      <c r="P47" s="5">
        <v>285000000</v>
      </c>
      <c r="Q47" s="5">
        <v>299000000</v>
      </c>
      <c r="R47" s="5">
        <v>139000000</v>
      </c>
      <c r="S47" s="5">
        <v>27000000</v>
      </c>
      <c r="T47" s="5">
        <v>17000000</v>
      </c>
      <c r="U47" s="5">
        <v>24000000</v>
      </c>
      <c r="V47" s="5">
        <v>34000000</v>
      </c>
      <c r="W47" s="5">
        <v>10000000</v>
      </c>
      <c r="X47" s="5">
        <v>0</v>
      </c>
    </row>
    <row r="48" spans="1:24" x14ac:dyDescent="0.2">
      <c r="A48" s="4" t="s">
        <v>97</v>
      </c>
      <c r="B48" s="5">
        <v>0</v>
      </c>
      <c r="C48" s="5">
        <v>0</v>
      </c>
      <c r="D48" s="5">
        <v>0</v>
      </c>
      <c r="E48" s="5">
        <v>0</v>
      </c>
      <c r="F48" s="5">
        <v>0</v>
      </c>
      <c r="G48" s="5">
        <v>5717000000</v>
      </c>
      <c r="H48" s="5">
        <v>5414000000</v>
      </c>
      <c r="I48" s="5">
        <v>5116000000</v>
      </c>
      <c r="J48" s="5">
        <v>4616000000</v>
      </c>
      <c r="K48" s="5">
        <v>1577000000</v>
      </c>
      <c r="L48" s="5">
        <v>1135000000</v>
      </c>
      <c r="M48" s="5">
        <v>896000000</v>
      </c>
      <c r="N48" s="5">
        <v>741000000</v>
      </c>
      <c r="O48" s="5">
        <v>206000000</v>
      </c>
      <c r="P48" s="5">
        <v>207000000</v>
      </c>
      <c r="Q48" s="5">
        <v>38000000</v>
      </c>
      <c r="R48" s="5">
        <v>38000000</v>
      </c>
      <c r="S48" s="5">
        <v>69000000</v>
      </c>
      <c r="T48" s="5">
        <v>80000000</v>
      </c>
      <c r="U48" s="5">
        <v>85000000</v>
      </c>
      <c r="V48" s="5">
        <v>85000000</v>
      </c>
      <c r="W48" s="5">
        <v>66000000</v>
      </c>
      <c r="X48" s="5">
        <v>0</v>
      </c>
    </row>
    <row r="49" spans="1:24" x14ac:dyDescent="0.2">
      <c r="A49" s="4" t="s">
        <v>98</v>
      </c>
      <c r="B49" s="5">
        <v>50109000000</v>
      </c>
      <c r="C49" s="5">
        <v>38762000000</v>
      </c>
      <c r="D49" s="5">
        <v>33952000000</v>
      </c>
      <c r="E49" s="5">
        <v>32978000000</v>
      </c>
      <c r="F49" s="5">
        <v>22283000000</v>
      </c>
      <c r="G49" s="5">
        <v>18177000000</v>
      </c>
      <c r="H49" s="5">
        <v>8757000000</v>
      </c>
      <c r="I49" s="5">
        <v>5422000000</v>
      </c>
      <c r="J49" s="5">
        <v>3764000000</v>
      </c>
      <c r="K49" s="5">
        <v>5146000000</v>
      </c>
      <c r="L49" s="5">
        <v>5478000000</v>
      </c>
      <c r="M49" s="5">
        <v>3556000000</v>
      </c>
      <c r="N49" s="5">
        <v>2263000000</v>
      </c>
      <c r="O49" s="5">
        <v>1905000000</v>
      </c>
      <c r="P49" s="5">
        <v>1868000000</v>
      </c>
      <c r="Q49" s="5">
        <v>1139000000</v>
      </c>
      <c r="R49" s="5">
        <v>1217000000</v>
      </c>
      <c r="S49" s="5">
        <v>300000000</v>
      </c>
      <c r="T49" s="5">
        <v>189600000</v>
      </c>
      <c r="U49" s="5">
        <v>145000000</v>
      </c>
      <c r="V49" s="5">
        <v>170000000</v>
      </c>
      <c r="W49" s="5">
        <v>314000000</v>
      </c>
      <c r="X49" s="5">
        <v>1063000000</v>
      </c>
    </row>
    <row r="50" spans="1:24" x14ac:dyDescent="0.2">
      <c r="A50" s="4" t="s">
        <v>99</v>
      </c>
      <c r="B50" s="5">
        <v>228037000000</v>
      </c>
      <c r="C50" s="5">
        <v>216166000000</v>
      </c>
      <c r="D50" s="5">
        <v>180175000000</v>
      </c>
      <c r="E50" s="5">
        <v>175697000000</v>
      </c>
      <c r="F50" s="5">
        <v>234386000000</v>
      </c>
      <c r="G50" s="5">
        <v>246674000000</v>
      </c>
      <c r="H50" s="5">
        <v>214817000000</v>
      </c>
      <c r="I50" s="5">
        <v>201101000000</v>
      </c>
      <c r="J50" s="5">
        <v>163308000000</v>
      </c>
      <c r="K50" s="5">
        <v>133714000000</v>
      </c>
      <c r="L50" s="5">
        <v>118411000000</v>
      </c>
      <c r="M50" s="5">
        <v>71383000000</v>
      </c>
      <c r="N50" s="5">
        <v>33505000000</v>
      </c>
      <c r="O50" s="5">
        <v>17586000000</v>
      </c>
      <c r="P50" s="5">
        <v>4882000000</v>
      </c>
      <c r="Q50" s="5">
        <v>3391000000</v>
      </c>
      <c r="R50" s="5">
        <v>2696000000</v>
      </c>
      <c r="S50" s="5">
        <v>1251000000</v>
      </c>
      <c r="T50" s="5">
        <v>995000000</v>
      </c>
      <c r="U50" s="5">
        <v>928000000</v>
      </c>
      <c r="V50" s="5">
        <v>910000000</v>
      </c>
      <c r="W50" s="5">
        <v>878000000</v>
      </c>
      <c r="X50" s="5">
        <v>1376000000</v>
      </c>
    </row>
    <row r="51" spans="1:24" x14ac:dyDescent="0.2">
      <c r="A51" s="4" t="s">
        <v>100</v>
      </c>
      <c r="B51" s="5">
        <v>381191000000</v>
      </c>
      <c r="C51" s="5">
        <v>351002000000</v>
      </c>
      <c r="D51" s="5">
        <v>323888000000</v>
      </c>
      <c r="E51" s="5">
        <v>338516000000</v>
      </c>
      <c r="F51" s="5">
        <v>365725000000</v>
      </c>
      <c r="G51" s="5">
        <v>375319000000</v>
      </c>
      <c r="H51" s="5">
        <v>321686000000</v>
      </c>
      <c r="I51" s="5">
        <v>290479000000</v>
      </c>
      <c r="J51" s="5">
        <v>231839000000</v>
      </c>
      <c r="K51" s="5">
        <v>207000000000</v>
      </c>
      <c r="L51" s="5">
        <v>176064000000</v>
      </c>
      <c r="M51" s="5">
        <v>116371000000</v>
      </c>
      <c r="N51" s="5">
        <v>75183000000</v>
      </c>
      <c r="O51" s="5">
        <v>53851000000</v>
      </c>
      <c r="P51" s="5">
        <v>39572000000</v>
      </c>
      <c r="Q51" s="5">
        <v>25347000000</v>
      </c>
      <c r="R51" s="5">
        <v>17205000000</v>
      </c>
      <c r="S51" s="5">
        <v>11551000000</v>
      </c>
      <c r="T51" s="5">
        <v>8050000000</v>
      </c>
      <c r="U51" s="5">
        <v>6815000000</v>
      </c>
      <c r="V51" s="5">
        <v>6298000000</v>
      </c>
      <c r="W51" s="5">
        <v>6021000000</v>
      </c>
      <c r="X51" s="5">
        <v>6803000000</v>
      </c>
    </row>
    <row r="52" spans="1:24" x14ac:dyDescent="0.2">
      <c r="A52" s="4" t="s">
        <v>101</v>
      </c>
      <c r="B52" s="5">
        <v>74362000000</v>
      </c>
      <c r="C52" s="5">
        <v>54763000000</v>
      </c>
      <c r="D52" s="5">
        <v>42296000000</v>
      </c>
      <c r="E52" s="5">
        <v>46236000000</v>
      </c>
      <c r="F52" s="5">
        <v>55888000000</v>
      </c>
      <c r="G52" s="5">
        <v>49049000000</v>
      </c>
      <c r="H52" s="5">
        <v>37294000000</v>
      </c>
      <c r="I52" s="5">
        <v>35490000000</v>
      </c>
      <c r="J52" s="5">
        <v>30196000000</v>
      </c>
      <c r="K52" s="5">
        <v>22367000000</v>
      </c>
      <c r="L52" s="5">
        <v>21175000000</v>
      </c>
      <c r="M52" s="5">
        <v>14632000000</v>
      </c>
      <c r="N52" s="5">
        <v>12015000000</v>
      </c>
      <c r="O52" s="5">
        <v>5601000000</v>
      </c>
      <c r="P52" s="5">
        <v>5520000000</v>
      </c>
      <c r="Q52" s="5">
        <v>4970000000</v>
      </c>
      <c r="R52" s="5">
        <v>3390000000</v>
      </c>
      <c r="S52" s="5">
        <v>1779000000</v>
      </c>
      <c r="T52" s="5">
        <v>1451000000</v>
      </c>
      <c r="U52" s="5">
        <v>1154000000</v>
      </c>
      <c r="V52" s="5">
        <v>911000000</v>
      </c>
      <c r="W52" s="5">
        <v>801000000</v>
      </c>
      <c r="X52" s="5">
        <v>1157000000</v>
      </c>
    </row>
    <row r="53" spans="1:24" x14ac:dyDescent="0.2">
      <c r="A53" s="4" t="s">
        <v>102</v>
      </c>
      <c r="B53" s="5">
        <v>16169000000</v>
      </c>
      <c r="C53" s="5">
        <v>15613000000</v>
      </c>
      <c r="D53" s="5">
        <v>13769000000</v>
      </c>
      <c r="E53" s="5">
        <v>16240000000</v>
      </c>
      <c r="F53" s="5">
        <v>20748000000</v>
      </c>
      <c r="G53" s="5">
        <v>18473000000</v>
      </c>
      <c r="H53" s="5">
        <v>11605000000</v>
      </c>
      <c r="I53" s="5">
        <v>2513000000</v>
      </c>
      <c r="J53" s="5">
        <v>35295000000</v>
      </c>
      <c r="K53" s="5">
        <v>0</v>
      </c>
      <c r="L53" s="5">
        <v>0</v>
      </c>
      <c r="M53" s="5">
        <v>0</v>
      </c>
      <c r="N53" s="5">
        <v>0</v>
      </c>
      <c r="O53" s="5">
        <v>0</v>
      </c>
      <c r="P53" s="5">
        <v>0</v>
      </c>
      <c r="Q53" s="5">
        <v>0</v>
      </c>
      <c r="R53" s="5">
        <v>0</v>
      </c>
      <c r="S53" s="5">
        <v>0</v>
      </c>
      <c r="T53" s="5">
        <v>0</v>
      </c>
      <c r="U53" s="5">
        <v>0</v>
      </c>
      <c r="V53" s="5">
        <v>0</v>
      </c>
      <c r="W53" s="5">
        <v>0</v>
      </c>
      <c r="X53" s="5">
        <v>0</v>
      </c>
    </row>
    <row r="54" spans="1:24" x14ac:dyDescent="0.2">
      <c r="A54" s="4" t="s">
        <v>103</v>
      </c>
      <c r="B54" s="5">
        <v>49167000000</v>
      </c>
      <c r="C54" s="5">
        <v>47493000000</v>
      </c>
      <c r="D54" s="5">
        <v>42684000000</v>
      </c>
      <c r="E54" s="5">
        <v>37720000000</v>
      </c>
      <c r="F54" s="5">
        <v>32687000000</v>
      </c>
      <c r="G54" s="5">
        <v>25744000000</v>
      </c>
      <c r="H54" s="5">
        <v>22027000000</v>
      </c>
      <c r="I54" s="5">
        <v>25181000000</v>
      </c>
      <c r="J54" s="5">
        <v>18453000000</v>
      </c>
      <c r="K54" s="5">
        <v>13856000000</v>
      </c>
      <c r="L54" s="5">
        <v>11414000000</v>
      </c>
      <c r="M54" s="5">
        <v>9247000000</v>
      </c>
      <c r="N54" s="5">
        <v>5723000000</v>
      </c>
      <c r="O54" s="5">
        <v>3376000000</v>
      </c>
      <c r="P54" s="5">
        <v>3719000000</v>
      </c>
      <c r="Q54" s="5">
        <v>2919000000</v>
      </c>
      <c r="R54" s="5">
        <v>2335000000</v>
      </c>
      <c r="S54" s="5">
        <v>1204000000</v>
      </c>
      <c r="T54" s="5">
        <v>685000000</v>
      </c>
      <c r="U54" s="5">
        <v>531000000</v>
      </c>
      <c r="V54" s="5">
        <v>747000000</v>
      </c>
      <c r="W54" s="5">
        <v>717000000</v>
      </c>
      <c r="X54" s="5">
        <v>776000000</v>
      </c>
    </row>
    <row r="55" spans="1:24" x14ac:dyDescent="0.2">
      <c r="A55" s="4" t="s">
        <v>104</v>
      </c>
      <c r="B55" s="5">
        <v>147574000000</v>
      </c>
      <c r="C55" s="5">
        <v>125481000000</v>
      </c>
      <c r="D55" s="5">
        <v>105392000000</v>
      </c>
      <c r="E55" s="5">
        <v>105718000000</v>
      </c>
      <c r="F55" s="5">
        <v>116866000000</v>
      </c>
      <c r="G55" s="5">
        <v>100814000000</v>
      </c>
      <c r="H55" s="5">
        <v>79006000000</v>
      </c>
      <c r="I55" s="5">
        <v>80610000000</v>
      </c>
      <c r="J55" s="5">
        <v>63448000000</v>
      </c>
      <c r="K55" s="5">
        <v>43658000000</v>
      </c>
      <c r="L55" s="5">
        <v>38542000000</v>
      </c>
      <c r="M55" s="5">
        <v>27970000000</v>
      </c>
      <c r="N55" s="5">
        <v>20722000000</v>
      </c>
      <c r="O55" s="5">
        <v>19282000000</v>
      </c>
      <c r="P55" s="5">
        <v>14092000000</v>
      </c>
      <c r="Q55" s="5">
        <v>9299000000</v>
      </c>
      <c r="R55" s="5">
        <v>6471000000</v>
      </c>
      <c r="S55" s="5">
        <v>3484000000</v>
      </c>
      <c r="T55" s="5">
        <v>2680000000</v>
      </c>
      <c r="U55" s="5">
        <v>2357000000</v>
      </c>
      <c r="V55" s="5">
        <v>1658000000</v>
      </c>
      <c r="W55" s="5">
        <v>1518000000</v>
      </c>
      <c r="X55" s="5">
        <v>1933000000</v>
      </c>
    </row>
    <row r="56" spans="1:24" x14ac:dyDescent="0.2">
      <c r="A56" s="4" t="s">
        <v>105</v>
      </c>
      <c r="B56" s="5">
        <v>106629000000</v>
      </c>
      <c r="C56" s="5">
        <v>109106000000</v>
      </c>
      <c r="D56" s="5">
        <v>98667000000</v>
      </c>
      <c r="E56" s="5">
        <v>91807000000</v>
      </c>
      <c r="F56" s="5">
        <v>93735000000</v>
      </c>
      <c r="G56" s="5">
        <v>97207000000</v>
      </c>
      <c r="H56" s="5">
        <v>75427000000</v>
      </c>
      <c r="I56" s="5">
        <v>53463000000</v>
      </c>
      <c r="J56" s="5">
        <v>28987000000</v>
      </c>
      <c r="K56" s="5">
        <v>16960000000</v>
      </c>
      <c r="L56" s="5">
        <v>0</v>
      </c>
      <c r="M56" s="5">
        <v>0</v>
      </c>
      <c r="N56" s="5">
        <v>0</v>
      </c>
      <c r="O56" s="5">
        <v>0</v>
      </c>
      <c r="P56" s="5">
        <v>0</v>
      </c>
      <c r="Q56" s="5">
        <v>0</v>
      </c>
      <c r="R56" s="5">
        <v>0</v>
      </c>
      <c r="S56" s="5">
        <v>0</v>
      </c>
      <c r="T56" s="5">
        <v>0</v>
      </c>
      <c r="U56" s="5">
        <v>0</v>
      </c>
      <c r="V56" s="5">
        <v>316000000</v>
      </c>
      <c r="W56" s="5">
        <v>317000000</v>
      </c>
      <c r="X56" s="5">
        <v>300000000</v>
      </c>
    </row>
    <row r="57" spans="1:24" x14ac:dyDescent="0.2">
      <c r="A57" s="4" t="s">
        <v>106</v>
      </c>
      <c r="B57" s="5">
        <v>0</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row>
    <row r="58" spans="1:24" x14ac:dyDescent="0.2">
      <c r="A58" s="4" t="s">
        <v>107</v>
      </c>
      <c r="B58" s="5">
        <v>106629000000</v>
      </c>
      <c r="C58" s="5">
        <v>109106000000</v>
      </c>
      <c r="D58" s="5">
        <v>98667000000</v>
      </c>
      <c r="E58" s="5">
        <v>91807000000</v>
      </c>
      <c r="F58" s="5">
        <v>93735000000</v>
      </c>
      <c r="G58" s="5">
        <v>97207000000</v>
      </c>
      <c r="H58" s="5">
        <v>75427000000</v>
      </c>
      <c r="I58" s="5">
        <v>53463000000</v>
      </c>
      <c r="J58" s="5">
        <v>28987000000</v>
      </c>
      <c r="K58" s="5">
        <v>16960000000</v>
      </c>
      <c r="L58" s="5">
        <v>0</v>
      </c>
      <c r="M58" s="5">
        <v>0</v>
      </c>
      <c r="N58" s="5">
        <v>0</v>
      </c>
      <c r="O58" s="5">
        <v>0</v>
      </c>
      <c r="P58" s="5">
        <v>0</v>
      </c>
      <c r="Q58" s="5">
        <v>0</v>
      </c>
      <c r="R58" s="5">
        <v>0</v>
      </c>
      <c r="S58" s="5">
        <v>0</v>
      </c>
      <c r="T58" s="5">
        <v>0</v>
      </c>
      <c r="U58" s="5">
        <v>0</v>
      </c>
      <c r="V58" s="5">
        <v>316000000</v>
      </c>
      <c r="W58" s="5">
        <v>317000000</v>
      </c>
      <c r="X58" s="5">
        <v>300000000</v>
      </c>
    </row>
    <row r="59" spans="1:24" x14ac:dyDescent="0.2">
      <c r="A59" s="4" t="s">
        <v>108</v>
      </c>
      <c r="B59" s="5">
        <v>122798000000</v>
      </c>
      <c r="C59" s="5">
        <v>124719000000</v>
      </c>
      <c r="D59" s="5">
        <v>112436000000</v>
      </c>
      <c r="E59" s="5">
        <v>108047000000</v>
      </c>
      <c r="F59" s="5">
        <v>114483000000</v>
      </c>
      <c r="G59" s="5">
        <v>115680000000</v>
      </c>
      <c r="H59" s="5">
        <v>87032000000</v>
      </c>
      <c r="I59" s="5">
        <v>55976000000</v>
      </c>
      <c r="J59" s="5">
        <v>64282000000</v>
      </c>
      <c r="K59" s="5">
        <v>16960000000</v>
      </c>
      <c r="L59" s="5">
        <v>0</v>
      </c>
      <c r="M59" s="5">
        <v>0</v>
      </c>
      <c r="N59" s="5">
        <v>0</v>
      </c>
      <c r="O59" s="5">
        <v>0</v>
      </c>
      <c r="P59" s="5">
        <v>0</v>
      </c>
      <c r="Q59" s="5">
        <v>0</v>
      </c>
      <c r="R59" s="5">
        <v>0</v>
      </c>
      <c r="S59" s="5">
        <v>0</v>
      </c>
      <c r="T59" s="5">
        <v>0</v>
      </c>
      <c r="U59" s="5">
        <v>0</v>
      </c>
      <c r="V59" s="5">
        <v>316000000</v>
      </c>
      <c r="W59" s="5">
        <v>317000000</v>
      </c>
      <c r="X59" s="5">
        <v>300000000</v>
      </c>
    </row>
    <row r="60" spans="1:24" x14ac:dyDescent="0.2">
      <c r="A60" s="4" t="s">
        <v>109</v>
      </c>
      <c r="B60" s="5">
        <v>0</v>
      </c>
      <c r="C60" s="5">
        <v>0</v>
      </c>
      <c r="D60" s="5">
        <v>0</v>
      </c>
      <c r="E60" s="5">
        <v>0</v>
      </c>
      <c r="F60" s="5">
        <v>2797000000</v>
      </c>
      <c r="G60" s="5">
        <v>2836000000</v>
      </c>
      <c r="H60" s="5">
        <v>2930000000</v>
      </c>
      <c r="I60" s="5">
        <v>3624000000</v>
      </c>
      <c r="J60" s="5">
        <v>3031000000</v>
      </c>
      <c r="K60" s="5">
        <v>2625000000</v>
      </c>
      <c r="L60" s="5">
        <v>2648000000</v>
      </c>
      <c r="M60" s="5">
        <v>1686000000</v>
      </c>
      <c r="N60" s="5">
        <v>1139000000</v>
      </c>
      <c r="O60" s="5">
        <v>853000000</v>
      </c>
      <c r="P60" s="5">
        <v>0</v>
      </c>
      <c r="Q60" s="5">
        <v>0</v>
      </c>
      <c r="R60" s="5">
        <v>0</v>
      </c>
      <c r="S60" s="5">
        <v>0</v>
      </c>
      <c r="T60" s="5">
        <v>0</v>
      </c>
      <c r="U60" s="5">
        <v>0</v>
      </c>
      <c r="V60" s="5">
        <v>0</v>
      </c>
      <c r="W60" s="5">
        <v>0</v>
      </c>
      <c r="X60" s="5">
        <v>0</v>
      </c>
    </row>
    <row r="61" spans="1:24" x14ac:dyDescent="0.2">
      <c r="A61" s="4" t="s">
        <v>110</v>
      </c>
      <c r="B61" s="5">
        <v>55056000000</v>
      </c>
      <c r="C61" s="5">
        <v>28636000000</v>
      </c>
      <c r="D61" s="5">
        <v>26320000000</v>
      </c>
      <c r="E61" s="5">
        <v>20958000000</v>
      </c>
      <c r="F61" s="5">
        <v>11165000000</v>
      </c>
      <c r="G61" s="5">
        <v>40415000000</v>
      </c>
      <c r="H61" s="5">
        <v>36074000000</v>
      </c>
      <c r="I61" s="5">
        <v>33427000000</v>
      </c>
      <c r="J61" s="5">
        <v>24826000000</v>
      </c>
      <c r="K61" s="5">
        <v>20208000000</v>
      </c>
      <c r="L61" s="5">
        <v>16664000000</v>
      </c>
      <c r="M61" s="5">
        <v>10100000000</v>
      </c>
      <c r="N61" s="5">
        <v>5531000000</v>
      </c>
      <c r="O61" s="5">
        <v>3502000000</v>
      </c>
      <c r="P61" s="5">
        <v>0</v>
      </c>
      <c r="Q61" s="5">
        <v>0</v>
      </c>
      <c r="R61" s="5">
        <v>0</v>
      </c>
      <c r="S61" s="5">
        <v>0</v>
      </c>
      <c r="T61" s="5">
        <v>0</v>
      </c>
      <c r="U61" s="5">
        <v>0</v>
      </c>
      <c r="V61" s="5">
        <v>0</v>
      </c>
      <c r="W61" s="5">
        <v>0</v>
      </c>
      <c r="X61" s="5">
        <v>0</v>
      </c>
    </row>
    <row r="62" spans="1:24" x14ac:dyDescent="0.2">
      <c r="A62" s="4" t="s">
        <v>111</v>
      </c>
      <c r="B62" s="5">
        <v>161685000000</v>
      </c>
      <c r="C62" s="5">
        <v>162431000000</v>
      </c>
      <c r="D62" s="5">
        <v>153157000000</v>
      </c>
      <c r="E62" s="5">
        <v>142310000000</v>
      </c>
      <c r="F62" s="5">
        <v>141712000000</v>
      </c>
      <c r="G62" s="5">
        <v>140458000000</v>
      </c>
      <c r="H62" s="5">
        <v>114431000000</v>
      </c>
      <c r="I62" s="5">
        <v>90514000000</v>
      </c>
      <c r="J62" s="5">
        <v>56844000000</v>
      </c>
      <c r="K62" s="5">
        <v>39793000000</v>
      </c>
      <c r="L62" s="5">
        <v>19312000000</v>
      </c>
      <c r="M62" s="5">
        <v>11786000000</v>
      </c>
      <c r="N62" s="5">
        <v>6670000000</v>
      </c>
      <c r="O62" s="5">
        <v>6737000000</v>
      </c>
      <c r="P62" s="5">
        <v>4450000000</v>
      </c>
      <c r="Q62" s="5">
        <v>1516000000</v>
      </c>
      <c r="R62" s="5">
        <v>750000000</v>
      </c>
      <c r="S62" s="5">
        <v>601000000</v>
      </c>
      <c r="T62" s="5">
        <v>294000000</v>
      </c>
      <c r="U62" s="5">
        <v>235000000</v>
      </c>
      <c r="V62" s="5">
        <v>545000000</v>
      </c>
      <c r="W62" s="5">
        <v>583000000</v>
      </c>
      <c r="X62" s="5">
        <v>763000000</v>
      </c>
    </row>
    <row r="63" spans="1:24" x14ac:dyDescent="0.2">
      <c r="A63" s="4" t="s">
        <v>112</v>
      </c>
      <c r="B63" s="5">
        <v>309259000000</v>
      </c>
      <c r="C63" s="5">
        <v>287912000000</v>
      </c>
      <c r="D63" s="5">
        <v>258549000000</v>
      </c>
      <c r="E63" s="5">
        <v>248028000000</v>
      </c>
      <c r="F63" s="5">
        <v>258578000000</v>
      </c>
      <c r="G63" s="5">
        <v>241272000000</v>
      </c>
      <c r="H63" s="5">
        <v>193437000000</v>
      </c>
      <c r="I63" s="5">
        <v>171124000000</v>
      </c>
      <c r="J63" s="5">
        <v>120292000000</v>
      </c>
      <c r="K63" s="5">
        <v>83451000000</v>
      </c>
      <c r="L63" s="5">
        <v>57854000000</v>
      </c>
      <c r="M63" s="5">
        <v>39756000000</v>
      </c>
      <c r="N63" s="5">
        <v>27392000000</v>
      </c>
      <c r="O63" s="5">
        <v>26019000000</v>
      </c>
      <c r="P63" s="5">
        <v>18542000000</v>
      </c>
      <c r="Q63" s="5">
        <v>10815000000</v>
      </c>
      <c r="R63" s="5">
        <v>7221000000</v>
      </c>
      <c r="S63" s="5">
        <v>4085000000</v>
      </c>
      <c r="T63" s="5">
        <v>2974000000</v>
      </c>
      <c r="U63" s="5">
        <v>2592000000</v>
      </c>
      <c r="V63" s="5">
        <v>2203000000</v>
      </c>
      <c r="W63" s="5">
        <v>2101000000</v>
      </c>
      <c r="X63" s="5">
        <v>2696000000</v>
      </c>
    </row>
    <row r="64" spans="1:24" x14ac:dyDescent="0.2">
      <c r="A64" s="4" t="s">
        <v>113</v>
      </c>
      <c r="B64" s="5">
        <v>58424000000</v>
      </c>
      <c r="C64" s="5">
        <v>57365000000</v>
      </c>
      <c r="D64" s="5">
        <v>50779000000</v>
      </c>
      <c r="E64" s="5">
        <v>45174000000</v>
      </c>
      <c r="F64" s="5">
        <v>40201000000</v>
      </c>
      <c r="G64" s="5">
        <v>35867000000</v>
      </c>
      <c r="H64" s="5">
        <v>31251000000</v>
      </c>
      <c r="I64" s="5">
        <v>27416000000</v>
      </c>
      <c r="J64" s="5">
        <v>23313000000</v>
      </c>
      <c r="K64" s="5">
        <v>19764000000</v>
      </c>
      <c r="L64" s="5">
        <v>16422000000</v>
      </c>
      <c r="M64" s="5">
        <v>13331000000</v>
      </c>
      <c r="N64" s="5">
        <v>10668000000</v>
      </c>
      <c r="O64" s="5">
        <v>8210000000</v>
      </c>
      <c r="P64" s="5">
        <v>7177000000</v>
      </c>
      <c r="Q64" s="5">
        <v>5368000000</v>
      </c>
      <c r="R64" s="5">
        <v>4355000000</v>
      </c>
      <c r="S64" s="5">
        <v>3521000000</v>
      </c>
      <c r="T64" s="5">
        <v>2514000000</v>
      </c>
      <c r="U64" s="5">
        <v>1926000000</v>
      </c>
      <c r="V64" s="5">
        <v>1826000000</v>
      </c>
      <c r="W64" s="5">
        <v>1693000000</v>
      </c>
      <c r="X64" s="5">
        <v>1502000000</v>
      </c>
    </row>
    <row r="65" spans="1:24" x14ac:dyDescent="0.2">
      <c r="A65" s="4" t="s">
        <v>114</v>
      </c>
      <c r="B65" s="5">
        <v>0</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76000000</v>
      </c>
    </row>
    <row r="66" spans="1:24" x14ac:dyDescent="0.2">
      <c r="A66" s="4" t="s">
        <v>115</v>
      </c>
      <c r="B66" s="5">
        <v>14435000000</v>
      </c>
      <c r="C66" s="5">
        <v>5562000000</v>
      </c>
      <c r="D66" s="5">
        <v>14966000000</v>
      </c>
      <c r="E66" s="5">
        <v>45898000000</v>
      </c>
      <c r="F66" s="5">
        <v>70400000000</v>
      </c>
      <c r="G66" s="5">
        <v>98330000000</v>
      </c>
      <c r="H66" s="5">
        <v>96364000000</v>
      </c>
      <c r="I66" s="5">
        <v>92284000000</v>
      </c>
      <c r="J66" s="5">
        <v>87152000000</v>
      </c>
      <c r="K66" s="5">
        <v>104256000000</v>
      </c>
      <c r="L66" s="5">
        <v>101289000000</v>
      </c>
      <c r="M66" s="5">
        <v>62841000000</v>
      </c>
      <c r="N66" s="5">
        <v>37169000000</v>
      </c>
      <c r="O66" s="5">
        <v>19538000000</v>
      </c>
      <c r="P66" s="5">
        <v>13845000000</v>
      </c>
      <c r="Q66" s="5">
        <v>9101000000</v>
      </c>
      <c r="R66" s="5">
        <v>5607000000</v>
      </c>
      <c r="S66" s="5">
        <v>4005000000</v>
      </c>
      <c r="T66" s="5">
        <v>2670000000</v>
      </c>
      <c r="U66" s="5">
        <v>2394000000</v>
      </c>
      <c r="V66" s="5">
        <v>2325000000</v>
      </c>
      <c r="W66" s="5">
        <v>2260000000</v>
      </c>
      <c r="X66" s="5">
        <v>2285000000</v>
      </c>
    </row>
    <row r="67" spans="1:24" x14ac:dyDescent="0.2">
      <c r="A67" s="4" t="s">
        <v>116</v>
      </c>
      <c r="B67" s="5">
        <v>-927000000</v>
      </c>
      <c r="C67" s="5">
        <v>163000000</v>
      </c>
      <c r="D67" s="5">
        <v>-406000000</v>
      </c>
      <c r="E67" s="5">
        <v>-584000000</v>
      </c>
      <c r="F67" s="5">
        <v>-3454000000</v>
      </c>
      <c r="G67" s="5">
        <v>-150000000</v>
      </c>
      <c r="H67" s="5">
        <v>634000000</v>
      </c>
      <c r="I67" s="5">
        <v>-345000000</v>
      </c>
      <c r="J67" s="5">
        <v>1082000000</v>
      </c>
      <c r="K67" s="5">
        <v>-471000000</v>
      </c>
      <c r="L67" s="5">
        <v>499000000</v>
      </c>
      <c r="M67" s="5">
        <v>443000000</v>
      </c>
      <c r="N67" s="5">
        <v>-46000000</v>
      </c>
      <c r="O67" s="5">
        <v>84000000</v>
      </c>
      <c r="P67" s="5">
        <v>8000000</v>
      </c>
      <c r="Q67" s="5">
        <v>63000000</v>
      </c>
      <c r="R67" s="5">
        <v>22000000</v>
      </c>
      <c r="S67" s="5">
        <v>-664000000</v>
      </c>
      <c r="T67" s="5">
        <v>-15000000</v>
      </c>
      <c r="U67" s="5">
        <v>-35000000</v>
      </c>
      <c r="V67" s="5">
        <v>-56000000</v>
      </c>
      <c r="W67" s="5">
        <v>-33000000</v>
      </c>
      <c r="X67" s="5">
        <v>-387000000</v>
      </c>
    </row>
    <row r="68" spans="1:24" x14ac:dyDescent="0.2">
      <c r="A68" s="4" t="s">
        <v>117</v>
      </c>
      <c r="B68" s="5">
        <v>0</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row>
    <row r="69" spans="1:24" x14ac:dyDescent="0.2">
      <c r="A69" s="4" t="s">
        <v>118</v>
      </c>
      <c r="B69" s="5">
        <v>0</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row>
    <row r="70" spans="1:24" x14ac:dyDescent="0.2">
      <c r="A70" s="4" t="s">
        <v>119</v>
      </c>
      <c r="B70" s="5">
        <v>0</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row>
    <row r="71" spans="1:24" x14ac:dyDescent="0.2">
      <c r="A71" s="4" t="s">
        <v>120</v>
      </c>
      <c r="B71" s="5">
        <v>-927000000</v>
      </c>
      <c r="C71" s="5">
        <v>163000000</v>
      </c>
      <c r="D71" s="5">
        <v>-406000000</v>
      </c>
      <c r="E71" s="5">
        <v>-584000000</v>
      </c>
      <c r="F71" s="5">
        <v>-3454000000</v>
      </c>
      <c r="G71" s="5">
        <v>-150000000</v>
      </c>
      <c r="H71" s="5">
        <v>634000000</v>
      </c>
      <c r="I71" s="5">
        <v>-345000000</v>
      </c>
      <c r="J71" s="5">
        <v>1082000000</v>
      </c>
      <c r="K71" s="5">
        <v>-471000000</v>
      </c>
      <c r="L71" s="5">
        <v>499000000</v>
      </c>
      <c r="M71" s="5">
        <v>443000000</v>
      </c>
      <c r="N71" s="5">
        <v>-46000000</v>
      </c>
      <c r="O71" s="5">
        <v>77000000</v>
      </c>
      <c r="P71" s="5">
        <v>0</v>
      </c>
      <c r="Q71" s="5">
        <v>0</v>
      </c>
      <c r="R71" s="5">
        <v>0</v>
      </c>
      <c r="S71" s="5">
        <v>-60000000</v>
      </c>
      <c r="T71" s="5">
        <v>-93000000</v>
      </c>
      <c r="U71" s="5">
        <v>-62000000</v>
      </c>
      <c r="V71" s="5">
        <v>0</v>
      </c>
      <c r="W71" s="5">
        <v>0</v>
      </c>
      <c r="X71" s="5">
        <v>707000000</v>
      </c>
    </row>
    <row r="72" spans="1:24" x14ac:dyDescent="0.2">
      <c r="A72" s="4" t="s">
        <v>121</v>
      </c>
      <c r="B72" s="5">
        <v>71932000000</v>
      </c>
      <c r="C72" s="5">
        <v>63090000000</v>
      </c>
      <c r="D72" s="5">
        <v>65339000000</v>
      </c>
      <c r="E72" s="5">
        <v>90488000000</v>
      </c>
      <c r="F72" s="5">
        <v>107147000000</v>
      </c>
      <c r="G72" s="5">
        <v>134047000000</v>
      </c>
      <c r="H72" s="5">
        <v>128249000000</v>
      </c>
      <c r="I72" s="5">
        <v>119355000000</v>
      </c>
      <c r="J72" s="5">
        <v>111547000000</v>
      </c>
      <c r="K72" s="5">
        <v>123549000000</v>
      </c>
      <c r="L72" s="5">
        <v>118210000000</v>
      </c>
      <c r="M72" s="5">
        <v>76615000000</v>
      </c>
      <c r="N72" s="5">
        <v>47791000000</v>
      </c>
      <c r="O72" s="5">
        <v>27832000000</v>
      </c>
      <c r="P72" s="5">
        <v>21030000000</v>
      </c>
      <c r="Q72" s="5">
        <v>14532000000</v>
      </c>
      <c r="R72" s="5">
        <v>9984000000</v>
      </c>
      <c r="S72" s="5">
        <v>7466000000</v>
      </c>
      <c r="T72" s="5">
        <v>5076000000</v>
      </c>
      <c r="U72" s="5">
        <v>4223000000</v>
      </c>
      <c r="V72" s="5">
        <v>4095000000</v>
      </c>
      <c r="W72" s="5">
        <v>3920000000</v>
      </c>
      <c r="X72" s="5">
        <v>4107000000</v>
      </c>
    </row>
    <row r="73" spans="1:24" x14ac:dyDescent="0.2">
      <c r="A73" s="4" t="s">
        <v>122</v>
      </c>
      <c r="B73" s="5">
        <v>0</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row>
    <row r="74" spans="1:24" x14ac:dyDescent="0.2">
      <c r="A74" s="4" t="s">
        <v>123</v>
      </c>
      <c r="B74" s="5">
        <v>71932000000</v>
      </c>
      <c r="C74" s="5">
        <v>63090000000</v>
      </c>
      <c r="D74" s="5">
        <v>65339000000</v>
      </c>
      <c r="E74" s="5">
        <v>90488000000</v>
      </c>
      <c r="F74" s="5">
        <v>107147000000</v>
      </c>
      <c r="G74" s="5">
        <v>134047000000</v>
      </c>
      <c r="H74" s="5">
        <v>128249000000</v>
      </c>
      <c r="I74" s="5">
        <v>119355000000</v>
      </c>
      <c r="J74" s="5">
        <v>111547000000</v>
      </c>
      <c r="K74" s="5">
        <v>123549000000</v>
      </c>
      <c r="L74" s="5">
        <v>118210000000</v>
      </c>
      <c r="M74" s="5">
        <v>76615000000</v>
      </c>
      <c r="N74" s="5">
        <v>47791000000</v>
      </c>
      <c r="O74" s="5">
        <v>27832000000</v>
      </c>
      <c r="P74" s="5">
        <v>21030000000</v>
      </c>
      <c r="Q74" s="5">
        <v>14532000000</v>
      </c>
      <c r="R74" s="5">
        <v>9984000000</v>
      </c>
      <c r="S74" s="5">
        <v>7466000000</v>
      </c>
      <c r="T74" s="5">
        <v>5076000000</v>
      </c>
      <c r="U74" s="5">
        <v>4223000000</v>
      </c>
      <c r="V74" s="5">
        <v>4095000000</v>
      </c>
      <c r="W74" s="5">
        <v>3920000000</v>
      </c>
      <c r="X74" s="5">
        <v>4107000000</v>
      </c>
    </row>
    <row r="75" spans="1:24" x14ac:dyDescent="0.2">
      <c r="A75" s="4" t="s">
        <v>84</v>
      </c>
      <c r="B75" s="4" t="s">
        <v>85</v>
      </c>
      <c r="C75" s="4" t="s">
        <v>85</v>
      </c>
      <c r="D75" s="4" t="s">
        <v>85</v>
      </c>
      <c r="E75" s="4" t="s">
        <v>85</v>
      </c>
      <c r="F75" s="4" t="s">
        <v>85</v>
      </c>
      <c r="G75" s="4" t="s">
        <v>85</v>
      </c>
      <c r="H75" s="4" t="s">
        <v>85</v>
      </c>
      <c r="I75" s="4" t="s">
        <v>85</v>
      </c>
      <c r="J75" s="4" t="s">
        <v>85</v>
      </c>
      <c r="K75" s="4" t="s">
        <v>85</v>
      </c>
      <c r="L75" s="4" t="s">
        <v>85</v>
      </c>
      <c r="M75" s="4" t="s">
        <v>85</v>
      </c>
      <c r="N75" s="4" t="s">
        <v>85</v>
      </c>
      <c r="O75" s="4" t="s">
        <v>85</v>
      </c>
      <c r="P75" s="4" t="s">
        <v>85</v>
      </c>
      <c r="Q75" s="4" t="s">
        <v>85</v>
      </c>
      <c r="R75" s="4" t="s">
        <v>85</v>
      </c>
      <c r="S75" s="4" t="s">
        <v>85</v>
      </c>
      <c r="T75" s="4" t="s">
        <v>85</v>
      </c>
      <c r="U75" s="4" t="s">
        <v>85</v>
      </c>
      <c r="V75" s="4" t="s">
        <v>85</v>
      </c>
      <c r="W75" s="4" t="s">
        <v>85</v>
      </c>
      <c r="X75" s="4" t="s">
        <v>85</v>
      </c>
    </row>
    <row r="76" spans="1:24" x14ac:dyDescent="0.2">
      <c r="A76" s="4" t="s">
        <v>86</v>
      </c>
      <c r="B76" s="4" t="s">
        <v>461</v>
      </c>
      <c r="C76" s="4" t="s">
        <v>462</v>
      </c>
      <c r="D76" s="4" t="s">
        <v>463</v>
      </c>
      <c r="E76" s="4" t="s">
        <v>464</v>
      </c>
      <c r="F76" s="4" t="s">
        <v>465</v>
      </c>
      <c r="G76" s="4" t="s">
        <v>466</v>
      </c>
      <c r="H76" s="4" t="s">
        <v>467</v>
      </c>
      <c r="I76" s="4" t="s">
        <v>468</v>
      </c>
      <c r="J76" s="4" t="s">
        <v>469</v>
      </c>
      <c r="K76" s="4" t="s">
        <v>470</v>
      </c>
      <c r="L76" s="4" t="s">
        <v>471</v>
      </c>
      <c r="M76" s="4" t="s">
        <v>472</v>
      </c>
      <c r="N76" s="4" t="s">
        <v>473</v>
      </c>
      <c r="O76" s="4" t="s">
        <v>474</v>
      </c>
      <c r="P76" s="4" t="s">
        <v>475</v>
      </c>
      <c r="Q76" s="4" t="s">
        <v>476</v>
      </c>
      <c r="R76" s="4" t="s">
        <v>477</v>
      </c>
      <c r="S76" s="4" t="s">
        <v>478</v>
      </c>
      <c r="T76" s="4" t="s">
        <v>479</v>
      </c>
      <c r="U76" s="4" t="s">
        <v>480</v>
      </c>
      <c r="V76" s="4" t="s">
        <v>481</v>
      </c>
      <c r="W76" s="4" t="s">
        <v>482</v>
      </c>
      <c r="X76" s="4" t="s">
        <v>483</v>
      </c>
    </row>
    <row r="78" spans="1:24" s="8" customFormat="1" ht="20.100000000000001" customHeight="1" x14ac:dyDescent="0.2">
      <c r="A78" s="8" t="s">
        <v>124</v>
      </c>
    </row>
    <row r="79" spans="1:24" s="9" customFormat="1" ht="20.100000000000001" customHeight="1" x14ac:dyDescent="0.2">
      <c r="A79" s="10" t="s">
        <v>53</v>
      </c>
      <c r="B79" s="10" t="s">
        <v>54</v>
      </c>
      <c r="C79" s="10" t="s">
        <v>439</v>
      </c>
      <c r="D79" s="10" t="s">
        <v>440</v>
      </c>
      <c r="E79" s="10" t="s">
        <v>441</v>
      </c>
      <c r="F79" s="10" t="s">
        <v>442</v>
      </c>
      <c r="G79" s="10" t="s">
        <v>443</v>
      </c>
      <c r="H79" s="10" t="s">
        <v>444</v>
      </c>
      <c r="I79" s="10" t="s">
        <v>445</v>
      </c>
      <c r="J79" s="10" t="s">
        <v>446</v>
      </c>
      <c r="K79" s="10" t="s">
        <v>447</v>
      </c>
      <c r="L79" s="10" t="s">
        <v>448</v>
      </c>
      <c r="M79" s="10" t="s">
        <v>449</v>
      </c>
      <c r="N79" s="10" t="s">
        <v>450</v>
      </c>
      <c r="O79" s="10" t="s">
        <v>451</v>
      </c>
      <c r="P79" s="10" t="s">
        <v>452</v>
      </c>
      <c r="Q79" s="10" t="s">
        <v>453</v>
      </c>
      <c r="R79" s="10" t="s">
        <v>454</v>
      </c>
      <c r="S79" s="9" t="s">
        <v>455</v>
      </c>
      <c r="T79" s="9" t="s">
        <v>456</v>
      </c>
      <c r="U79" s="9" t="s">
        <v>457</v>
      </c>
      <c r="V79" s="9" t="s">
        <v>458</v>
      </c>
      <c r="W79" s="9" t="s">
        <v>459</v>
      </c>
      <c r="X79" s="9" t="s">
        <v>460</v>
      </c>
    </row>
    <row r="80" spans="1:24" x14ac:dyDescent="0.2">
      <c r="A80" s="4" t="s">
        <v>75</v>
      </c>
      <c r="B80" s="5">
        <v>100555000000</v>
      </c>
      <c r="C80" s="5">
        <v>94680000000</v>
      </c>
      <c r="D80" s="5">
        <v>57411000000</v>
      </c>
      <c r="E80" s="5">
        <v>55256000000</v>
      </c>
      <c r="F80" s="5">
        <v>59531000000</v>
      </c>
      <c r="G80" s="5">
        <v>48351000000</v>
      </c>
      <c r="H80" s="5">
        <v>45687000000</v>
      </c>
      <c r="I80" s="5">
        <v>53394000000</v>
      </c>
      <c r="J80" s="5">
        <v>39510000000</v>
      </c>
      <c r="K80" s="5">
        <v>37037000000</v>
      </c>
      <c r="L80" s="5">
        <v>41733000000</v>
      </c>
      <c r="M80" s="5">
        <v>25922000000</v>
      </c>
      <c r="N80" s="5">
        <v>14013000000</v>
      </c>
      <c r="O80" s="5">
        <v>5704000000</v>
      </c>
      <c r="P80" s="5">
        <v>4834000000</v>
      </c>
      <c r="Q80" s="5">
        <v>3496000000</v>
      </c>
      <c r="R80" s="5">
        <v>1989000000</v>
      </c>
      <c r="S80" s="5">
        <v>1335000000</v>
      </c>
      <c r="T80" s="5">
        <v>276000000</v>
      </c>
      <c r="U80" s="5">
        <v>68000000</v>
      </c>
      <c r="V80" s="5">
        <v>65000000</v>
      </c>
      <c r="W80" s="5">
        <v>-37000000</v>
      </c>
      <c r="X80" s="5">
        <v>786000000</v>
      </c>
    </row>
    <row r="81" spans="1:24" x14ac:dyDescent="0.2">
      <c r="A81" s="4" t="s">
        <v>125</v>
      </c>
      <c r="B81" s="5">
        <v>11315000000</v>
      </c>
      <c r="C81" s="5">
        <v>11284000000</v>
      </c>
      <c r="D81" s="5">
        <v>11056000000</v>
      </c>
      <c r="E81" s="5">
        <v>12547000000</v>
      </c>
      <c r="F81" s="5">
        <v>10903000000</v>
      </c>
      <c r="G81" s="5">
        <v>10157000000</v>
      </c>
      <c r="H81" s="5">
        <v>10505000000</v>
      </c>
      <c r="I81" s="5">
        <v>11257000000</v>
      </c>
      <c r="J81" s="5">
        <v>7946000000</v>
      </c>
      <c r="K81" s="5">
        <v>6757000000</v>
      </c>
      <c r="L81" s="5">
        <v>3277000000</v>
      </c>
      <c r="M81" s="5">
        <v>1814000000</v>
      </c>
      <c r="N81" s="5">
        <v>1027000000</v>
      </c>
      <c r="O81" s="5">
        <v>703000000</v>
      </c>
      <c r="P81" s="5">
        <v>473000000</v>
      </c>
      <c r="Q81" s="5">
        <v>317000000</v>
      </c>
      <c r="R81" s="5">
        <v>225000000</v>
      </c>
      <c r="S81" s="5">
        <v>179000000</v>
      </c>
      <c r="T81" s="5">
        <v>150000000</v>
      </c>
      <c r="U81" s="5">
        <v>113000000</v>
      </c>
      <c r="V81" s="5">
        <v>118000000</v>
      </c>
      <c r="W81" s="5">
        <v>102000000</v>
      </c>
      <c r="X81" s="5">
        <v>84000000</v>
      </c>
    </row>
    <row r="82" spans="1:24" x14ac:dyDescent="0.2">
      <c r="A82" s="4" t="s">
        <v>126</v>
      </c>
      <c r="B82" s="5">
        <v>-3114000000</v>
      </c>
      <c r="C82" s="5">
        <v>-10125000000</v>
      </c>
      <c r="D82" s="5">
        <v>6917000000</v>
      </c>
      <c r="E82" s="5">
        <v>245000000</v>
      </c>
      <c r="F82" s="5">
        <v>-5322000000</v>
      </c>
      <c r="G82" s="5">
        <v>-2093000000</v>
      </c>
      <c r="H82" s="5">
        <v>1095000000</v>
      </c>
      <c r="I82" s="5">
        <v>611000000</v>
      </c>
      <c r="J82" s="5">
        <v>-4232000000</v>
      </c>
      <c r="K82" s="5">
        <v>-2172000000</v>
      </c>
      <c r="L82" s="5">
        <v>-5551000000</v>
      </c>
      <c r="M82" s="5">
        <v>143000000</v>
      </c>
      <c r="N82" s="5">
        <v>-2142000000</v>
      </c>
      <c r="O82" s="5">
        <v>-939000000</v>
      </c>
      <c r="P82" s="5">
        <v>-785000000</v>
      </c>
      <c r="Q82" s="5">
        <v>-385000000</v>
      </c>
      <c r="R82" s="5">
        <v>-357000000</v>
      </c>
      <c r="S82" s="5">
        <v>-121000000</v>
      </c>
      <c r="T82" s="5">
        <v>-8000000</v>
      </c>
      <c r="U82" s="5">
        <v>-201000000</v>
      </c>
      <c r="V82" s="5">
        <v>-99000000</v>
      </c>
      <c r="W82" s="5">
        <v>487000000</v>
      </c>
      <c r="X82" s="5">
        <v>-272000000</v>
      </c>
    </row>
    <row r="83" spans="1:24" x14ac:dyDescent="0.2">
      <c r="A83" s="4" t="s">
        <v>127</v>
      </c>
      <c r="B83" s="5">
        <v>-6635000000</v>
      </c>
      <c r="C83" s="5">
        <v>-14028000000</v>
      </c>
      <c r="D83" s="5">
        <v>8470000000</v>
      </c>
      <c r="E83" s="5">
        <v>3176000000</v>
      </c>
      <c r="F83" s="5">
        <v>-13332000000</v>
      </c>
      <c r="G83" s="5">
        <v>-6347000000</v>
      </c>
      <c r="H83" s="5">
        <v>1044000000</v>
      </c>
      <c r="I83" s="5">
        <v>611000000</v>
      </c>
      <c r="J83" s="5">
        <v>-6452000000</v>
      </c>
      <c r="K83" s="5">
        <v>-1949000000</v>
      </c>
      <c r="L83" s="5">
        <v>-6965000000</v>
      </c>
      <c r="M83" s="5">
        <v>-1791000000</v>
      </c>
      <c r="N83" s="5">
        <v>-4860000000</v>
      </c>
      <c r="O83" s="5">
        <v>-939000000</v>
      </c>
      <c r="P83" s="5">
        <v>0</v>
      </c>
      <c r="Q83" s="5">
        <v>0</v>
      </c>
      <c r="R83" s="5">
        <v>0</v>
      </c>
      <c r="S83" s="5">
        <v>0</v>
      </c>
      <c r="T83" s="5">
        <v>0</v>
      </c>
      <c r="U83" s="5">
        <v>0</v>
      </c>
      <c r="V83" s="5">
        <v>0</v>
      </c>
      <c r="W83" s="5">
        <v>0</v>
      </c>
      <c r="X83" s="5">
        <v>0</v>
      </c>
    </row>
    <row r="84" spans="1:24" x14ac:dyDescent="0.2">
      <c r="A84" s="4" t="s">
        <v>128</v>
      </c>
      <c r="B84" s="5">
        <v>-1011000000</v>
      </c>
      <c r="C84" s="5">
        <v>-2642000000</v>
      </c>
      <c r="D84" s="5">
        <v>-127000000</v>
      </c>
      <c r="E84" s="5">
        <v>-289000000</v>
      </c>
      <c r="F84" s="5">
        <v>828000000</v>
      </c>
      <c r="G84" s="5">
        <v>-2723000000</v>
      </c>
      <c r="H84" s="5">
        <v>217000000</v>
      </c>
      <c r="I84" s="5">
        <v>-238000000</v>
      </c>
      <c r="J84" s="5">
        <v>-76000000</v>
      </c>
      <c r="K84" s="5">
        <v>-973000000</v>
      </c>
      <c r="L84" s="5">
        <v>-15000000</v>
      </c>
      <c r="M84" s="5">
        <v>275000000</v>
      </c>
      <c r="N84" s="5">
        <v>-596000000</v>
      </c>
      <c r="O84" s="5">
        <v>54000000</v>
      </c>
      <c r="P84" s="5">
        <v>-163000000</v>
      </c>
      <c r="Q84" s="5">
        <v>-76000000</v>
      </c>
      <c r="R84" s="5">
        <v>-105000000</v>
      </c>
      <c r="S84" s="5">
        <v>-64000000</v>
      </c>
      <c r="T84" s="5">
        <v>-45000000</v>
      </c>
      <c r="U84" s="5">
        <v>-11000000</v>
      </c>
      <c r="V84" s="5">
        <v>-34000000</v>
      </c>
      <c r="W84" s="5">
        <v>22000000</v>
      </c>
      <c r="X84" s="5">
        <v>-13000000</v>
      </c>
    </row>
    <row r="85" spans="1:24" x14ac:dyDescent="0.2">
      <c r="A85" s="4" t="s">
        <v>129</v>
      </c>
      <c r="B85" s="5">
        <v>11266000000</v>
      </c>
      <c r="C85" s="5">
        <v>14002000000</v>
      </c>
      <c r="D85" s="5">
        <v>4854000000</v>
      </c>
      <c r="E85" s="5">
        <v>-6623000000</v>
      </c>
      <c r="F85" s="5">
        <v>47621000000</v>
      </c>
      <c r="G85" s="5">
        <v>8838000000</v>
      </c>
      <c r="H85" s="5">
        <v>-1867000000</v>
      </c>
      <c r="I85" s="5">
        <v>15188000000</v>
      </c>
      <c r="J85" s="5">
        <v>13408000000</v>
      </c>
      <c r="K85" s="5">
        <v>8320000000</v>
      </c>
      <c r="L85" s="5">
        <v>9843000000</v>
      </c>
      <c r="M85" s="5">
        <v>8664000000</v>
      </c>
      <c r="N85" s="5">
        <v>8302000000</v>
      </c>
      <c r="O85" s="5">
        <v>452000000</v>
      </c>
      <c r="P85" s="5">
        <v>596000000</v>
      </c>
      <c r="Q85" s="5">
        <v>1494000000</v>
      </c>
      <c r="R85" s="5">
        <v>1611000000</v>
      </c>
      <c r="S85" s="5">
        <v>328000000</v>
      </c>
      <c r="T85" s="5">
        <v>297000000</v>
      </c>
      <c r="U85" s="5">
        <v>243000000</v>
      </c>
      <c r="V85" s="5">
        <v>110000000</v>
      </c>
      <c r="W85" s="5">
        <v>0</v>
      </c>
      <c r="X85" s="5">
        <v>318000000</v>
      </c>
    </row>
    <row r="86" spans="1:24" x14ac:dyDescent="0.2">
      <c r="A86" s="4" t="s">
        <v>130</v>
      </c>
      <c r="B86" s="5">
        <v>-3741000000</v>
      </c>
      <c r="C86" s="5">
        <v>-4911000000</v>
      </c>
      <c r="D86" s="5">
        <v>5690000000</v>
      </c>
      <c r="E86" s="5">
        <v>-3488000000</v>
      </c>
      <c r="F86" s="5">
        <v>34694000000</v>
      </c>
      <c r="G86" s="5">
        <v>-5550000000</v>
      </c>
      <c r="H86" s="5">
        <v>484000000</v>
      </c>
      <c r="I86" s="5">
        <v>11647000000</v>
      </c>
      <c r="J86" s="5">
        <v>7047000000</v>
      </c>
      <c r="K86" s="5">
        <v>6478000000</v>
      </c>
      <c r="L86" s="5">
        <v>-299000000</v>
      </c>
      <c r="M86" s="5">
        <v>5757000000</v>
      </c>
      <c r="N86" s="5">
        <v>1212000000</v>
      </c>
      <c r="O86" s="5">
        <v>3535000000</v>
      </c>
      <c r="P86" s="5">
        <v>4119000000</v>
      </c>
      <c r="Q86" s="5">
        <v>1325000000</v>
      </c>
      <c r="R86" s="5">
        <v>-221000000</v>
      </c>
      <c r="S86" s="5">
        <v>465000000</v>
      </c>
      <c r="T86" s="5">
        <v>448000000</v>
      </c>
      <c r="U86" s="5">
        <v>126000000</v>
      </c>
      <c r="V86" s="5">
        <v>-103000000</v>
      </c>
      <c r="W86" s="5">
        <v>211000000</v>
      </c>
      <c r="X86" s="5">
        <v>157000000</v>
      </c>
    </row>
    <row r="87" spans="1:24" x14ac:dyDescent="0.2">
      <c r="A87" s="4" t="s">
        <v>131</v>
      </c>
      <c r="B87" s="5">
        <v>112241000000</v>
      </c>
      <c r="C87" s="5">
        <v>104038000000</v>
      </c>
      <c r="D87" s="5">
        <v>80674000000</v>
      </c>
      <c r="E87" s="5">
        <v>69391000000</v>
      </c>
      <c r="F87" s="5">
        <v>77434000000</v>
      </c>
      <c r="G87" s="5">
        <v>63598000000</v>
      </c>
      <c r="H87" s="5">
        <v>65824000000</v>
      </c>
      <c r="I87" s="5">
        <v>81266000000</v>
      </c>
      <c r="J87" s="5">
        <v>59713000000</v>
      </c>
      <c r="K87" s="5">
        <v>53666000000</v>
      </c>
      <c r="L87" s="5">
        <v>50856000000</v>
      </c>
      <c r="M87" s="5">
        <v>37529000000</v>
      </c>
      <c r="N87" s="5">
        <v>18595000000</v>
      </c>
      <c r="O87" s="5">
        <v>10159000000</v>
      </c>
      <c r="P87" s="5">
        <v>9596000000</v>
      </c>
      <c r="Q87" s="5">
        <v>5470000000</v>
      </c>
      <c r="R87" s="5">
        <v>2220000000</v>
      </c>
      <c r="S87" s="5">
        <v>2535000000</v>
      </c>
      <c r="T87" s="5">
        <v>934000000</v>
      </c>
      <c r="U87" s="5">
        <v>289000000</v>
      </c>
      <c r="V87" s="5">
        <v>89000000</v>
      </c>
      <c r="W87" s="5">
        <v>185000000</v>
      </c>
      <c r="X87" s="5">
        <v>826000000</v>
      </c>
    </row>
    <row r="88" spans="1:24" x14ac:dyDescent="0.2">
      <c r="A88" s="4" t="s">
        <v>132</v>
      </c>
      <c r="B88" s="5">
        <v>-10469000000</v>
      </c>
      <c r="C88" s="5">
        <v>-3075000000</v>
      </c>
      <c r="D88" s="5">
        <v>5335000000</v>
      </c>
      <c r="E88" s="5">
        <v>58093000000</v>
      </c>
      <c r="F88" s="5">
        <v>30845000000</v>
      </c>
      <c r="G88" s="5">
        <v>-33542000000</v>
      </c>
      <c r="H88" s="5">
        <v>-32022000000</v>
      </c>
      <c r="I88" s="5">
        <v>-44417000000</v>
      </c>
      <c r="J88" s="5">
        <v>-9017000000</v>
      </c>
      <c r="K88" s="5">
        <v>-24042000000</v>
      </c>
      <c r="L88" s="5">
        <v>-38427000000</v>
      </c>
      <c r="M88" s="5">
        <v>-32464000000</v>
      </c>
      <c r="N88" s="5">
        <v>-11093000000</v>
      </c>
      <c r="O88" s="5">
        <v>-16147000000</v>
      </c>
      <c r="P88" s="5">
        <v>0</v>
      </c>
      <c r="Q88" s="5">
        <v>0</v>
      </c>
      <c r="R88" s="5">
        <v>0</v>
      </c>
      <c r="S88" s="5">
        <v>0</v>
      </c>
      <c r="T88" s="5">
        <v>0</v>
      </c>
      <c r="U88" s="5">
        <v>0</v>
      </c>
      <c r="V88" s="5">
        <v>0</v>
      </c>
      <c r="W88" s="5">
        <v>0</v>
      </c>
      <c r="X88" s="5">
        <v>0</v>
      </c>
    </row>
    <row r="89" spans="1:24" x14ac:dyDescent="0.2">
      <c r="A89" s="4" t="s">
        <v>133</v>
      </c>
      <c r="B89" s="5">
        <v>-1186000000</v>
      </c>
      <c r="C89" s="5">
        <v>-352000000</v>
      </c>
      <c r="D89" s="5">
        <v>-2315000000</v>
      </c>
      <c r="E89" s="5">
        <v>-1702000000</v>
      </c>
      <c r="F89" s="5">
        <v>-1466000000</v>
      </c>
      <c r="G89" s="5">
        <v>-453000000</v>
      </c>
      <c r="H89" s="5">
        <v>-1221000000</v>
      </c>
      <c r="I89" s="5">
        <v>-610000000</v>
      </c>
      <c r="J89" s="5">
        <v>-3991000000</v>
      </c>
      <c r="K89" s="5">
        <v>-1567000000</v>
      </c>
      <c r="L89" s="5">
        <v>-1505000000</v>
      </c>
      <c r="M89" s="5">
        <v>-3695000000</v>
      </c>
      <c r="N89" s="5">
        <v>-756000000</v>
      </c>
      <c r="O89" s="5">
        <v>-143000000</v>
      </c>
      <c r="P89" s="5">
        <v>0</v>
      </c>
      <c r="Q89" s="5">
        <v>0</v>
      </c>
      <c r="R89" s="5">
        <v>0</v>
      </c>
      <c r="S89" s="5">
        <v>0</v>
      </c>
      <c r="T89" s="5">
        <v>11000000</v>
      </c>
      <c r="U89" s="5">
        <v>33000000</v>
      </c>
      <c r="V89" s="5">
        <v>0</v>
      </c>
      <c r="W89" s="5">
        <v>0</v>
      </c>
      <c r="X89" s="5">
        <v>0</v>
      </c>
    </row>
    <row r="90" spans="1:24" x14ac:dyDescent="0.2">
      <c r="A90" s="4" t="s">
        <v>134</v>
      </c>
      <c r="B90" s="5">
        <v>-22067000000</v>
      </c>
      <c r="C90" s="5">
        <v>-14545000000</v>
      </c>
      <c r="D90" s="5">
        <v>-4289000000</v>
      </c>
      <c r="E90" s="5">
        <v>45896000000</v>
      </c>
      <c r="F90" s="5">
        <v>16066000000</v>
      </c>
      <c r="G90" s="5">
        <v>-46446000000</v>
      </c>
      <c r="H90" s="5">
        <v>-45977000000</v>
      </c>
      <c r="I90" s="5">
        <v>-56274000000</v>
      </c>
      <c r="J90" s="5">
        <v>-22579000000</v>
      </c>
      <c r="K90" s="5">
        <v>-33774000000</v>
      </c>
      <c r="L90" s="5">
        <v>-48227000000</v>
      </c>
      <c r="M90" s="5">
        <v>-40419000000</v>
      </c>
      <c r="N90" s="5">
        <v>-13854000000</v>
      </c>
      <c r="O90" s="5">
        <v>-17434000000</v>
      </c>
      <c r="P90" s="5">
        <v>0</v>
      </c>
      <c r="Q90" s="5">
        <v>0</v>
      </c>
      <c r="R90" s="5">
        <v>357000000</v>
      </c>
      <c r="S90" s="5">
        <v>0</v>
      </c>
      <c r="T90" s="5">
        <v>0</v>
      </c>
      <c r="U90" s="5">
        <v>828000000</v>
      </c>
      <c r="V90" s="5">
        <v>0</v>
      </c>
      <c r="W90" s="5">
        <v>892000000</v>
      </c>
      <c r="X90" s="5">
        <v>0</v>
      </c>
    </row>
    <row r="91" spans="1:24" x14ac:dyDescent="0.2">
      <c r="A91" s="4" t="s">
        <v>135</v>
      </c>
      <c r="B91" s="5">
        <v>-81674000000</v>
      </c>
      <c r="C91" s="5">
        <v>-85971000000</v>
      </c>
      <c r="D91" s="5">
        <v>-72358000000</v>
      </c>
      <c r="E91" s="5">
        <v>-66897000000</v>
      </c>
      <c r="F91" s="5">
        <v>-72738000000</v>
      </c>
      <c r="G91" s="5">
        <v>-32900000000</v>
      </c>
      <c r="H91" s="5">
        <v>-29722000000</v>
      </c>
      <c r="I91" s="5">
        <v>-35253000000</v>
      </c>
      <c r="J91" s="5">
        <v>-45000000000</v>
      </c>
      <c r="K91" s="5">
        <v>-22860000000</v>
      </c>
      <c r="L91" s="5">
        <v>665000000</v>
      </c>
      <c r="M91" s="5">
        <v>831000000</v>
      </c>
      <c r="N91" s="5">
        <v>912000000</v>
      </c>
      <c r="O91" s="5">
        <v>475000000</v>
      </c>
      <c r="P91" s="5">
        <v>-124000000</v>
      </c>
      <c r="Q91" s="5">
        <v>-3000000</v>
      </c>
      <c r="R91" s="5">
        <v>-355000000</v>
      </c>
      <c r="S91" s="5">
        <v>543000000</v>
      </c>
      <c r="T91" s="5">
        <v>427000000</v>
      </c>
      <c r="U91" s="5">
        <v>-26000000</v>
      </c>
      <c r="V91" s="5">
        <v>105000000</v>
      </c>
      <c r="W91" s="5">
        <v>42000000</v>
      </c>
      <c r="X91" s="5">
        <v>-116000000</v>
      </c>
    </row>
    <row r="92" spans="1:24" x14ac:dyDescent="0.2">
      <c r="A92" s="4" t="s">
        <v>136</v>
      </c>
      <c r="B92" s="5">
        <v>15863000000</v>
      </c>
      <c r="C92" s="5">
        <v>12665000000</v>
      </c>
      <c r="D92" s="5">
        <v>2499000000</v>
      </c>
      <c r="E92" s="5">
        <v>-7819000000</v>
      </c>
      <c r="F92" s="5">
        <v>432000000</v>
      </c>
      <c r="G92" s="5">
        <v>29014000000</v>
      </c>
      <c r="H92" s="5">
        <v>22057000000</v>
      </c>
      <c r="I92" s="5">
        <v>29305000000</v>
      </c>
      <c r="J92" s="5">
        <v>18266000000</v>
      </c>
      <c r="K92" s="5">
        <v>16896000000</v>
      </c>
      <c r="L92" s="5">
        <v>0</v>
      </c>
      <c r="M92" s="5">
        <v>0</v>
      </c>
      <c r="N92" s="5">
        <v>0</v>
      </c>
      <c r="O92" s="5">
        <v>0</v>
      </c>
      <c r="P92" s="5">
        <v>0</v>
      </c>
      <c r="Q92" s="5">
        <v>0</v>
      </c>
      <c r="R92" s="5">
        <v>0</v>
      </c>
      <c r="S92" s="5">
        <v>0</v>
      </c>
      <c r="T92" s="5">
        <v>0</v>
      </c>
      <c r="U92" s="5">
        <v>0</v>
      </c>
      <c r="V92" s="5">
        <v>0</v>
      </c>
      <c r="W92" s="5">
        <v>0</v>
      </c>
      <c r="X92" s="5">
        <v>0</v>
      </c>
    </row>
    <row r="93" spans="1:24" x14ac:dyDescent="0.2">
      <c r="A93" s="4" t="s">
        <v>137</v>
      </c>
      <c r="B93" s="5">
        <v>-14586000000</v>
      </c>
      <c r="C93" s="5">
        <v>-14467000000</v>
      </c>
      <c r="D93" s="5">
        <v>-14081000000</v>
      </c>
      <c r="E93" s="5">
        <v>-14119000000</v>
      </c>
      <c r="F93" s="5">
        <v>-13712000000</v>
      </c>
      <c r="G93" s="5">
        <v>-12769000000</v>
      </c>
      <c r="H93" s="5">
        <v>-12150000000</v>
      </c>
      <c r="I93" s="5">
        <v>-11561000000</v>
      </c>
      <c r="J93" s="5">
        <v>-11126000000</v>
      </c>
      <c r="K93" s="5">
        <v>-10564000000</v>
      </c>
      <c r="L93" s="5">
        <v>-2488000000</v>
      </c>
      <c r="M93" s="5">
        <v>0</v>
      </c>
      <c r="N93" s="5">
        <v>0</v>
      </c>
      <c r="O93" s="5">
        <v>0</v>
      </c>
      <c r="P93" s="5">
        <v>0</v>
      </c>
      <c r="Q93" s="5">
        <v>0</v>
      </c>
      <c r="R93" s="5">
        <v>0</v>
      </c>
      <c r="S93" s="5">
        <v>0</v>
      </c>
      <c r="T93" s="5">
        <v>0</v>
      </c>
      <c r="U93" s="5">
        <v>0</v>
      </c>
      <c r="V93" s="5">
        <v>0</v>
      </c>
      <c r="W93" s="5">
        <v>0</v>
      </c>
      <c r="X93" s="5">
        <v>0</v>
      </c>
    </row>
    <row r="94" spans="1:24" x14ac:dyDescent="0.2">
      <c r="A94" s="4" t="s">
        <v>138</v>
      </c>
      <c r="B94" s="5">
        <v>13642000000</v>
      </c>
      <c r="C94" s="5">
        <v>14730000000</v>
      </c>
      <c r="D94" s="5">
        <v>11368000000</v>
      </c>
      <c r="E94" s="5">
        <v>-1936000000</v>
      </c>
      <c r="F94" s="5">
        <v>4405000000</v>
      </c>
      <c r="G94" s="5">
        <v>31267000000</v>
      </c>
      <c r="H94" s="5">
        <v>23394000000</v>
      </c>
      <c r="I94" s="5">
        <v>28555000000</v>
      </c>
      <c r="J94" s="5">
        <v>17847000000</v>
      </c>
      <c r="K94" s="5">
        <v>16515000000</v>
      </c>
      <c r="L94" s="5">
        <v>125000000</v>
      </c>
      <c r="M94" s="5">
        <v>613000000</v>
      </c>
      <c r="N94" s="5">
        <v>345000000</v>
      </c>
      <c r="O94" s="5">
        <v>188000000</v>
      </c>
      <c r="P94" s="5">
        <v>757000000</v>
      </c>
      <c r="Q94" s="5">
        <v>377000000</v>
      </c>
      <c r="R94" s="5">
        <v>361000000</v>
      </c>
      <c r="S94" s="5">
        <v>-2556000000</v>
      </c>
      <c r="T94" s="5">
        <v>-1488000000</v>
      </c>
      <c r="U94" s="5">
        <v>828000000</v>
      </c>
      <c r="V94" s="5">
        <v>-252000000</v>
      </c>
      <c r="W94" s="5">
        <v>892000000</v>
      </c>
      <c r="X94" s="5">
        <v>-930000000</v>
      </c>
    </row>
    <row r="95" spans="1:24" x14ac:dyDescent="0.2">
      <c r="A95" s="4" t="s">
        <v>139</v>
      </c>
      <c r="B95" s="5">
        <v>-89263000000</v>
      </c>
      <c r="C95" s="5">
        <v>-93353000000</v>
      </c>
      <c r="D95" s="5">
        <v>-86820000000</v>
      </c>
      <c r="E95" s="5">
        <v>-90976000000</v>
      </c>
      <c r="F95" s="5">
        <v>-87876000000</v>
      </c>
      <c r="G95" s="5">
        <v>-17347000000</v>
      </c>
      <c r="H95" s="5">
        <v>-20483000000</v>
      </c>
      <c r="I95" s="5">
        <v>-17716000000</v>
      </c>
      <c r="J95" s="5">
        <v>-37549000000</v>
      </c>
      <c r="K95" s="5">
        <v>-16379000000</v>
      </c>
      <c r="L95" s="5">
        <v>-1698000000</v>
      </c>
      <c r="M95" s="5">
        <v>1444000000</v>
      </c>
      <c r="N95" s="5">
        <v>1257000000</v>
      </c>
      <c r="O95" s="5">
        <v>663000000</v>
      </c>
      <c r="P95" s="5">
        <v>1116000000</v>
      </c>
      <c r="Q95" s="5">
        <v>739000000</v>
      </c>
      <c r="R95" s="5">
        <v>324000000</v>
      </c>
      <c r="S95" s="5">
        <v>543000000</v>
      </c>
      <c r="T95" s="5">
        <v>127000000</v>
      </c>
      <c r="U95" s="5">
        <v>27000000</v>
      </c>
      <c r="V95" s="5">
        <v>105000000</v>
      </c>
      <c r="W95" s="5">
        <v>42000000</v>
      </c>
      <c r="X95" s="5">
        <v>-31000000</v>
      </c>
    </row>
    <row r="96" spans="1:24" x14ac:dyDescent="0.2">
      <c r="A96" s="4" t="s">
        <v>140</v>
      </c>
      <c r="B96" s="5">
        <v>148930000000</v>
      </c>
      <c r="C96" s="5">
        <v>39789000000</v>
      </c>
      <c r="D96" s="5">
        <v>50224000000</v>
      </c>
      <c r="E96" s="5">
        <v>25913000000</v>
      </c>
      <c r="F96" s="5">
        <v>20289000000</v>
      </c>
      <c r="G96" s="5">
        <v>20484000000</v>
      </c>
      <c r="H96" s="5">
        <v>21120000000</v>
      </c>
      <c r="I96" s="5">
        <v>13844000000</v>
      </c>
      <c r="J96" s="5">
        <v>14259000000</v>
      </c>
      <c r="K96" s="5">
        <v>10746000000</v>
      </c>
      <c r="L96" s="5">
        <v>9815000000</v>
      </c>
      <c r="M96" s="5">
        <v>11261000000</v>
      </c>
      <c r="N96" s="5">
        <v>5263000000</v>
      </c>
      <c r="O96" s="5">
        <v>11875000000</v>
      </c>
      <c r="P96" s="5">
        <v>9352000000</v>
      </c>
      <c r="Q96" s="5">
        <v>6392000000</v>
      </c>
      <c r="R96" s="5">
        <v>3491000000</v>
      </c>
      <c r="S96" s="5">
        <v>2969000000</v>
      </c>
      <c r="T96" s="5">
        <v>3396000000</v>
      </c>
      <c r="U96" s="5">
        <v>2252000000</v>
      </c>
      <c r="V96" s="5">
        <v>2310000000</v>
      </c>
      <c r="W96" s="5">
        <v>1191000000</v>
      </c>
      <c r="X96" s="5">
        <v>1326000000</v>
      </c>
    </row>
    <row r="97" spans="1:24" x14ac:dyDescent="0.2">
      <c r="A97" s="4" t="s">
        <v>141</v>
      </c>
      <c r="B97" s="5">
        <v>149841000000</v>
      </c>
      <c r="C97" s="5">
        <v>35929000000</v>
      </c>
      <c r="D97" s="5">
        <v>39789000000</v>
      </c>
      <c r="E97" s="5">
        <v>50224000000</v>
      </c>
      <c r="F97" s="5">
        <v>25913000000</v>
      </c>
      <c r="G97" s="5">
        <v>20289000000</v>
      </c>
      <c r="H97" s="5">
        <v>20484000000</v>
      </c>
      <c r="I97" s="5">
        <v>21120000000</v>
      </c>
      <c r="J97" s="5">
        <v>13844000000</v>
      </c>
      <c r="K97" s="5">
        <v>14259000000</v>
      </c>
      <c r="L97" s="5">
        <v>10746000000</v>
      </c>
      <c r="M97" s="5">
        <v>9815000000</v>
      </c>
      <c r="N97" s="5">
        <v>11261000000</v>
      </c>
      <c r="O97" s="5">
        <v>5263000000</v>
      </c>
      <c r="P97" s="5">
        <v>11875000000</v>
      </c>
      <c r="Q97" s="5">
        <v>9352000000</v>
      </c>
      <c r="R97" s="5">
        <v>6392000000</v>
      </c>
      <c r="S97" s="5">
        <v>3491000000</v>
      </c>
      <c r="T97" s="5">
        <v>2969000000</v>
      </c>
      <c r="U97" s="5">
        <v>3396000000</v>
      </c>
      <c r="V97" s="5">
        <v>2252000000</v>
      </c>
      <c r="W97" s="5">
        <v>2310000000</v>
      </c>
      <c r="X97" s="5">
        <v>1191000000</v>
      </c>
    </row>
    <row r="98" spans="1:24" x14ac:dyDescent="0.2">
      <c r="A98" s="4" t="s">
        <v>142</v>
      </c>
      <c r="B98" s="5">
        <v>911000000</v>
      </c>
      <c r="C98" s="5">
        <v>-3860000000</v>
      </c>
      <c r="D98" s="5">
        <v>-10435000000</v>
      </c>
      <c r="E98" s="5">
        <v>24311000000</v>
      </c>
      <c r="F98" s="5">
        <v>5624000000</v>
      </c>
      <c r="G98" s="5">
        <v>-195000000</v>
      </c>
      <c r="H98" s="5">
        <v>-636000000</v>
      </c>
      <c r="I98" s="5">
        <v>7276000000</v>
      </c>
      <c r="J98" s="5">
        <v>-415000000</v>
      </c>
      <c r="K98" s="5">
        <v>3513000000</v>
      </c>
      <c r="L98" s="5">
        <v>931000000</v>
      </c>
      <c r="M98" s="5">
        <v>-1446000000</v>
      </c>
      <c r="N98" s="5">
        <v>5998000000</v>
      </c>
      <c r="O98" s="5">
        <v>-6612000000</v>
      </c>
      <c r="P98" s="5">
        <v>2523000000</v>
      </c>
      <c r="Q98" s="5">
        <v>2960000000</v>
      </c>
      <c r="R98" s="5">
        <v>2901000000</v>
      </c>
      <c r="S98" s="5">
        <v>522000000</v>
      </c>
      <c r="T98" s="5">
        <v>-427000000</v>
      </c>
      <c r="U98" s="5">
        <v>1144000000</v>
      </c>
      <c r="V98" s="5">
        <v>-58000000</v>
      </c>
      <c r="W98" s="5">
        <v>1119000000</v>
      </c>
      <c r="X98" s="5">
        <v>-135000000</v>
      </c>
    </row>
    <row r="99" spans="1:24" x14ac:dyDescent="0.2">
      <c r="A99" s="4" t="s">
        <v>143</v>
      </c>
      <c r="B99" s="5">
        <v>10388000000</v>
      </c>
      <c r="C99" s="5">
        <v>11085000000</v>
      </c>
      <c r="D99" s="5">
        <v>7309000000</v>
      </c>
      <c r="E99" s="5">
        <v>10495000000</v>
      </c>
      <c r="F99" s="5">
        <v>13313000000</v>
      </c>
      <c r="G99" s="5">
        <v>12795000000</v>
      </c>
      <c r="H99" s="5">
        <v>13548000000</v>
      </c>
      <c r="I99" s="5">
        <v>11488000000</v>
      </c>
      <c r="J99" s="5">
        <v>9813000000</v>
      </c>
      <c r="K99" s="5">
        <v>9076000000</v>
      </c>
      <c r="L99" s="5">
        <v>9402000000</v>
      </c>
      <c r="M99" s="5">
        <v>7452000000</v>
      </c>
      <c r="N99" s="5">
        <v>2121000000</v>
      </c>
      <c r="O99" s="5">
        <v>1213000000</v>
      </c>
      <c r="P99" s="5">
        <v>1199000000</v>
      </c>
      <c r="Q99" s="5">
        <v>986000000</v>
      </c>
      <c r="R99" s="5">
        <v>657000000</v>
      </c>
      <c r="S99" s="5">
        <v>260000000</v>
      </c>
      <c r="T99" s="5">
        <v>176000000</v>
      </c>
      <c r="U99" s="5">
        <v>164000000</v>
      </c>
      <c r="V99" s="5">
        <v>174000000</v>
      </c>
      <c r="W99" s="5">
        <v>232000000</v>
      </c>
      <c r="X99" s="5">
        <v>107000000</v>
      </c>
    </row>
    <row r="100" spans="1:24" x14ac:dyDescent="0.2">
      <c r="A100" s="4" t="s">
        <v>144</v>
      </c>
      <c r="B100" s="5">
        <v>101853000000</v>
      </c>
      <c r="C100" s="5">
        <v>92953000000</v>
      </c>
      <c r="D100" s="5">
        <v>73365000000</v>
      </c>
      <c r="E100" s="5">
        <v>58896000000</v>
      </c>
      <c r="F100" s="5">
        <v>64121000000</v>
      </c>
      <c r="G100" s="5">
        <v>50803000000</v>
      </c>
      <c r="H100" s="5">
        <v>52276000000</v>
      </c>
      <c r="I100" s="5">
        <v>69778000000</v>
      </c>
      <c r="J100" s="5">
        <v>49900000000</v>
      </c>
      <c r="K100" s="5">
        <v>44590000000</v>
      </c>
      <c r="L100" s="5">
        <v>41454000000</v>
      </c>
      <c r="M100" s="5">
        <v>30077000000</v>
      </c>
      <c r="N100" s="5">
        <v>16474000000</v>
      </c>
      <c r="O100" s="5">
        <v>8946000000</v>
      </c>
      <c r="P100" s="5">
        <v>8397000000</v>
      </c>
      <c r="Q100" s="5">
        <v>4484000000</v>
      </c>
      <c r="R100" s="5">
        <v>1563000000</v>
      </c>
      <c r="S100" s="5">
        <v>2275000000</v>
      </c>
      <c r="T100" s="5">
        <v>758000000</v>
      </c>
      <c r="U100" s="5">
        <v>125000000</v>
      </c>
      <c r="V100" s="5">
        <v>-85000000</v>
      </c>
      <c r="W100" s="5">
        <v>-47000000</v>
      </c>
      <c r="X100" s="5">
        <v>719000000</v>
      </c>
    </row>
    <row r="101" spans="1:24" x14ac:dyDescent="0.2">
      <c r="A101" s="4" t="s">
        <v>84</v>
      </c>
      <c r="B101" s="4" t="s">
        <v>85</v>
      </c>
      <c r="C101" s="4" t="s">
        <v>85</v>
      </c>
      <c r="D101" s="4" t="s">
        <v>85</v>
      </c>
      <c r="E101" s="4" t="s">
        <v>85</v>
      </c>
      <c r="F101" s="4" t="s">
        <v>85</v>
      </c>
      <c r="G101" s="4" t="s">
        <v>85</v>
      </c>
      <c r="H101" s="4" t="s">
        <v>85</v>
      </c>
      <c r="I101" s="4" t="s">
        <v>85</v>
      </c>
      <c r="J101" s="4" t="s">
        <v>85</v>
      </c>
      <c r="K101" s="4" t="s">
        <v>85</v>
      </c>
      <c r="L101" s="4" t="s">
        <v>85</v>
      </c>
      <c r="M101" s="4" t="s">
        <v>85</v>
      </c>
      <c r="N101" s="4" t="s">
        <v>85</v>
      </c>
      <c r="O101" s="4" t="s">
        <v>85</v>
      </c>
      <c r="P101" s="4" t="s">
        <v>85</v>
      </c>
      <c r="Q101" s="4" t="s">
        <v>85</v>
      </c>
      <c r="R101" s="4" t="s">
        <v>85</v>
      </c>
      <c r="S101" s="4" t="s">
        <v>85</v>
      </c>
      <c r="T101" s="4" t="s">
        <v>85</v>
      </c>
      <c r="U101" s="4" t="s">
        <v>85</v>
      </c>
      <c r="V101" s="4" t="s">
        <v>85</v>
      </c>
      <c r="W101" s="4" t="s">
        <v>85</v>
      </c>
      <c r="X101" s="4" t="s">
        <v>85</v>
      </c>
    </row>
    <row r="102" spans="1:24" x14ac:dyDescent="0.2">
      <c r="A102" s="4" t="s">
        <v>86</v>
      </c>
      <c r="B102" s="4" t="s">
        <v>461</v>
      </c>
      <c r="C102" s="4" t="s">
        <v>462</v>
      </c>
      <c r="D102" s="4" t="s">
        <v>463</v>
      </c>
      <c r="E102" s="4" t="s">
        <v>464</v>
      </c>
      <c r="F102" s="4" t="s">
        <v>465</v>
      </c>
      <c r="G102" s="4" t="s">
        <v>466</v>
      </c>
      <c r="H102" s="4" t="s">
        <v>467</v>
      </c>
      <c r="I102" s="4" t="s">
        <v>468</v>
      </c>
      <c r="J102" s="4" t="s">
        <v>469</v>
      </c>
      <c r="K102" s="4" t="s">
        <v>470</v>
      </c>
      <c r="L102" s="4" t="s">
        <v>471</v>
      </c>
      <c r="M102" s="4" t="s">
        <v>472</v>
      </c>
      <c r="N102" s="4" t="s">
        <v>473</v>
      </c>
      <c r="O102" s="4" t="s">
        <v>474</v>
      </c>
      <c r="P102" s="4" t="s">
        <v>475</v>
      </c>
      <c r="Q102" s="4" t="s">
        <v>476</v>
      </c>
      <c r="R102" s="4" t="s">
        <v>477</v>
      </c>
      <c r="S102" s="4" t="s">
        <v>478</v>
      </c>
      <c r="T102" s="4" t="s">
        <v>479</v>
      </c>
      <c r="U102" s="4" t="s">
        <v>480</v>
      </c>
      <c r="V102" s="4" t="s">
        <v>481</v>
      </c>
      <c r="W102" s="4" t="s">
        <v>482</v>
      </c>
      <c r="X102" s="4" t="s">
        <v>483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1088-62C5-4D90-9462-6C176E1590AF}">
  <sheetPr codeName="Sheet3"/>
  <dimension ref="A1:N22"/>
  <sheetViews>
    <sheetView workbookViewId="0">
      <selection activeCell="D36" sqref="D36"/>
    </sheetView>
  </sheetViews>
  <sheetFormatPr defaultRowHeight="12" x14ac:dyDescent="0.2"/>
  <cols>
    <col min="1" max="1" width="22.28515625" style="4" bestFit="1" customWidth="1"/>
    <col min="2" max="2" width="19.7109375" style="4" bestFit="1" customWidth="1"/>
    <col min="3" max="3" width="22.28515625" style="4" bestFit="1" customWidth="1"/>
    <col min="4" max="4" width="19.7109375" style="4" bestFit="1" customWidth="1"/>
    <col min="5" max="5" width="9.42578125" style="4" bestFit="1" customWidth="1"/>
    <col min="6" max="6" width="8" style="4" bestFit="1" customWidth="1"/>
    <col min="7" max="7" width="9.140625" style="4"/>
    <col min="8" max="8" width="41.7109375" style="4" bestFit="1" customWidth="1"/>
    <col min="9" max="9" width="22.85546875" style="4" bestFit="1" customWidth="1"/>
    <col min="10" max="10" width="43.5703125" style="4" bestFit="1" customWidth="1"/>
    <col min="11" max="11" width="20.140625" style="4" bestFit="1" customWidth="1"/>
    <col min="12" max="12" width="9" style="4" bestFit="1" customWidth="1"/>
    <col min="13" max="13" width="15" style="4" bestFit="1" customWidth="1"/>
    <col min="14" max="14" width="20.140625" style="4" bestFit="1" customWidth="1"/>
    <col min="15" max="16384" width="9.140625" style="4"/>
  </cols>
  <sheetData>
    <row r="1" spans="1:14" x14ac:dyDescent="0.2">
      <c r="A1" s="165"/>
      <c r="B1" s="165"/>
      <c r="C1" s="165"/>
      <c r="D1" s="165"/>
      <c r="H1" s="165" t="s">
        <v>173</v>
      </c>
      <c r="I1" s="165"/>
    </row>
    <row r="2" spans="1:14" x14ac:dyDescent="0.2">
      <c r="A2" s="4" t="s">
        <v>150</v>
      </c>
      <c r="B2" s="4" t="s">
        <v>151</v>
      </c>
      <c r="C2" s="4" t="s">
        <v>150</v>
      </c>
      <c r="D2" s="4" t="s">
        <v>151</v>
      </c>
      <c r="E2" s="4" t="s">
        <v>152</v>
      </c>
      <c r="F2" s="4" t="s">
        <v>153</v>
      </c>
      <c r="H2" s="4" t="s">
        <v>44</v>
      </c>
    </row>
    <row r="3" spans="1:14" x14ac:dyDescent="0.2">
      <c r="A3" s="4">
        <v>0</v>
      </c>
      <c r="B3" s="91">
        <v>0.2</v>
      </c>
      <c r="C3" s="4">
        <v>0</v>
      </c>
      <c r="D3" s="91">
        <v>0.5</v>
      </c>
      <c r="E3" s="4" t="s">
        <v>154</v>
      </c>
      <c r="F3" s="6">
        <v>0.1744</v>
      </c>
      <c r="H3" s="4" t="s">
        <v>174</v>
      </c>
      <c r="I3" s="91">
        <f>Main!D23</f>
        <v>15821950000</v>
      </c>
      <c r="J3" s="4" t="s">
        <v>175</v>
      </c>
      <c r="K3" s="4" t="s">
        <v>176</v>
      </c>
    </row>
    <row r="4" spans="1:14" x14ac:dyDescent="0.2">
      <c r="A4" s="91">
        <v>0.2</v>
      </c>
      <c r="B4" s="91">
        <v>0.65</v>
      </c>
      <c r="C4" s="91">
        <v>0.5</v>
      </c>
      <c r="D4" s="91">
        <v>0.8</v>
      </c>
      <c r="E4" s="4" t="s">
        <v>155</v>
      </c>
      <c r="F4" s="6">
        <v>0.13089999999999999</v>
      </c>
      <c r="H4" s="4" t="s">
        <v>5</v>
      </c>
      <c r="I4" s="92">
        <f>Main!D19</f>
        <v>165.59</v>
      </c>
      <c r="J4" s="4" t="s">
        <v>177</v>
      </c>
      <c r="K4" s="6">
        <v>1.84E-2</v>
      </c>
    </row>
    <row r="5" spans="1:14" x14ac:dyDescent="0.2">
      <c r="A5" s="91">
        <v>0.65</v>
      </c>
      <c r="B5" s="91">
        <v>0.8</v>
      </c>
      <c r="C5" s="91">
        <v>0.8</v>
      </c>
      <c r="D5" s="91">
        <v>1.25</v>
      </c>
      <c r="E5" s="4" t="s">
        <v>156</v>
      </c>
      <c r="F5" s="6">
        <v>9.9699999999999997E-2</v>
      </c>
      <c r="H5" s="4" t="s">
        <v>13</v>
      </c>
      <c r="I5" s="91">
        <v>0.89</v>
      </c>
      <c r="J5" s="4" t="s">
        <v>178</v>
      </c>
      <c r="K5" s="6">
        <v>0</v>
      </c>
    </row>
    <row r="6" spans="1:14" x14ac:dyDescent="0.2">
      <c r="A6" s="91">
        <v>0.8</v>
      </c>
      <c r="B6" s="91">
        <v>1.25</v>
      </c>
      <c r="C6" s="91">
        <v>1.25</v>
      </c>
      <c r="D6" s="91">
        <v>1.5</v>
      </c>
      <c r="E6" s="4" t="s">
        <v>157</v>
      </c>
      <c r="F6" s="6">
        <v>9.4600000000000004E-2</v>
      </c>
      <c r="H6" s="4" t="s">
        <v>179</v>
      </c>
      <c r="I6" s="6">
        <v>1.84E-2</v>
      </c>
    </row>
    <row r="7" spans="1:14" x14ac:dyDescent="0.2">
      <c r="A7" s="91">
        <v>1.25</v>
      </c>
      <c r="B7" s="91">
        <v>1.5</v>
      </c>
      <c r="C7" s="91">
        <v>1.5</v>
      </c>
      <c r="D7" s="91">
        <v>2</v>
      </c>
      <c r="E7" s="4" t="s">
        <v>158</v>
      </c>
      <c r="F7" s="6">
        <v>5.9400000000000001E-2</v>
      </c>
      <c r="H7" s="4" t="s">
        <v>180</v>
      </c>
      <c r="I7" s="6">
        <v>4.7199999999999999E-2</v>
      </c>
    </row>
    <row r="8" spans="1:14" x14ac:dyDescent="0.2">
      <c r="A8" s="91">
        <v>1.5</v>
      </c>
      <c r="B8" s="91">
        <v>1.75</v>
      </c>
      <c r="C8" s="91">
        <v>2</v>
      </c>
      <c r="D8" s="91">
        <v>2.5</v>
      </c>
      <c r="E8" s="4" t="s">
        <v>159</v>
      </c>
      <c r="F8" s="6">
        <v>4.8599999999999997E-2</v>
      </c>
    </row>
    <row r="9" spans="1:14" x14ac:dyDescent="0.2">
      <c r="A9" s="91">
        <v>1.75</v>
      </c>
      <c r="B9" s="91">
        <v>2</v>
      </c>
      <c r="C9" s="91">
        <v>2.5</v>
      </c>
      <c r="D9" s="91">
        <v>3</v>
      </c>
      <c r="E9" s="4" t="s">
        <v>160</v>
      </c>
      <c r="F9" s="6">
        <v>4.0500000000000001E-2</v>
      </c>
      <c r="H9" s="4" t="s">
        <v>181</v>
      </c>
    </row>
    <row r="10" spans="1:14" x14ac:dyDescent="0.2">
      <c r="A10" s="91">
        <v>2</v>
      </c>
      <c r="B10" s="91">
        <v>2.25</v>
      </c>
      <c r="C10" s="91">
        <v>3</v>
      </c>
      <c r="D10" s="91">
        <v>3.5</v>
      </c>
      <c r="E10" s="4" t="s">
        <v>161</v>
      </c>
      <c r="F10" s="6">
        <v>2.7699999999999999E-2</v>
      </c>
      <c r="H10" s="4" t="s">
        <v>182</v>
      </c>
      <c r="I10" s="4">
        <f>'[1]Helper Data'!$B$4</f>
        <v>64032</v>
      </c>
      <c r="J10" s="4" t="s">
        <v>183</v>
      </c>
    </row>
    <row r="11" spans="1:14" x14ac:dyDescent="0.2">
      <c r="A11" s="91">
        <v>2.25</v>
      </c>
      <c r="B11" s="91">
        <v>2.5</v>
      </c>
      <c r="C11" s="91">
        <v>3.5</v>
      </c>
      <c r="D11" s="91">
        <v>4</v>
      </c>
      <c r="E11" s="4" t="s">
        <v>162</v>
      </c>
      <c r="F11" s="6">
        <v>2.3099999999999999E-2</v>
      </c>
      <c r="H11" s="4" t="s">
        <v>184</v>
      </c>
      <c r="I11" s="92">
        <f>ABS('[1]Helper Data'!$B$9)</f>
        <v>2250</v>
      </c>
      <c r="J11" s="4" t="s">
        <v>185</v>
      </c>
      <c r="K11" s="92">
        <f>I11*(1-(1+I16)^(-I12))/I16+I10/(1+I16)^I12</f>
        <v>64032</v>
      </c>
    </row>
    <row r="12" spans="1:14" x14ac:dyDescent="0.2">
      <c r="A12" s="91">
        <v>2.5</v>
      </c>
      <c r="B12" s="91">
        <v>3</v>
      </c>
      <c r="C12" s="91">
        <v>4</v>
      </c>
      <c r="D12" s="91">
        <v>4.5</v>
      </c>
      <c r="E12" s="4" t="s">
        <v>163</v>
      </c>
      <c r="F12" s="6">
        <v>1.7100000000000001E-2</v>
      </c>
      <c r="H12" s="4" t="s">
        <v>6</v>
      </c>
      <c r="J12" s="4" t="s">
        <v>186</v>
      </c>
      <c r="K12" s="92">
        <f>'[1]DCF Valuation'!$G$9*(1-(1+I16)^(-'[1]DCF Valuation'!$G$10))/I16+'[1]DCF Valuation'!$G$8/(1+I16)^'[1]DCF Valuation'!$G$10</f>
        <v>0</v>
      </c>
    </row>
    <row r="13" spans="1:14" x14ac:dyDescent="0.2">
      <c r="A13" s="91">
        <v>3</v>
      </c>
      <c r="B13" s="91">
        <v>4.25</v>
      </c>
      <c r="C13" s="91">
        <v>4.5</v>
      </c>
      <c r="D13" s="91">
        <v>6</v>
      </c>
      <c r="E13" s="4" t="s">
        <v>164</v>
      </c>
      <c r="F13" s="6">
        <v>1.3299999999999999E-2</v>
      </c>
      <c r="H13" s="4" t="s">
        <v>187</v>
      </c>
      <c r="I13" s="6">
        <f>'[1]Synthetic Credit Rating'!$B$5</f>
        <v>0</v>
      </c>
      <c r="J13" s="4" t="s">
        <v>188</v>
      </c>
      <c r="K13" s="92">
        <f>'[1]DCF Valuation'!$G$11-K12</f>
        <v>0</v>
      </c>
    </row>
    <row r="14" spans="1:14" x14ac:dyDescent="0.2">
      <c r="A14" s="91">
        <v>4.25</v>
      </c>
      <c r="B14" s="91">
        <v>5.5</v>
      </c>
      <c r="C14" s="91">
        <v>6</v>
      </c>
      <c r="D14" s="91">
        <v>7.5</v>
      </c>
      <c r="E14" s="4" t="s">
        <v>165</v>
      </c>
      <c r="F14" s="6">
        <v>1.18E-2</v>
      </c>
      <c r="H14" s="4" t="s">
        <v>189</v>
      </c>
      <c r="I14" s="6">
        <f>I6+I13+K5</f>
        <v>1.84E-2</v>
      </c>
      <c r="J14" s="4" t="s">
        <v>190</v>
      </c>
      <c r="K14" s="91">
        <f>I5*(1+(1-I17)*(L16/K16))</f>
        <v>0.89000001587873212</v>
      </c>
    </row>
    <row r="15" spans="1:14" x14ac:dyDescent="0.2">
      <c r="A15" s="91">
        <v>5.5</v>
      </c>
      <c r="B15" s="91">
        <v>6.5</v>
      </c>
      <c r="C15" s="91">
        <v>7.5</v>
      </c>
      <c r="D15" s="91">
        <v>9.5</v>
      </c>
      <c r="E15" s="4" t="s">
        <v>166</v>
      </c>
      <c r="F15" s="6">
        <v>1.0699999999999999E-2</v>
      </c>
      <c r="H15" s="4" t="s">
        <v>191</v>
      </c>
      <c r="I15" s="4" t="str">
        <f>IF(ISBLANK('[1]DCF Valuation'!$C$8), "Synthetic Credit Rating", "Manual Input")</f>
        <v>Synthetic Credit Rating</v>
      </c>
      <c r="K15" s="4" t="s">
        <v>44</v>
      </c>
      <c r="L15" s="4" t="s">
        <v>192</v>
      </c>
      <c r="M15" s="4" t="s">
        <v>193</v>
      </c>
      <c r="N15" s="4" t="s">
        <v>194</v>
      </c>
    </row>
    <row r="16" spans="1:14" x14ac:dyDescent="0.2">
      <c r="A16" s="91">
        <v>6.5</v>
      </c>
      <c r="B16" s="91">
        <v>8.5</v>
      </c>
      <c r="C16" s="91">
        <v>9.5</v>
      </c>
      <c r="D16" s="91">
        <v>12.5</v>
      </c>
      <c r="E16" s="4" t="s">
        <v>167</v>
      </c>
      <c r="F16" s="6">
        <v>8.5000000000000006E-3</v>
      </c>
      <c r="H16" s="4" t="str">
        <f>"Pre-tax Cost of Debt"&amp;" ("&amp;I15&amp;")"</f>
        <v>Pre-tax Cost of Debt (Synthetic Credit Rating)</v>
      </c>
      <c r="I16" s="6">
        <f>IF(ISBLANK('[1]DCF Valuation'!$C$8), I14, '[1]DCF Valuation'!$C$8)</f>
        <v>1.84E-2</v>
      </c>
      <c r="J16" s="4" t="s">
        <v>195</v>
      </c>
      <c r="K16" s="92">
        <f>I3*I4+K13</f>
        <v>2619956700500</v>
      </c>
      <c r="L16" s="92">
        <f>K11+K12</f>
        <v>64032</v>
      </c>
      <c r="M16" s="92">
        <f>'[1]DCF Valuation'!$J$8*'[1]DCF Valuation'!$J$9</f>
        <v>0</v>
      </c>
      <c r="N16" s="92">
        <f>SUM(K16:M16)</f>
        <v>2619956764532</v>
      </c>
    </row>
    <row r="17" spans="1:14" x14ac:dyDescent="0.2">
      <c r="A17" s="91">
        <v>8.5</v>
      </c>
      <c r="B17" s="4">
        <v>100</v>
      </c>
      <c r="C17" s="91">
        <v>12.5</v>
      </c>
      <c r="D17" s="4">
        <v>100</v>
      </c>
      <c r="E17" s="4" t="s">
        <v>168</v>
      </c>
      <c r="F17" s="6">
        <v>6.8999999999999999E-3</v>
      </c>
      <c r="H17" s="4" t="s">
        <v>196</v>
      </c>
      <c r="I17" s="6">
        <v>0.27</v>
      </c>
      <c r="J17" s="4" t="s">
        <v>197</v>
      </c>
      <c r="K17" s="6">
        <f>K16/N16</f>
        <v>0.99999997555990205</v>
      </c>
      <c r="L17" s="6">
        <f>L16/N16</f>
        <v>2.4440097969112084E-8</v>
      </c>
      <c r="M17" s="6">
        <f>M16/N16</f>
        <v>0</v>
      </c>
      <c r="N17" s="6">
        <f>SUM(K17:M17)</f>
        <v>1</v>
      </c>
    </row>
    <row r="18" spans="1:14" x14ac:dyDescent="0.2">
      <c r="J18" s="4" t="s">
        <v>198</v>
      </c>
      <c r="K18" s="6">
        <f>I6+K14*I7</f>
        <v>6.0408000749476158E-2</v>
      </c>
      <c r="L18" s="6">
        <f>I16*(1-I17)</f>
        <v>1.3431999999999999E-2</v>
      </c>
      <c r="M18" s="6">
        <f>IF(ISERROR('[1]DCF Valuation'!$J$10/'[1]DCF Valuation'!$J$9), 0, '[1]DCF Valuation'!$J$10/'[1]DCF Valuation'!$J$9)</f>
        <v>0</v>
      </c>
      <c r="N18" s="6">
        <f>K17*K18+L17*L18+M17*M18</f>
        <v>6.0407999601378097E-2</v>
      </c>
    </row>
    <row r="21" spans="1:14" x14ac:dyDescent="0.2">
      <c r="H21" s="4" t="s">
        <v>22</v>
      </c>
      <c r="I21" s="93">
        <f>('Financial Statements'!B59+'Financial Statements'!B72)-'Financial Statements'!B40</f>
        <v>130817000000</v>
      </c>
    </row>
    <row r="22" spans="1:14" x14ac:dyDescent="0.2">
      <c r="H22" s="4" t="s">
        <v>418</v>
      </c>
      <c r="I22" s="4">
        <v>9.49</v>
      </c>
    </row>
  </sheetData>
  <mergeCells count="3">
    <mergeCell ref="A1:B1"/>
    <mergeCell ref="C1:D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9465-26E2-4886-A564-0E00C9E7792F}">
  <sheetPr codeName="Sheet4"/>
  <dimension ref="A1:AB97"/>
  <sheetViews>
    <sheetView workbookViewId="0">
      <selection activeCell="D2" sqref="D2"/>
    </sheetView>
  </sheetViews>
  <sheetFormatPr defaultRowHeight="12" x14ac:dyDescent="0.2"/>
  <cols>
    <col min="1" max="1" width="41.5703125" style="23" customWidth="1"/>
    <col min="2" max="2" width="21.140625" style="23" customWidth="1"/>
    <col min="3" max="28" width="9.85546875" style="23" customWidth="1"/>
    <col min="29" max="16384" width="9.140625" style="23"/>
  </cols>
  <sheetData>
    <row r="1" spans="1:28" ht="142.5" customHeight="1" x14ac:dyDescent="0.2">
      <c r="A1" s="24" t="s">
        <v>200</v>
      </c>
      <c r="B1" s="24" t="s">
        <v>201</v>
      </c>
      <c r="C1" s="27" t="s">
        <v>202</v>
      </c>
      <c r="D1" s="27" t="s">
        <v>203</v>
      </c>
      <c r="E1" s="27" t="s">
        <v>204</v>
      </c>
      <c r="F1" s="27" t="s">
        <v>205</v>
      </c>
      <c r="G1" s="27" t="s">
        <v>206</v>
      </c>
      <c r="H1" s="27" t="s">
        <v>207</v>
      </c>
      <c r="I1" s="27" t="s">
        <v>208</v>
      </c>
      <c r="J1" s="27" t="s">
        <v>209</v>
      </c>
      <c r="K1" s="27" t="s">
        <v>210</v>
      </c>
      <c r="L1" s="27" t="s">
        <v>211</v>
      </c>
      <c r="M1" s="27" t="s">
        <v>212</v>
      </c>
      <c r="N1" s="27" t="s">
        <v>213</v>
      </c>
      <c r="O1" s="27" t="s">
        <v>214</v>
      </c>
      <c r="P1" s="27" t="s">
        <v>215</v>
      </c>
      <c r="Q1" s="27" t="s">
        <v>216</v>
      </c>
      <c r="R1" s="27" t="s">
        <v>217</v>
      </c>
      <c r="S1" s="27" t="s">
        <v>218</v>
      </c>
      <c r="T1" s="27" t="s">
        <v>219</v>
      </c>
      <c r="U1" s="27" t="s">
        <v>220</v>
      </c>
      <c r="V1" s="27" t="s">
        <v>221</v>
      </c>
      <c r="W1" s="27" t="s">
        <v>222</v>
      </c>
      <c r="X1" s="27" t="s">
        <v>223</v>
      </c>
      <c r="Y1" s="27" t="s">
        <v>224</v>
      </c>
      <c r="Z1" s="27" t="s">
        <v>225</v>
      </c>
      <c r="AA1" s="27" t="s">
        <v>226</v>
      </c>
      <c r="AB1" s="27" t="s">
        <v>227</v>
      </c>
    </row>
    <row r="2" spans="1:28" x14ac:dyDescent="0.2">
      <c r="A2" s="23" t="s">
        <v>228</v>
      </c>
      <c r="B2" s="23" t="s">
        <v>229</v>
      </c>
      <c r="C2" s="28">
        <v>26</v>
      </c>
      <c r="D2" s="28">
        <v>3.3500000000000002E-2</v>
      </c>
      <c r="E2" s="28">
        <v>8.48E-2</v>
      </c>
      <c r="F2" s="28">
        <v>4.3299999999999998E-2</v>
      </c>
      <c r="G2" s="28">
        <v>0.13</v>
      </c>
      <c r="H2" s="28">
        <v>0.64</v>
      </c>
      <c r="I2" s="28">
        <v>0.98</v>
      </c>
      <c r="J2" s="28">
        <v>5.5399999999999998E-2</v>
      </c>
      <c r="K2" s="28">
        <v>0.30680000000000002</v>
      </c>
      <c r="L2" s="28">
        <v>2.58E-2</v>
      </c>
      <c r="M2" s="28">
        <v>0.54530000000000001</v>
      </c>
      <c r="N2" s="28">
        <v>3.5499999999999997E-2</v>
      </c>
      <c r="O2" s="28">
        <v>0.6</v>
      </c>
      <c r="P2" s="28">
        <v>1.31</v>
      </c>
      <c r="Q2" s="28">
        <v>12.51</v>
      </c>
      <c r="R2" s="28">
        <v>15</v>
      </c>
      <c r="S2" s="28">
        <v>0.59</v>
      </c>
      <c r="T2" s="28">
        <v>28.99</v>
      </c>
      <c r="U2" s="28">
        <v>1.35E-2</v>
      </c>
      <c r="V2" s="28">
        <v>1.6000000000000001E-3</v>
      </c>
      <c r="W2" s="28">
        <v>-3.8999999999999998E-3</v>
      </c>
      <c r="X2" s="28">
        <v>2.64E-2</v>
      </c>
      <c r="Y2" s="28">
        <v>5.6099999999999997E-2</v>
      </c>
      <c r="Z2" s="28">
        <v>0.3795</v>
      </c>
      <c r="AA2" s="28">
        <v>0.3795</v>
      </c>
      <c r="AB2" s="28">
        <v>8.48E-2</v>
      </c>
    </row>
    <row r="3" spans="1:28" x14ac:dyDescent="0.2">
      <c r="A3" s="23" t="s">
        <v>230</v>
      </c>
      <c r="B3" s="23" t="s">
        <v>231</v>
      </c>
      <c r="C3" s="28">
        <v>61</v>
      </c>
      <c r="D3" s="28">
        <v>8.3099999999999993E-2</v>
      </c>
      <c r="E3" s="28">
        <v>9.98E-2</v>
      </c>
      <c r="F3" s="28">
        <v>0.5151</v>
      </c>
      <c r="G3" s="28">
        <v>0.2147</v>
      </c>
      <c r="H3" s="28">
        <v>0.77</v>
      </c>
      <c r="I3" s="28">
        <v>1.08</v>
      </c>
      <c r="J3" s="28">
        <v>6.0100000000000001E-2</v>
      </c>
      <c r="K3" s="28">
        <v>0.57740000000000002</v>
      </c>
      <c r="L3" s="28">
        <v>0.03</v>
      </c>
      <c r="M3" s="28">
        <v>0.43659999999999999</v>
      </c>
      <c r="N3" s="28">
        <v>4.3400000000000001E-2</v>
      </c>
      <c r="O3" s="28">
        <v>5.17</v>
      </c>
      <c r="P3" s="28">
        <v>1.83</v>
      </c>
      <c r="Q3" s="28">
        <v>8.86</v>
      </c>
      <c r="R3" s="28">
        <v>16.079999999999998</v>
      </c>
      <c r="S3" s="28">
        <v>5.73</v>
      </c>
      <c r="T3" s="28">
        <v>45.38</v>
      </c>
      <c r="U3" s="28">
        <v>-5.7000000000000002E-3</v>
      </c>
      <c r="V3" s="28">
        <v>1.7500000000000002E-2</v>
      </c>
      <c r="W3" s="28">
        <v>-1.9099999999999999E-2</v>
      </c>
      <c r="X3" s="28">
        <v>-0.31669999999999998</v>
      </c>
      <c r="Y3" s="28">
        <v>2.93E-2</v>
      </c>
      <c r="Z3" s="28">
        <v>9.1285000000000007</v>
      </c>
      <c r="AA3" s="28">
        <v>9.1285000000000007</v>
      </c>
      <c r="AB3" s="28">
        <v>0.1031</v>
      </c>
    </row>
    <row r="4" spans="1:28" x14ac:dyDescent="0.2">
      <c r="A4" s="23" t="s">
        <v>232</v>
      </c>
      <c r="B4" s="23" t="s">
        <v>233</v>
      </c>
      <c r="C4" s="28">
        <v>72</v>
      </c>
      <c r="D4" s="28">
        <v>5.28E-2</v>
      </c>
      <c r="E4" s="28">
        <v>7.5600000000000001E-2</v>
      </c>
      <c r="F4" s="28">
        <v>0.19109999999999999</v>
      </c>
      <c r="G4" s="28">
        <v>0.2462</v>
      </c>
      <c r="H4" s="28">
        <v>0.91</v>
      </c>
      <c r="I4" s="28">
        <v>1.07</v>
      </c>
      <c r="J4" s="28">
        <v>5.96E-2</v>
      </c>
      <c r="K4" s="28">
        <v>0.34889999999999999</v>
      </c>
      <c r="L4" s="28">
        <v>2.58E-2</v>
      </c>
      <c r="M4" s="28">
        <v>0.24840000000000001</v>
      </c>
      <c r="N4" s="28">
        <v>4.9500000000000002E-2</v>
      </c>
      <c r="O4" s="28">
        <v>2.61</v>
      </c>
      <c r="P4" s="28">
        <v>2.0099999999999998</v>
      </c>
      <c r="Q4" s="28">
        <v>12.15</v>
      </c>
      <c r="R4" s="28">
        <v>20.309999999999999</v>
      </c>
      <c r="S4" s="28">
        <v>4.4400000000000004</v>
      </c>
      <c r="T4" s="28">
        <v>107.38</v>
      </c>
      <c r="U4" s="28">
        <v>0.43559999999999999</v>
      </c>
      <c r="V4" s="28">
        <v>2.7699999999999999E-2</v>
      </c>
      <c r="W4" s="28">
        <v>-1.3299999999999999E-2</v>
      </c>
      <c r="X4" s="28">
        <v>0.36930000000000002</v>
      </c>
      <c r="Y4" s="28">
        <v>8.5400000000000004E-2</v>
      </c>
      <c r="Z4" s="28">
        <v>1.2055</v>
      </c>
      <c r="AA4" s="28">
        <v>1.2055</v>
      </c>
      <c r="AB4" s="28">
        <v>7.8899999999999998E-2</v>
      </c>
    </row>
    <row r="5" spans="1:28" x14ac:dyDescent="0.2">
      <c r="A5" s="23" t="s">
        <v>234</v>
      </c>
      <c r="B5" s="23" t="s">
        <v>235</v>
      </c>
      <c r="C5" s="28">
        <v>97</v>
      </c>
      <c r="D5" s="28">
        <v>5.9400000000000001E-2</v>
      </c>
      <c r="E5" s="28">
        <v>0.1207</v>
      </c>
      <c r="F5" s="28">
        <v>0.11840000000000001</v>
      </c>
      <c r="G5" s="28">
        <v>0.1817</v>
      </c>
      <c r="H5" s="28">
        <v>0.82</v>
      </c>
      <c r="I5" s="28">
        <v>0.93</v>
      </c>
      <c r="J5" s="28">
        <v>5.2999999999999999E-2</v>
      </c>
      <c r="K5" s="28">
        <v>0.38540000000000002</v>
      </c>
      <c r="L5" s="28">
        <v>2.58E-2</v>
      </c>
      <c r="M5" s="28">
        <v>0.20230000000000001</v>
      </c>
      <c r="N5" s="28">
        <v>4.6100000000000002E-2</v>
      </c>
      <c r="O5" s="28">
        <v>1.04</v>
      </c>
      <c r="P5" s="28">
        <v>3.27</v>
      </c>
      <c r="Q5" s="28">
        <v>15.56</v>
      </c>
      <c r="R5" s="28">
        <v>26.53</v>
      </c>
      <c r="S5" s="28">
        <v>3.1</v>
      </c>
      <c r="T5" s="28">
        <v>58.86</v>
      </c>
      <c r="U5" s="28">
        <v>0.21290000000000001</v>
      </c>
      <c r="V5" s="28">
        <v>6.3700000000000007E-2</v>
      </c>
      <c r="W5" s="28">
        <v>2.3099999999999999E-2</v>
      </c>
      <c r="X5" s="28">
        <v>0.10489999999999999</v>
      </c>
      <c r="Y5" s="28">
        <v>2.5000000000000001E-2</v>
      </c>
      <c r="Z5" s="28">
        <v>1.6369</v>
      </c>
      <c r="AA5" s="28">
        <v>1.6369</v>
      </c>
      <c r="AB5" s="28">
        <v>0.12180000000000001</v>
      </c>
    </row>
    <row r="6" spans="1:28" x14ac:dyDescent="0.2">
      <c r="A6" s="23" t="s">
        <v>236</v>
      </c>
      <c r="B6" s="23" t="s">
        <v>237</v>
      </c>
      <c r="C6" s="28">
        <v>32</v>
      </c>
      <c r="D6" s="28">
        <v>-7.7000000000000002E-3</v>
      </c>
      <c r="E6" s="28">
        <v>6.5500000000000003E-2</v>
      </c>
      <c r="F6" s="28">
        <v>9.1200000000000003E-2</v>
      </c>
      <c r="G6" s="28">
        <v>0.21870000000000001</v>
      </c>
      <c r="H6" s="28">
        <v>0.69</v>
      </c>
      <c r="I6" s="28">
        <v>0.87</v>
      </c>
      <c r="J6" s="28">
        <v>5.0599999999999999E-2</v>
      </c>
      <c r="K6" s="28">
        <v>0.45300000000000001</v>
      </c>
      <c r="L6" s="28">
        <v>0.03</v>
      </c>
      <c r="M6" s="28">
        <v>0.31059999999999999</v>
      </c>
      <c r="N6" s="28">
        <v>4.1700000000000001E-2</v>
      </c>
      <c r="O6" s="28">
        <v>1.48</v>
      </c>
      <c r="P6" s="28">
        <v>1.35</v>
      </c>
      <c r="Q6" s="28">
        <v>14.71</v>
      </c>
      <c r="R6" s="28">
        <v>20.13</v>
      </c>
      <c r="S6" s="28">
        <v>3.21</v>
      </c>
      <c r="T6" s="28">
        <v>23.82</v>
      </c>
      <c r="U6" s="28">
        <v>0.13</v>
      </c>
      <c r="V6" s="28">
        <v>3.0599999999999999E-2</v>
      </c>
      <c r="W6" s="28">
        <v>1.35E-2</v>
      </c>
      <c r="X6" s="28">
        <v>0.38729999999999998</v>
      </c>
      <c r="Y6" s="28">
        <v>0.14030000000000001</v>
      </c>
      <c r="Z6" s="28">
        <v>0.38929999999999998</v>
      </c>
      <c r="AA6" s="28">
        <v>0.38929999999999998</v>
      </c>
      <c r="AB6" s="28">
        <v>6.6100000000000006E-2</v>
      </c>
    </row>
    <row r="7" spans="1:28" x14ac:dyDescent="0.2">
      <c r="A7" s="23" t="s">
        <v>238</v>
      </c>
      <c r="B7" s="23" t="s">
        <v>239</v>
      </c>
      <c r="C7" s="28">
        <v>21</v>
      </c>
      <c r="D7" s="28">
        <v>9.4200000000000006E-2</v>
      </c>
      <c r="E7" s="28">
        <v>6.2799999999999995E-2</v>
      </c>
      <c r="F7" s="28">
        <v>0.13320000000000001</v>
      </c>
      <c r="G7" s="28">
        <v>0.22370000000000001</v>
      </c>
      <c r="H7" s="28">
        <v>0.79</v>
      </c>
      <c r="I7" s="28">
        <v>0.91</v>
      </c>
      <c r="J7" s="28">
        <v>5.21E-2</v>
      </c>
      <c r="K7" s="28">
        <v>0.2868</v>
      </c>
      <c r="L7" s="28">
        <v>2.58E-2</v>
      </c>
      <c r="M7" s="28">
        <v>0.2407</v>
      </c>
      <c r="N7" s="28">
        <v>4.41E-2</v>
      </c>
      <c r="O7" s="28">
        <v>2.4500000000000002</v>
      </c>
      <c r="P7" s="28">
        <v>1.56</v>
      </c>
      <c r="Q7" s="28">
        <v>12.96</v>
      </c>
      <c r="R7" s="28">
        <v>25.63</v>
      </c>
      <c r="S7" s="28">
        <v>6.77</v>
      </c>
      <c r="T7" s="28">
        <v>48.61</v>
      </c>
      <c r="U7" s="28">
        <v>7.9699999999999993E-2</v>
      </c>
      <c r="V7" s="28">
        <v>5.8799999999999998E-2</v>
      </c>
      <c r="W7" s="28">
        <v>2.2599999999999999E-2</v>
      </c>
      <c r="X7" s="28">
        <v>0.68340000000000001</v>
      </c>
      <c r="Y7" s="28">
        <v>0.22770000000000001</v>
      </c>
      <c r="Z7" s="28">
        <v>0.5544</v>
      </c>
      <c r="AA7" s="28">
        <v>0.5544</v>
      </c>
      <c r="AB7" s="28">
        <v>6.0699999999999997E-2</v>
      </c>
    </row>
    <row r="8" spans="1:28" x14ac:dyDescent="0.2">
      <c r="A8" s="23" t="s">
        <v>240</v>
      </c>
      <c r="B8" s="23" t="s">
        <v>241</v>
      </c>
      <c r="C8" s="28">
        <v>17</v>
      </c>
      <c r="D8" s="28">
        <v>-6.8199999999999997E-2</v>
      </c>
      <c r="E8" s="28">
        <v>-0.18990000000000001</v>
      </c>
      <c r="F8" s="28">
        <v>-0.16070000000000001</v>
      </c>
      <c r="G8" s="28">
        <v>0.88759999999999994</v>
      </c>
      <c r="H8" s="28">
        <v>0.92</v>
      </c>
      <c r="I8" s="28">
        <v>1.61</v>
      </c>
      <c r="J8" s="28">
        <v>8.5199999999999998E-2</v>
      </c>
      <c r="K8" s="28">
        <v>0.46150000000000002</v>
      </c>
      <c r="L8" s="28">
        <v>0.03</v>
      </c>
      <c r="M8" s="28">
        <v>0.61739999999999995</v>
      </c>
      <c r="N8" s="28">
        <v>4.6100000000000002E-2</v>
      </c>
      <c r="O8" s="28">
        <v>0.88</v>
      </c>
      <c r="P8" s="28">
        <v>1.97</v>
      </c>
      <c r="Q8" s="28">
        <v>34.43</v>
      </c>
      <c r="R8" s="28" t="s">
        <v>242</v>
      </c>
      <c r="S8" s="28">
        <v>3.22</v>
      </c>
      <c r="T8" s="28">
        <v>13.47</v>
      </c>
      <c r="U8" s="28">
        <v>1.7000000000000001E-2</v>
      </c>
      <c r="V8" s="28">
        <v>0.1183</v>
      </c>
      <c r="W8" s="28">
        <v>1.7999999999999999E-2</v>
      </c>
      <c r="X8" s="28" t="s">
        <v>242</v>
      </c>
      <c r="Y8" s="28">
        <v>-0.4703</v>
      </c>
      <c r="Z8" s="28">
        <v>8.9999999999999998E-4</v>
      </c>
      <c r="AA8" s="28">
        <v>8.9999999999999998E-4</v>
      </c>
      <c r="AB8" s="28">
        <v>-0.19350000000000001</v>
      </c>
    </row>
    <row r="9" spans="1:28" x14ac:dyDescent="0.2">
      <c r="A9" s="23" t="s">
        <v>243</v>
      </c>
      <c r="B9" s="23" t="s">
        <v>244</v>
      </c>
      <c r="C9" s="28">
        <v>48</v>
      </c>
      <c r="D9" s="28">
        <v>0.22509999999999999</v>
      </c>
      <c r="E9" s="28">
        <v>7.2099999999999997E-2</v>
      </c>
      <c r="F9" s="28">
        <v>9.5299999999999996E-2</v>
      </c>
      <c r="G9" s="28">
        <v>9.1200000000000003E-2</v>
      </c>
      <c r="H9" s="28">
        <v>0.76</v>
      </c>
      <c r="I9" s="28">
        <v>0.99</v>
      </c>
      <c r="J9" s="28">
        <v>5.62E-2</v>
      </c>
      <c r="K9" s="28">
        <v>0.48060000000000003</v>
      </c>
      <c r="L9" s="28">
        <v>0.03</v>
      </c>
      <c r="M9" s="28">
        <v>0.3553</v>
      </c>
      <c r="N9" s="28">
        <v>4.3999999999999997E-2</v>
      </c>
      <c r="O9" s="28">
        <v>1.35</v>
      </c>
      <c r="P9" s="28">
        <v>1.52</v>
      </c>
      <c r="Q9" s="28">
        <v>10.01</v>
      </c>
      <c r="R9" s="28">
        <v>20.7</v>
      </c>
      <c r="S9" s="28">
        <v>2.96</v>
      </c>
      <c r="T9" s="28">
        <v>45.86</v>
      </c>
      <c r="U9" s="28">
        <v>0.1578</v>
      </c>
      <c r="V9" s="28">
        <v>6.3299999999999995E-2</v>
      </c>
      <c r="W9" s="28">
        <v>3.1600000000000003E-2</v>
      </c>
      <c r="X9" s="28">
        <v>0.18240000000000001</v>
      </c>
      <c r="Y9" s="28">
        <v>-1.8200000000000001E-2</v>
      </c>
      <c r="Z9" s="28">
        <v>4.4000000000000003E-3</v>
      </c>
      <c r="AA9" s="28">
        <v>4.4000000000000003E-3</v>
      </c>
      <c r="AB9" s="28">
        <v>7.2800000000000004E-2</v>
      </c>
    </row>
    <row r="10" spans="1:28" x14ac:dyDescent="0.2">
      <c r="A10" s="23" t="s">
        <v>245</v>
      </c>
      <c r="B10" s="23" t="s">
        <v>246</v>
      </c>
      <c r="C10" s="28">
        <v>51</v>
      </c>
      <c r="D10" s="28">
        <v>-3.56E-2</v>
      </c>
      <c r="E10" s="28">
        <v>5.4899999999999997E-2</v>
      </c>
      <c r="F10" s="28">
        <v>7.5399999999999995E-2</v>
      </c>
      <c r="G10" s="28">
        <v>0.31409999999999999</v>
      </c>
      <c r="H10" s="28">
        <v>0.94</v>
      </c>
      <c r="I10" s="28">
        <v>1.1000000000000001</v>
      </c>
      <c r="J10" s="28">
        <v>6.1100000000000002E-2</v>
      </c>
      <c r="K10" s="28">
        <v>0.47839999999999999</v>
      </c>
      <c r="L10" s="28">
        <v>0.03</v>
      </c>
      <c r="M10" s="28">
        <v>0.28260000000000002</v>
      </c>
      <c r="N10" s="28">
        <v>0.05</v>
      </c>
      <c r="O10" s="28">
        <v>1.34</v>
      </c>
      <c r="P10" s="28">
        <v>2.0299999999999998</v>
      </c>
      <c r="Q10" s="28">
        <v>14.69</v>
      </c>
      <c r="R10" s="28">
        <v>33.979999999999997</v>
      </c>
      <c r="S10" s="28">
        <v>4.1100000000000003</v>
      </c>
      <c r="T10" s="28">
        <v>22.76</v>
      </c>
      <c r="U10" s="28">
        <v>0.24959999999999999</v>
      </c>
      <c r="V10" s="28">
        <v>2.52E-2</v>
      </c>
      <c r="W10" s="28">
        <v>1.6000000000000001E-3</v>
      </c>
      <c r="X10" s="28">
        <v>-1.4672000000000001</v>
      </c>
      <c r="Y10" s="28">
        <v>-8.1900000000000001E-2</v>
      </c>
      <c r="Z10" s="28">
        <v>3.2000000000000002E-3</v>
      </c>
      <c r="AA10" s="28">
        <v>3.2000000000000002E-3</v>
      </c>
      <c r="AB10" s="28">
        <v>5.91E-2</v>
      </c>
    </row>
    <row r="11" spans="1:28" x14ac:dyDescent="0.2">
      <c r="A11" s="23" t="s">
        <v>247</v>
      </c>
      <c r="B11" s="23" t="s">
        <v>248</v>
      </c>
      <c r="C11" s="28">
        <v>140</v>
      </c>
      <c r="D11" s="28">
        <v>0.14180000000000001</v>
      </c>
      <c r="E11" s="28">
        <v>0.182</v>
      </c>
      <c r="F11" s="28">
        <v>0.34989999999999999</v>
      </c>
      <c r="G11" s="28">
        <v>0.2024</v>
      </c>
      <c r="H11" s="28">
        <v>0.68</v>
      </c>
      <c r="I11" s="28">
        <v>0.73</v>
      </c>
      <c r="J11" s="28">
        <v>4.3799999999999999E-2</v>
      </c>
      <c r="K11" s="28">
        <v>0.54659999999999997</v>
      </c>
      <c r="L11" s="28">
        <v>0.03</v>
      </c>
      <c r="M11" s="28">
        <v>0.1293</v>
      </c>
      <c r="N11" s="28">
        <v>4.0899999999999999E-2</v>
      </c>
      <c r="O11" s="28">
        <v>2.02</v>
      </c>
      <c r="P11" s="28">
        <v>4.09</v>
      </c>
      <c r="Q11" s="28">
        <v>17.600000000000001</v>
      </c>
      <c r="R11" s="28">
        <v>22.33</v>
      </c>
      <c r="S11" s="28">
        <v>9.06</v>
      </c>
      <c r="T11" s="28">
        <v>36.29</v>
      </c>
      <c r="U11" s="28">
        <v>8.8499999999999995E-2</v>
      </c>
      <c r="V11" s="28">
        <v>3.6499999999999998E-2</v>
      </c>
      <c r="W11" s="28">
        <v>1.2699999999999999E-2</v>
      </c>
      <c r="X11" s="28">
        <v>-2.5700000000000001E-2</v>
      </c>
      <c r="Y11" s="28">
        <v>0.316</v>
      </c>
      <c r="Z11" s="28">
        <v>0.60850000000000004</v>
      </c>
      <c r="AA11" s="28">
        <v>0.60850000000000004</v>
      </c>
      <c r="AB11" s="28">
        <v>0.1827</v>
      </c>
    </row>
    <row r="12" spans="1:28" x14ac:dyDescent="0.2">
      <c r="A12" s="23" t="s">
        <v>249</v>
      </c>
      <c r="B12" s="23" t="s">
        <v>250</v>
      </c>
      <c r="C12" s="28">
        <v>388</v>
      </c>
      <c r="D12" s="28">
        <v>0.1893</v>
      </c>
      <c r="E12" s="28">
        <v>0.23300000000000001</v>
      </c>
      <c r="F12" s="28">
        <v>0.2228</v>
      </c>
      <c r="G12" s="28">
        <v>0.1414</v>
      </c>
      <c r="H12" s="28">
        <v>0.89</v>
      </c>
      <c r="I12" s="28">
        <v>0.91</v>
      </c>
      <c r="J12" s="28">
        <v>5.2299999999999999E-2</v>
      </c>
      <c r="K12" s="28">
        <v>0.47970000000000002</v>
      </c>
      <c r="L12" s="28">
        <v>0.03</v>
      </c>
      <c r="M12" s="28">
        <v>6.1499999999999999E-2</v>
      </c>
      <c r="N12" s="28">
        <v>5.0500000000000003E-2</v>
      </c>
      <c r="O12" s="28">
        <v>0.92</v>
      </c>
      <c r="P12" s="28">
        <v>11.82</v>
      </c>
      <c r="Q12" s="28">
        <v>30.42</v>
      </c>
      <c r="R12" s="28">
        <v>43.93</v>
      </c>
      <c r="S12" s="28">
        <v>14.07</v>
      </c>
      <c r="T12" s="28">
        <v>148.99</v>
      </c>
      <c r="U12" s="28">
        <v>0.13150000000000001</v>
      </c>
      <c r="V12" s="28">
        <v>6.8000000000000005E-2</v>
      </c>
      <c r="W12" s="28">
        <v>5.6000000000000001E-2</v>
      </c>
      <c r="X12" s="28">
        <v>0.33689999999999998</v>
      </c>
      <c r="Y12" s="28">
        <v>0.28089999999999998</v>
      </c>
      <c r="Z12" s="28">
        <v>0.29349999999999998</v>
      </c>
      <c r="AA12" s="28">
        <v>0.29349999999999998</v>
      </c>
      <c r="AB12" s="28">
        <v>0.249</v>
      </c>
    </row>
    <row r="13" spans="1:28" x14ac:dyDescent="0.2">
      <c r="A13" s="23" t="s">
        <v>251</v>
      </c>
      <c r="B13" s="23" t="s">
        <v>252</v>
      </c>
      <c r="C13" s="28">
        <v>348</v>
      </c>
      <c r="D13" s="28">
        <v>6.4999999999999997E-3</v>
      </c>
      <c r="E13" s="28">
        <v>0.16950000000000001</v>
      </c>
      <c r="F13" s="28">
        <v>7.2400000000000006E-2</v>
      </c>
      <c r="G13" s="28">
        <v>0.1852</v>
      </c>
      <c r="H13" s="28">
        <v>0.78</v>
      </c>
      <c r="I13" s="28">
        <v>0.93</v>
      </c>
      <c r="J13" s="28">
        <v>5.3199999999999997E-2</v>
      </c>
      <c r="K13" s="28">
        <v>0.28849999999999998</v>
      </c>
      <c r="L13" s="28">
        <v>2.58E-2</v>
      </c>
      <c r="M13" s="28">
        <v>0.31140000000000001</v>
      </c>
      <c r="N13" s="28">
        <v>4.2500000000000003E-2</v>
      </c>
      <c r="O13" s="28">
        <v>0.45</v>
      </c>
      <c r="P13" s="28">
        <v>5.87</v>
      </c>
      <c r="Q13" s="28">
        <v>26.17</v>
      </c>
      <c r="R13" s="28">
        <v>30.6</v>
      </c>
      <c r="S13" s="28">
        <v>2.0499999999999998</v>
      </c>
      <c r="T13" s="28">
        <v>625.41</v>
      </c>
      <c r="U13" s="28" t="s">
        <v>242</v>
      </c>
      <c r="V13" s="28">
        <v>2.92E-2</v>
      </c>
      <c r="W13" s="28">
        <v>5.3100000000000001E-2</v>
      </c>
      <c r="X13" s="28">
        <v>0.46229999999999999</v>
      </c>
      <c r="Y13" s="28">
        <v>0.1235</v>
      </c>
      <c r="Z13" s="28">
        <v>0.52700000000000002</v>
      </c>
      <c r="AA13" s="28">
        <v>0.52700000000000002</v>
      </c>
      <c r="AB13" s="28">
        <v>0.16739999999999999</v>
      </c>
    </row>
    <row r="14" spans="1:28" x14ac:dyDescent="0.2">
      <c r="A14" s="23" t="s">
        <v>253</v>
      </c>
      <c r="B14" s="23" t="s">
        <v>254</v>
      </c>
      <c r="C14" s="28">
        <v>30</v>
      </c>
      <c r="D14" s="28">
        <v>3.2000000000000001E-2</v>
      </c>
      <c r="E14" s="28">
        <v>6.4299999999999996E-2</v>
      </c>
      <c r="F14" s="28">
        <v>0.10100000000000001</v>
      </c>
      <c r="G14" s="28">
        <v>0.23180000000000001</v>
      </c>
      <c r="H14" s="28">
        <v>0.99</v>
      </c>
      <c r="I14" s="28">
        <v>1.3</v>
      </c>
      <c r="J14" s="28">
        <v>7.0599999999999996E-2</v>
      </c>
      <c r="K14" s="28">
        <v>0.42820000000000003</v>
      </c>
      <c r="L14" s="28">
        <v>0.03</v>
      </c>
      <c r="M14" s="28">
        <v>0.33210000000000001</v>
      </c>
      <c r="N14" s="28">
        <v>5.4399999999999997E-2</v>
      </c>
      <c r="O14" s="28">
        <v>2.09</v>
      </c>
      <c r="P14" s="28">
        <v>1.24</v>
      </c>
      <c r="Q14" s="28">
        <v>11.56</v>
      </c>
      <c r="R14" s="28">
        <v>19.84</v>
      </c>
      <c r="S14" s="28">
        <v>5.99</v>
      </c>
      <c r="T14" s="28">
        <v>17.52</v>
      </c>
      <c r="U14" s="28">
        <v>0.1095</v>
      </c>
      <c r="V14" s="28">
        <v>1.8100000000000002E-2</v>
      </c>
      <c r="W14" s="28">
        <v>1.72E-2</v>
      </c>
      <c r="X14" s="28">
        <v>-0.2316</v>
      </c>
      <c r="Y14" s="28">
        <v>0.36280000000000001</v>
      </c>
      <c r="Z14" s="28">
        <v>3.7199999999999997E-2</v>
      </c>
      <c r="AA14" s="28">
        <v>3.7199999999999997E-2</v>
      </c>
      <c r="AB14" s="28">
        <v>5.4800000000000001E-2</v>
      </c>
    </row>
    <row r="15" spans="1:28" x14ac:dyDescent="0.2">
      <c r="A15" s="23" t="s">
        <v>255</v>
      </c>
      <c r="B15" s="23" t="s">
        <v>256</v>
      </c>
      <c r="C15" s="28">
        <v>19</v>
      </c>
      <c r="D15" s="28">
        <v>0.12189999999999999</v>
      </c>
      <c r="E15" s="28">
        <v>1.9300000000000001E-2</v>
      </c>
      <c r="F15" s="28">
        <v>1.17E-2</v>
      </c>
      <c r="G15" s="28">
        <v>0.2848</v>
      </c>
      <c r="H15" s="28">
        <v>1.05</v>
      </c>
      <c r="I15" s="28">
        <v>1.28</v>
      </c>
      <c r="J15" s="28">
        <v>6.9800000000000001E-2</v>
      </c>
      <c r="K15" s="28">
        <v>0.45240000000000002</v>
      </c>
      <c r="L15" s="28">
        <v>0.03</v>
      </c>
      <c r="M15" s="28">
        <v>0.27879999999999999</v>
      </c>
      <c r="N15" s="28">
        <v>5.6500000000000002E-2</v>
      </c>
      <c r="O15" s="28">
        <v>0.74</v>
      </c>
      <c r="P15" s="28">
        <v>3.58</v>
      </c>
      <c r="Q15" s="28">
        <v>45.73</v>
      </c>
      <c r="R15" s="28">
        <v>177.76</v>
      </c>
      <c r="S15" s="28">
        <v>7.58</v>
      </c>
      <c r="T15" s="28">
        <v>261.56</v>
      </c>
      <c r="U15" s="28">
        <v>-6.9400000000000003E-2</v>
      </c>
      <c r="V15" s="28">
        <v>0.1024</v>
      </c>
      <c r="W15" s="28">
        <v>4.6100000000000002E-2</v>
      </c>
      <c r="X15" s="28">
        <v>1.8440000000000001</v>
      </c>
      <c r="Y15" s="28">
        <v>4.4900000000000002E-2</v>
      </c>
      <c r="Z15" s="28">
        <v>0.64580000000000004</v>
      </c>
      <c r="AA15" s="28">
        <v>0.64580000000000004</v>
      </c>
      <c r="AB15" s="28">
        <v>1.7299999999999999E-2</v>
      </c>
    </row>
    <row r="16" spans="1:28" x14ac:dyDescent="0.2">
      <c r="A16" s="23" t="s">
        <v>257</v>
      </c>
      <c r="B16" s="23" t="s">
        <v>258</v>
      </c>
      <c r="C16" s="28">
        <v>52</v>
      </c>
      <c r="D16" s="28">
        <v>4.02E-2</v>
      </c>
      <c r="E16" s="28">
        <v>4.0099999999999997E-2</v>
      </c>
      <c r="F16" s="28">
        <v>6.4600000000000005E-2</v>
      </c>
      <c r="G16" s="28">
        <v>0.32650000000000001</v>
      </c>
      <c r="H16" s="28">
        <v>1.0900000000000001</v>
      </c>
      <c r="I16" s="28">
        <v>1.2</v>
      </c>
      <c r="J16" s="28">
        <v>6.6100000000000006E-2</v>
      </c>
      <c r="K16" s="28">
        <v>0.43159999999999998</v>
      </c>
      <c r="L16" s="28">
        <v>0.03</v>
      </c>
      <c r="M16" s="28">
        <v>0.19600000000000001</v>
      </c>
      <c r="N16" s="28">
        <v>5.74E-2</v>
      </c>
      <c r="O16" s="28">
        <v>1.82</v>
      </c>
      <c r="P16" s="28">
        <v>1.6</v>
      </c>
      <c r="Q16" s="28">
        <v>10.07</v>
      </c>
      <c r="R16" s="28">
        <v>23.28</v>
      </c>
      <c r="S16" s="28">
        <v>4.78</v>
      </c>
      <c r="T16" s="28">
        <v>55.56</v>
      </c>
      <c r="U16" s="28">
        <v>0.1384</v>
      </c>
      <c r="V16" s="28">
        <v>3.7100000000000001E-2</v>
      </c>
      <c r="W16" s="28">
        <v>2.0899999999999998E-2</v>
      </c>
      <c r="X16" s="28">
        <v>0.30070000000000002</v>
      </c>
      <c r="Y16" s="28">
        <v>-0.1431</v>
      </c>
      <c r="Z16" s="28">
        <v>4.1999999999999997E-3</v>
      </c>
      <c r="AA16" s="28">
        <v>4.1999999999999997E-3</v>
      </c>
      <c r="AB16" s="28">
        <v>3.85E-2</v>
      </c>
    </row>
    <row r="17" spans="1:28" x14ac:dyDescent="0.2">
      <c r="A17" s="23" t="s">
        <v>259</v>
      </c>
      <c r="B17" s="23" t="s">
        <v>260</v>
      </c>
      <c r="C17" s="28">
        <v>7</v>
      </c>
      <c r="D17" s="28">
        <v>-7.7999999999999996E-3</v>
      </c>
      <c r="E17" s="28">
        <v>0</v>
      </c>
      <c r="F17" s="28">
        <v>-1E-4</v>
      </c>
      <c r="G17" s="28">
        <v>0.1404</v>
      </c>
      <c r="H17" s="28">
        <v>0.6</v>
      </c>
      <c r="I17" s="28">
        <v>0.83</v>
      </c>
      <c r="J17" s="28">
        <v>4.8399999999999999E-2</v>
      </c>
      <c r="K17" s="28">
        <v>0.21590000000000001</v>
      </c>
      <c r="L17" s="28">
        <v>1.9199999999999998E-2</v>
      </c>
      <c r="M17" s="28">
        <v>0.68369999999999997</v>
      </c>
      <c r="N17" s="28">
        <v>2.4899999999999999E-2</v>
      </c>
      <c r="O17" s="28">
        <v>0.14000000000000001</v>
      </c>
      <c r="P17" s="28">
        <v>5.32</v>
      </c>
      <c r="Q17" s="28" t="s">
        <v>242</v>
      </c>
      <c r="R17" s="28" t="s">
        <v>242</v>
      </c>
      <c r="S17" s="28">
        <v>1</v>
      </c>
      <c r="T17" s="28">
        <v>14.86</v>
      </c>
      <c r="U17" s="28" t="s">
        <v>242</v>
      </c>
      <c r="V17" s="28">
        <v>1.06E-2</v>
      </c>
      <c r="W17" s="28">
        <v>1.06E-2</v>
      </c>
      <c r="X17" s="28" t="s">
        <v>242</v>
      </c>
      <c r="Y17" s="28">
        <v>7.4099999999999999E-2</v>
      </c>
      <c r="Z17" s="28">
        <v>0.46949999999999997</v>
      </c>
      <c r="AA17" s="28">
        <v>0.46949999999999997</v>
      </c>
      <c r="AB17" s="28">
        <v>-1.1000000000000001E-3</v>
      </c>
    </row>
    <row r="18" spans="1:28" x14ac:dyDescent="0.2">
      <c r="A18" s="23" t="s">
        <v>261</v>
      </c>
      <c r="B18" s="23" t="s">
        <v>262</v>
      </c>
      <c r="C18" s="28">
        <v>598</v>
      </c>
      <c r="D18" s="28">
        <v>8.8200000000000001E-2</v>
      </c>
      <c r="E18" s="28">
        <v>0</v>
      </c>
      <c r="F18" s="28">
        <v>-8.0000000000000004E-4</v>
      </c>
      <c r="G18" s="28">
        <v>0.1895</v>
      </c>
      <c r="H18" s="28">
        <v>0.6</v>
      </c>
      <c r="I18" s="28">
        <v>0.64</v>
      </c>
      <c r="J18" s="28">
        <v>3.9699999999999999E-2</v>
      </c>
      <c r="K18" s="28">
        <v>0.1948</v>
      </c>
      <c r="L18" s="28">
        <v>1.9199999999999998E-2</v>
      </c>
      <c r="M18" s="28">
        <v>0.37980000000000003</v>
      </c>
      <c r="N18" s="28">
        <v>0.03</v>
      </c>
      <c r="O18" s="28">
        <v>0.24</v>
      </c>
      <c r="P18" s="28">
        <v>4.47</v>
      </c>
      <c r="Q18" s="28" t="s">
        <v>242</v>
      </c>
      <c r="R18" s="28" t="s">
        <v>242</v>
      </c>
      <c r="S18" s="28">
        <v>1.08</v>
      </c>
      <c r="T18" s="28">
        <v>15.39</v>
      </c>
      <c r="U18" s="28" t="s">
        <v>242</v>
      </c>
      <c r="V18" s="28">
        <v>4.3700000000000003E-2</v>
      </c>
      <c r="W18" s="28">
        <v>2.01E-2</v>
      </c>
      <c r="X18" s="28" t="s">
        <v>242</v>
      </c>
      <c r="Y18" s="28">
        <v>8.2199999999999995E-2</v>
      </c>
      <c r="Z18" s="28">
        <v>0.44350000000000001</v>
      </c>
      <c r="AA18" s="28">
        <v>0.44350000000000001</v>
      </c>
      <c r="AB18" s="28">
        <v>-4.1000000000000003E-3</v>
      </c>
    </row>
    <row r="19" spans="1:28" x14ac:dyDescent="0.2">
      <c r="A19" s="23" t="s">
        <v>263</v>
      </c>
      <c r="B19" s="23" t="s">
        <v>264</v>
      </c>
      <c r="C19" s="28">
        <v>29</v>
      </c>
      <c r="D19" s="28">
        <v>5.1000000000000004E-3</v>
      </c>
      <c r="E19" s="28">
        <v>0.18060000000000001</v>
      </c>
      <c r="F19" s="28">
        <v>0.13439999999999999</v>
      </c>
      <c r="G19" s="28">
        <v>0.20760000000000001</v>
      </c>
      <c r="H19" s="28">
        <v>0.89</v>
      </c>
      <c r="I19" s="28">
        <v>1.02</v>
      </c>
      <c r="J19" s="28">
        <v>5.7700000000000001E-2</v>
      </c>
      <c r="K19" s="28">
        <v>0.2994</v>
      </c>
      <c r="L19" s="28">
        <v>2.58E-2</v>
      </c>
      <c r="M19" s="28">
        <v>0.22919999999999999</v>
      </c>
      <c r="N19" s="28">
        <v>4.8800000000000003E-2</v>
      </c>
      <c r="O19" s="28">
        <v>0.79</v>
      </c>
      <c r="P19" s="28">
        <v>2.8</v>
      </c>
      <c r="Q19" s="28">
        <v>11.37</v>
      </c>
      <c r="R19" s="28">
        <v>15.12</v>
      </c>
      <c r="S19" s="28">
        <v>1.86</v>
      </c>
      <c r="T19" s="28">
        <v>27.98</v>
      </c>
      <c r="U19" s="28">
        <v>1.4800000000000001E-2</v>
      </c>
      <c r="V19" s="28">
        <v>5.0799999999999998E-2</v>
      </c>
      <c r="W19" s="28">
        <v>2.9700000000000001E-2</v>
      </c>
      <c r="X19" s="28">
        <v>0.2049</v>
      </c>
      <c r="Y19" s="28">
        <v>0.1062</v>
      </c>
      <c r="Z19" s="28">
        <v>0.14319999999999999</v>
      </c>
      <c r="AA19" s="28">
        <v>0.14319999999999999</v>
      </c>
      <c r="AB19" s="28">
        <v>0.18140000000000001</v>
      </c>
    </row>
    <row r="20" spans="1:28" x14ac:dyDescent="0.2">
      <c r="A20" s="23" t="s">
        <v>265</v>
      </c>
      <c r="B20" s="23" t="s">
        <v>266</v>
      </c>
      <c r="C20" s="28">
        <v>86</v>
      </c>
      <c r="D20" s="28">
        <v>4.02E-2</v>
      </c>
      <c r="E20" s="28">
        <v>0.1147</v>
      </c>
      <c r="F20" s="28">
        <v>0.1075</v>
      </c>
      <c r="G20" s="28">
        <v>0.51980000000000004</v>
      </c>
      <c r="H20" s="28">
        <v>0.82</v>
      </c>
      <c r="I20" s="28">
        <v>0.9</v>
      </c>
      <c r="J20" s="28">
        <v>5.1999999999999998E-2</v>
      </c>
      <c r="K20" s="28">
        <v>0.6784</v>
      </c>
      <c r="L20" s="28">
        <v>4.0899999999999999E-2</v>
      </c>
      <c r="M20" s="28">
        <v>0.19259999999999999</v>
      </c>
      <c r="N20" s="28">
        <v>4.7699999999999999E-2</v>
      </c>
      <c r="O20" s="28">
        <v>0.97</v>
      </c>
      <c r="P20" s="28">
        <v>3</v>
      </c>
      <c r="Q20" s="28">
        <v>13.9</v>
      </c>
      <c r="R20" s="28">
        <v>25.92</v>
      </c>
      <c r="S20" s="28">
        <v>3.29</v>
      </c>
      <c r="T20" s="28">
        <v>44.42</v>
      </c>
      <c r="U20" s="28">
        <v>0.14299999999999999</v>
      </c>
      <c r="V20" s="28">
        <v>8.9800000000000005E-2</v>
      </c>
      <c r="W20" s="28">
        <v>1.03E-2</v>
      </c>
      <c r="X20" s="28">
        <v>-7.46E-2</v>
      </c>
      <c r="Y20" s="28">
        <v>2.6700000000000002E-2</v>
      </c>
      <c r="Z20" s="28">
        <v>1.9736</v>
      </c>
      <c r="AA20" s="28">
        <v>1.9736</v>
      </c>
      <c r="AB20" s="28">
        <v>0.11260000000000001</v>
      </c>
    </row>
    <row r="21" spans="1:28" x14ac:dyDescent="0.2">
      <c r="A21" s="23" t="s">
        <v>267</v>
      </c>
      <c r="B21" s="23" t="s">
        <v>268</v>
      </c>
      <c r="C21" s="28">
        <v>23</v>
      </c>
      <c r="D21" s="28">
        <v>0.1439</v>
      </c>
      <c r="E21" s="28">
        <v>0.2387</v>
      </c>
      <c r="F21" s="28">
        <v>0.14430000000000001</v>
      </c>
      <c r="G21" s="28">
        <v>0.18360000000000001</v>
      </c>
      <c r="H21" s="28">
        <v>0.68</v>
      </c>
      <c r="I21" s="28">
        <v>0.78</v>
      </c>
      <c r="J21" s="28">
        <v>4.5999999999999999E-2</v>
      </c>
      <c r="K21" s="28">
        <v>0.37009999999999998</v>
      </c>
      <c r="L21" s="28">
        <v>2.58E-2</v>
      </c>
      <c r="M21" s="28">
        <v>0.18970000000000001</v>
      </c>
      <c r="N21" s="28">
        <v>4.0899999999999999E-2</v>
      </c>
      <c r="O21" s="28">
        <v>0.64</v>
      </c>
      <c r="P21" s="28">
        <v>5.3</v>
      </c>
      <c r="Q21" s="28">
        <v>17.61</v>
      </c>
      <c r="R21" s="28">
        <v>22.21</v>
      </c>
      <c r="S21" s="28">
        <v>3.45</v>
      </c>
      <c r="T21" s="28">
        <v>32.39</v>
      </c>
      <c r="U21" s="28">
        <v>0.1525</v>
      </c>
      <c r="V21" s="28">
        <v>6.3799999999999996E-2</v>
      </c>
      <c r="W21" s="28">
        <v>4.4900000000000002E-2</v>
      </c>
      <c r="X21" s="28">
        <v>0.24110000000000001</v>
      </c>
      <c r="Y21" s="28">
        <v>0.10100000000000001</v>
      </c>
      <c r="Z21" s="28">
        <v>0.4158</v>
      </c>
      <c r="AA21" s="28">
        <v>0.4158</v>
      </c>
      <c r="AB21" s="28">
        <v>0.2384</v>
      </c>
    </row>
    <row r="22" spans="1:28" x14ac:dyDescent="0.2">
      <c r="A22" s="23" t="s">
        <v>269</v>
      </c>
      <c r="B22" s="23" t="s">
        <v>270</v>
      </c>
      <c r="C22" s="28">
        <v>41</v>
      </c>
      <c r="D22" s="28">
        <v>0.27079999999999999</v>
      </c>
      <c r="E22" s="28">
        <v>0.19980000000000001</v>
      </c>
      <c r="F22" s="28">
        <v>0.26740000000000003</v>
      </c>
      <c r="G22" s="28">
        <v>0.186</v>
      </c>
      <c r="H22" s="28">
        <v>0.71</v>
      </c>
      <c r="I22" s="28">
        <v>0.79</v>
      </c>
      <c r="J22" s="28">
        <v>4.6600000000000003E-2</v>
      </c>
      <c r="K22" s="28">
        <v>0.497</v>
      </c>
      <c r="L22" s="28">
        <v>0.03</v>
      </c>
      <c r="M22" s="28">
        <v>0.17760000000000001</v>
      </c>
      <c r="N22" s="28">
        <v>4.2200000000000001E-2</v>
      </c>
      <c r="O22" s="28">
        <v>1.37</v>
      </c>
      <c r="P22" s="28">
        <v>5.08</v>
      </c>
      <c r="Q22" s="28">
        <v>20.74</v>
      </c>
      <c r="R22" s="28">
        <v>25.22</v>
      </c>
      <c r="S22" s="28">
        <v>8.5</v>
      </c>
      <c r="T22" s="28">
        <v>116.72</v>
      </c>
      <c r="U22" s="28">
        <v>-9.5399999999999999E-2</v>
      </c>
      <c r="V22" s="28">
        <v>5.4199999999999998E-2</v>
      </c>
      <c r="W22" s="28">
        <v>7.4099999999999999E-2</v>
      </c>
      <c r="X22" s="28">
        <v>0.37009999999999998</v>
      </c>
      <c r="Y22" s="28">
        <v>0.28860000000000002</v>
      </c>
      <c r="Z22" s="28">
        <v>0.7419</v>
      </c>
      <c r="AA22" s="28">
        <v>0.7419</v>
      </c>
      <c r="AB22" s="28">
        <v>0.2011</v>
      </c>
    </row>
    <row r="23" spans="1:28" x14ac:dyDescent="0.2">
      <c r="A23" s="23" t="s">
        <v>271</v>
      </c>
      <c r="B23" s="23" t="s">
        <v>272</v>
      </c>
      <c r="C23" s="28">
        <v>139</v>
      </c>
      <c r="D23" s="28">
        <v>0.1502</v>
      </c>
      <c r="E23" s="28">
        <v>0.13139999999999999</v>
      </c>
      <c r="F23" s="28">
        <v>0.16350000000000001</v>
      </c>
      <c r="G23" s="28">
        <v>0.1643</v>
      </c>
      <c r="H23" s="28">
        <v>0.75</v>
      </c>
      <c r="I23" s="28">
        <v>0.79</v>
      </c>
      <c r="J23" s="28">
        <v>4.6600000000000003E-2</v>
      </c>
      <c r="K23" s="28">
        <v>0.42449999999999999</v>
      </c>
      <c r="L23" s="28">
        <v>0.03</v>
      </c>
      <c r="M23" s="28">
        <v>0.1079</v>
      </c>
      <c r="N23" s="28">
        <v>4.3999999999999997E-2</v>
      </c>
      <c r="O23" s="28">
        <v>1.24</v>
      </c>
      <c r="P23" s="28">
        <v>7.33</v>
      </c>
      <c r="Q23" s="28">
        <v>29.32</v>
      </c>
      <c r="R23" s="28">
        <v>50.49</v>
      </c>
      <c r="S23" s="28">
        <v>7.12</v>
      </c>
      <c r="T23" s="28">
        <v>162.96</v>
      </c>
      <c r="U23" s="28">
        <v>0.23069999999999999</v>
      </c>
      <c r="V23" s="28">
        <v>3.8199999999999998E-2</v>
      </c>
      <c r="W23" s="28">
        <v>6.9999999999999999E-4</v>
      </c>
      <c r="X23" s="28">
        <v>0.1028</v>
      </c>
      <c r="Y23" s="28">
        <v>0.1411</v>
      </c>
      <c r="Z23" s="28">
        <v>0.1055</v>
      </c>
      <c r="AA23" s="28">
        <v>0.1055</v>
      </c>
      <c r="AB23" s="28">
        <v>0.13689999999999999</v>
      </c>
    </row>
    <row r="24" spans="1:28" x14ac:dyDescent="0.2">
      <c r="A24" s="23" t="s">
        <v>273</v>
      </c>
      <c r="B24" s="23" t="s">
        <v>274</v>
      </c>
      <c r="C24" s="28">
        <v>29</v>
      </c>
      <c r="D24" s="28">
        <v>5.8000000000000003E-2</v>
      </c>
      <c r="E24" s="28">
        <v>0.193</v>
      </c>
      <c r="F24" s="28">
        <v>0.16919999999999999</v>
      </c>
      <c r="G24" s="28">
        <v>0.2316</v>
      </c>
      <c r="H24" s="28">
        <v>0.65</v>
      </c>
      <c r="I24" s="28">
        <v>1.1299999999999999</v>
      </c>
      <c r="J24" s="28">
        <v>6.2600000000000003E-2</v>
      </c>
      <c r="K24" s="28">
        <v>0.4556</v>
      </c>
      <c r="L24" s="28">
        <v>0.03</v>
      </c>
      <c r="M24" s="28">
        <v>0.54900000000000004</v>
      </c>
      <c r="N24" s="28">
        <v>4.02E-2</v>
      </c>
      <c r="O24" s="28">
        <v>0.98</v>
      </c>
      <c r="P24" s="28">
        <v>2.08</v>
      </c>
      <c r="Q24" s="28">
        <v>7.84</v>
      </c>
      <c r="R24" s="28">
        <v>10.93</v>
      </c>
      <c r="S24" s="28">
        <v>1.58</v>
      </c>
      <c r="T24" s="28">
        <v>12.42</v>
      </c>
      <c r="U24" s="28">
        <v>0.15709999999999999</v>
      </c>
      <c r="V24" s="28">
        <v>2.7400000000000001E-2</v>
      </c>
      <c r="W24" s="28">
        <v>-1.0500000000000001E-2</v>
      </c>
      <c r="X24" s="28">
        <v>1.1106</v>
      </c>
      <c r="Y24" s="28">
        <v>2.3999999999999998E-3</v>
      </c>
      <c r="Z24" s="28">
        <v>1.6999999999999999E-3</v>
      </c>
      <c r="AA24" s="28">
        <v>1.6999999999999999E-3</v>
      </c>
      <c r="AB24" s="28">
        <v>0.1903</v>
      </c>
    </row>
    <row r="25" spans="1:28" x14ac:dyDescent="0.2">
      <c r="A25" s="23" t="s">
        <v>275</v>
      </c>
      <c r="B25" s="23" t="s">
        <v>276</v>
      </c>
      <c r="C25" s="28">
        <v>42</v>
      </c>
      <c r="D25" s="28">
        <v>7.4700000000000003E-2</v>
      </c>
      <c r="E25" s="28">
        <v>0.108</v>
      </c>
      <c r="F25" s="28">
        <v>0.2417</v>
      </c>
      <c r="G25" s="28">
        <v>0.2626</v>
      </c>
      <c r="H25" s="28">
        <v>0.97</v>
      </c>
      <c r="I25" s="28">
        <v>1.0900000000000001</v>
      </c>
      <c r="J25" s="28">
        <v>6.0699999999999997E-2</v>
      </c>
      <c r="K25" s="28">
        <v>0.33989999999999998</v>
      </c>
      <c r="L25" s="28">
        <v>2.58E-2</v>
      </c>
      <c r="M25" s="28">
        <v>0.2082</v>
      </c>
      <c r="N25" s="28">
        <v>5.1999999999999998E-2</v>
      </c>
      <c r="O25" s="28">
        <v>2.59</v>
      </c>
      <c r="P25" s="28">
        <v>2</v>
      </c>
      <c r="Q25" s="28">
        <v>13.27</v>
      </c>
      <c r="R25" s="28">
        <v>18.170000000000002</v>
      </c>
      <c r="S25" s="28">
        <v>4.9800000000000004</v>
      </c>
      <c r="T25" s="28">
        <v>25.63</v>
      </c>
      <c r="U25" s="28">
        <v>0.1545</v>
      </c>
      <c r="V25" s="28">
        <v>2.4400000000000002E-2</v>
      </c>
      <c r="W25" s="28">
        <v>4.4999999999999997E-3</v>
      </c>
      <c r="X25" s="28">
        <v>-2.46E-2</v>
      </c>
      <c r="Y25" s="28">
        <v>0.2054</v>
      </c>
      <c r="Z25" s="28">
        <v>0.21490000000000001</v>
      </c>
      <c r="AA25" s="28">
        <v>0.21490000000000001</v>
      </c>
      <c r="AB25" s="28">
        <v>0.10979999999999999</v>
      </c>
    </row>
    <row r="26" spans="1:28" x14ac:dyDescent="0.2">
      <c r="A26" s="23" t="s">
        <v>277</v>
      </c>
      <c r="B26" s="23" t="s">
        <v>278</v>
      </c>
      <c r="C26" s="28">
        <v>169</v>
      </c>
      <c r="D26" s="28">
        <v>7.5300000000000006E-2</v>
      </c>
      <c r="E26" s="28">
        <v>8.8800000000000004E-2</v>
      </c>
      <c r="F26" s="28">
        <v>0.18329999999999999</v>
      </c>
      <c r="G26" s="28">
        <v>0.2384</v>
      </c>
      <c r="H26" s="28">
        <v>0.83</v>
      </c>
      <c r="I26" s="28">
        <v>0.93</v>
      </c>
      <c r="J26" s="28">
        <v>5.2999999999999999E-2</v>
      </c>
      <c r="K26" s="28">
        <v>0.45650000000000002</v>
      </c>
      <c r="L26" s="28">
        <v>0.03</v>
      </c>
      <c r="M26" s="28">
        <v>0.19819999999999999</v>
      </c>
      <c r="N26" s="28">
        <v>4.6899999999999997E-2</v>
      </c>
      <c r="O26" s="28">
        <v>2.16</v>
      </c>
      <c r="P26" s="28">
        <v>2.97</v>
      </c>
      <c r="Q26" s="28">
        <v>17.399999999999999</v>
      </c>
      <c r="R26" s="28">
        <v>31.21</v>
      </c>
      <c r="S26" s="28">
        <v>5.85</v>
      </c>
      <c r="T26" s="28">
        <v>44.22</v>
      </c>
      <c r="U26" s="28">
        <v>0.1384</v>
      </c>
      <c r="V26" s="28">
        <v>3.1399999999999997E-2</v>
      </c>
      <c r="W26" s="28">
        <v>3.3999999999999998E-3</v>
      </c>
      <c r="X26" s="28">
        <v>-0.11509999999999999</v>
      </c>
      <c r="Y26" s="28">
        <v>6.8099999999999994E-2</v>
      </c>
      <c r="Z26" s="28">
        <v>0.65869999999999995</v>
      </c>
      <c r="AA26" s="28">
        <v>0.65869999999999995</v>
      </c>
      <c r="AB26" s="28">
        <v>9.1800000000000007E-2</v>
      </c>
    </row>
    <row r="27" spans="1:28" x14ac:dyDescent="0.2">
      <c r="A27" s="23" t="s">
        <v>279</v>
      </c>
      <c r="B27" s="23" t="s">
        <v>280</v>
      </c>
      <c r="C27" s="28">
        <v>235</v>
      </c>
      <c r="D27" s="28">
        <v>9.0800000000000006E-2</v>
      </c>
      <c r="E27" s="28">
        <v>0.1232</v>
      </c>
      <c r="F27" s="28">
        <v>4.0000000000000001E-3</v>
      </c>
      <c r="G27" s="28">
        <v>0.19209999999999999</v>
      </c>
      <c r="H27" s="28">
        <v>0.11</v>
      </c>
      <c r="I27" s="28">
        <v>0.8</v>
      </c>
      <c r="J27" s="28">
        <v>4.6899999999999997E-2</v>
      </c>
      <c r="K27" s="28">
        <v>0.27739999999999998</v>
      </c>
      <c r="L27" s="28">
        <v>2.58E-2</v>
      </c>
      <c r="M27" s="28">
        <v>0.89959999999999996</v>
      </c>
      <c r="N27" s="28">
        <v>2.1700000000000001E-2</v>
      </c>
      <c r="O27" s="28">
        <v>0.04</v>
      </c>
      <c r="P27" s="28">
        <v>31.49</v>
      </c>
      <c r="Q27" s="28" t="s">
        <v>242</v>
      </c>
      <c r="R27" s="28" t="s">
        <v>242</v>
      </c>
      <c r="S27" s="28">
        <v>2.23</v>
      </c>
      <c r="T27" s="28">
        <v>21.86</v>
      </c>
      <c r="U27" s="28" t="s">
        <v>242</v>
      </c>
      <c r="V27" s="28">
        <v>6.9900000000000004E-2</v>
      </c>
      <c r="W27" s="28">
        <v>0.13200000000000001</v>
      </c>
      <c r="X27" s="28">
        <v>1.2262</v>
      </c>
      <c r="Y27" s="28">
        <v>0.64280000000000004</v>
      </c>
      <c r="Z27" s="28">
        <v>0.23860000000000001</v>
      </c>
      <c r="AA27" s="28">
        <v>0.23860000000000001</v>
      </c>
      <c r="AB27" s="28">
        <v>0.12230000000000001</v>
      </c>
    </row>
    <row r="28" spans="1:28" x14ac:dyDescent="0.2">
      <c r="A28" s="23" t="s">
        <v>281</v>
      </c>
      <c r="B28" s="23" t="s">
        <v>282</v>
      </c>
      <c r="C28" s="28">
        <v>30</v>
      </c>
      <c r="D28" s="28">
        <v>0.13519999999999999</v>
      </c>
      <c r="E28" s="28">
        <v>0.1181</v>
      </c>
      <c r="F28" s="28">
        <v>0.1358</v>
      </c>
      <c r="G28" s="28">
        <v>0.20300000000000001</v>
      </c>
      <c r="H28" s="28">
        <v>1.33</v>
      </c>
      <c r="I28" s="28">
        <v>1.46</v>
      </c>
      <c r="J28" s="28">
        <v>7.8200000000000006E-2</v>
      </c>
      <c r="K28" s="28">
        <v>0.36559999999999998</v>
      </c>
      <c r="L28" s="28">
        <v>2.58E-2</v>
      </c>
      <c r="M28" s="28">
        <v>0.24660000000000001</v>
      </c>
      <c r="N28" s="28">
        <v>6.3500000000000001E-2</v>
      </c>
      <c r="O28" s="28">
        <v>1.37</v>
      </c>
      <c r="P28" s="28">
        <v>1.21</v>
      </c>
      <c r="Q28" s="28">
        <v>9.5399999999999991</v>
      </c>
      <c r="R28" s="28">
        <v>10.23</v>
      </c>
      <c r="S28" s="28">
        <v>1.75</v>
      </c>
      <c r="T28" s="28">
        <v>17.34</v>
      </c>
      <c r="U28" s="28">
        <v>0.66100000000000003</v>
      </c>
      <c r="V28" s="28">
        <v>7.4000000000000003E-3</v>
      </c>
      <c r="W28" s="28">
        <v>6.3E-3</v>
      </c>
      <c r="X28" s="28">
        <v>-0.10150000000000001</v>
      </c>
      <c r="Y28" s="28">
        <v>0.17699999999999999</v>
      </c>
      <c r="Z28" s="28">
        <v>7.5800000000000006E-2</v>
      </c>
      <c r="AA28" s="28">
        <v>7.5800000000000006E-2</v>
      </c>
      <c r="AB28" s="28">
        <v>0.1182</v>
      </c>
    </row>
    <row r="29" spans="1:28" x14ac:dyDescent="0.2">
      <c r="A29" s="23" t="s">
        <v>283</v>
      </c>
      <c r="B29" s="23" t="s">
        <v>284</v>
      </c>
      <c r="C29" s="28">
        <v>13</v>
      </c>
      <c r="D29" s="28">
        <v>6.7000000000000004E-2</v>
      </c>
      <c r="E29" s="28">
        <v>0.18149999999999999</v>
      </c>
      <c r="F29" s="28">
        <v>0.1109</v>
      </c>
      <c r="G29" s="28">
        <v>0.2233</v>
      </c>
      <c r="H29" s="28">
        <v>0.7</v>
      </c>
      <c r="I29" s="28">
        <v>0.94</v>
      </c>
      <c r="J29" s="28">
        <v>5.3800000000000001E-2</v>
      </c>
      <c r="K29" s="28">
        <v>0.32019999999999998</v>
      </c>
      <c r="L29" s="28">
        <v>2.58E-2</v>
      </c>
      <c r="M29" s="28">
        <v>0.34189999999999998</v>
      </c>
      <c r="N29" s="28">
        <v>4.1799999999999997E-2</v>
      </c>
      <c r="O29" s="28">
        <v>0.76</v>
      </c>
      <c r="P29" s="28">
        <v>3.85</v>
      </c>
      <c r="Q29" s="28">
        <v>11.11</v>
      </c>
      <c r="R29" s="28">
        <v>20.2</v>
      </c>
      <c r="S29" s="28">
        <v>3.13</v>
      </c>
      <c r="T29" s="28">
        <v>63.68</v>
      </c>
      <c r="U29" s="28">
        <v>-1.35E-2</v>
      </c>
      <c r="V29" s="28">
        <v>0.1094</v>
      </c>
      <c r="W29" s="28">
        <v>-1.7399999999999999E-2</v>
      </c>
      <c r="X29" s="28">
        <v>-0.15010000000000001</v>
      </c>
      <c r="Y29" s="28">
        <v>0.1147</v>
      </c>
      <c r="Z29" s="28">
        <v>0.26200000000000001</v>
      </c>
      <c r="AA29" s="28">
        <v>0.26200000000000001</v>
      </c>
      <c r="AB29" s="28">
        <v>0.1807</v>
      </c>
    </row>
    <row r="30" spans="1:28" x14ac:dyDescent="0.2">
      <c r="A30" s="23" t="s">
        <v>285</v>
      </c>
      <c r="B30" s="23" t="s">
        <v>286</v>
      </c>
      <c r="C30" s="28">
        <v>46</v>
      </c>
      <c r="D30" s="28">
        <v>3.5000000000000003E-2</v>
      </c>
      <c r="E30" s="28">
        <v>9.4100000000000003E-2</v>
      </c>
      <c r="F30" s="28">
        <v>9.9299999999999999E-2</v>
      </c>
      <c r="G30" s="28">
        <v>0.22989999999999999</v>
      </c>
      <c r="H30" s="28">
        <v>0.87</v>
      </c>
      <c r="I30" s="28">
        <v>1.02</v>
      </c>
      <c r="J30" s="28">
        <v>5.7500000000000002E-2</v>
      </c>
      <c r="K30" s="28">
        <v>0.33389999999999997</v>
      </c>
      <c r="L30" s="28">
        <v>2.58E-2</v>
      </c>
      <c r="M30" s="28">
        <v>0.25800000000000001</v>
      </c>
      <c r="N30" s="28">
        <v>4.7500000000000001E-2</v>
      </c>
      <c r="O30" s="28">
        <v>1.21</v>
      </c>
      <c r="P30" s="28">
        <v>2.27</v>
      </c>
      <c r="Q30" s="28">
        <v>15.23</v>
      </c>
      <c r="R30" s="28">
        <v>23.47</v>
      </c>
      <c r="S30" s="28">
        <v>3.82</v>
      </c>
      <c r="T30" s="28">
        <v>108.4</v>
      </c>
      <c r="U30" s="28">
        <v>0.17230000000000001</v>
      </c>
      <c r="V30" s="28">
        <v>5.21E-2</v>
      </c>
      <c r="W30" s="28">
        <v>1.9599999999999999E-2</v>
      </c>
      <c r="X30" s="28">
        <v>-8.2600000000000007E-2</v>
      </c>
      <c r="Y30" s="28">
        <v>0.13200000000000001</v>
      </c>
      <c r="Z30" s="28">
        <v>0.4985</v>
      </c>
      <c r="AA30" s="28">
        <v>0.4985</v>
      </c>
      <c r="AB30" s="28">
        <v>9.2499999999999999E-2</v>
      </c>
    </row>
    <row r="31" spans="1:28" x14ac:dyDescent="0.2">
      <c r="A31" s="23" t="s">
        <v>287</v>
      </c>
      <c r="B31" s="23" t="s">
        <v>288</v>
      </c>
      <c r="C31" s="28">
        <v>5</v>
      </c>
      <c r="D31" s="28">
        <v>0.28989999999999999</v>
      </c>
      <c r="E31" s="28">
        <v>5.8099999999999999E-2</v>
      </c>
      <c r="F31" s="28">
        <v>5.9299999999999999E-2</v>
      </c>
      <c r="G31" s="28">
        <v>5.7000000000000002E-2</v>
      </c>
      <c r="H31" s="28">
        <v>1.04</v>
      </c>
      <c r="I31" s="28">
        <v>1.36</v>
      </c>
      <c r="J31" s="28">
        <v>7.3599999999999999E-2</v>
      </c>
      <c r="K31" s="28">
        <v>0.36159999999999998</v>
      </c>
      <c r="L31" s="28">
        <v>2.58E-2</v>
      </c>
      <c r="M31" s="28">
        <v>0.36749999999999999</v>
      </c>
      <c r="N31" s="28">
        <v>5.3499999999999999E-2</v>
      </c>
      <c r="O31" s="28">
        <v>1.03</v>
      </c>
      <c r="P31" s="28">
        <v>1.72</v>
      </c>
      <c r="Q31" s="28">
        <v>13.38</v>
      </c>
      <c r="R31" s="28">
        <v>29.25</v>
      </c>
      <c r="S31" s="28">
        <v>2.1800000000000002</v>
      </c>
      <c r="T31" s="28">
        <v>17.190000000000001</v>
      </c>
      <c r="U31" s="28">
        <v>0.17680000000000001</v>
      </c>
      <c r="V31" s="28">
        <v>5.0700000000000002E-2</v>
      </c>
      <c r="W31" s="28">
        <v>2.3900000000000001E-2</v>
      </c>
      <c r="X31" s="28">
        <v>-0.68789999999999996</v>
      </c>
      <c r="Y31" s="28">
        <v>0.13250000000000001</v>
      </c>
      <c r="Z31" s="28">
        <v>0.51839999999999997</v>
      </c>
      <c r="AA31" s="28">
        <v>0.51839999999999997</v>
      </c>
      <c r="AB31" s="28">
        <v>5.8200000000000002E-2</v>
      </c>
    </row>
    <row r="32" spans="1:28" x14ac:dyDescent="0.2">
      <c r="A32" s="23" t="s">
        <v>289</v>
      </c>
      <c r="B32" s="23" t="s">
        <v>290</v>
      </c>
      <c r="C32" s="28">
        <v>85</v>
      </c>
      <c r="D32" s="28">
        <v>5.57E-2</v>
      </c>
      <c r="E32" s="28">
        <v>2.8899999999999999E-2</v>
      </c>
      <c r="F32" s="28">
        <v>5.2900000000000003E-2</v>
      </c>
      <c r="G32" s="28">
        <v>0.2455</v>
      </c>
      <c r="H32" s="28">
        <v>1.04</v>
      </c>
      <c r="I32" s="28">
        <v>1.28</v>
      </c>
      <c r="J32" s="28">
        <v>6.9800000000000001E-2</v>
      </c>
      <c r="K32" s="28">
        <v>0.49009999999999998</v>
      </c>
      <c r="L32" s="28">
        <v>0.03</v>
      </c>
      <c r="M32" s="28">
        <v>0.32550000000000001</v>
      </c>
      <c r="N32" s="28">
        <v>5.4199999999999998E-2</v>
      </c>
      <c r="O32" s="28">
        <v>2.29</v>
      </c>
      <c r="P32" s="28">
        <v>1.1000000000000001</v>
      </c>
      <c r="Q32" s="28">
        <v>11.4</v>
      </c>
      <c r="R32" s="28">
        <v>43.75</v>
      </c>
      <c r="S32" s="28">
        <v>5.51</v>
      </c>
      <c r="T32" s="28">
        <v>55.99</v>
      </c>
      <c r="U32" s="28">
        <v>4.7500000000000001E-2</v>
      </c>
      <c r="V32" s="28">
        <v>1.78E-2</v>
      </c>
      <c r="W32" s="28">
        <v>5.0000000000000001E-4</v>
      </c>
      <c r="X32" s="28">
        <v>-1.7934000000000001</v>
      </c>
      <c r="Y32" s="28">
        <v>-6.4000000000000003E-3</v>
      </c>
      <c r="Z32" s="28">
        <v>3.2000000000000002E-3</v>
      </c>
      <c r="AA32" s="28">
        <v>3.2000000000000002E-3</v>
      </c>
      <c r="AB32" s="28">
        <v>2.5100000000000001E-2</v>
      </c>
    </row>
    <row r="33" spans="1:28" x14ac:dyDescent="0.2">
      <c r="A33" s="23" t="s">
        <v>291</v>
      </c>
      <c r="B33" s="23" t="s">
        <v>292</v>
      </c>
      <c r="C33" s="28">
        <v>29</v>
      </c>
      <c r="D33" s="28">
        <v>-0.14180000000000001</v>
      </c>
      <c r="E33" s="28">
        <v>-8.6999999999999994E-2</v>
      </c>
      <c r="F33" s="28">
        <v>-7.4999999999999997E-2</v>
      </c>
      <c r="G33" s="28">
        <v>0</v>
      </c>
      <c r="H33" s="28">
        <v>0.56000000000000005</v>
      </c>
      <c r="I33" s="28">
        <v>0.83</v>
      </c>
      <c r="J33" s="28">
        <v>4.8399999999999999E-2</v>
      </c>
      <c r="K33" s="28">
        <v>0.42270000000000002</v>
      </c>
      <c r="L33" s="28">
        <v>0.03</v>
      </c>
      <c r="M33" s="28">
        <v>0.48620000000000002</v>
      </c>
      <c r="N33" s="28">
        <v>3.5499999999999997E-2</v>
      </c>
      <c r="O33" s="28">
        <v>0.87</v>
      </c>
      <c r="P33" s="28">
        <v>1.08</v>
      </c>
      <c r="Q33" s="28">
        <v>5.79</v>
      </c>
      <c r="R33" s="28" t="s">
        <v>242</v>
      </c>
      <c r="S33" s="28">
        <v>1.36</v>
      </c>
      <c r="T33" s="28">
        <v>37.68</v>
      </c>
      <c r="U33" s="28">
        <v>7.7499999999999999E-2</v>
      </c>
      <c r="V33" s="28">
        <v>0.1129</v>
      </c>
      <c r="W33" s="28">
        <v>-7.1900000000000006E-2</v>
      </c>
      <c r="X33" s="28" t="s">
        <v>242</v>
      </c>
      <c r="Y33" s="28">
        <v>-0.41660000000000003</v>
      </c>
      <c r="Z33" s="28">
        <v>2.24E-2</v>
      </c>
      <c r="AA33" s="28">
        <v>2.24E-2</v>
      </c>
      <c r="AB33" s="28">
        <v>-8.6099999999999996E-2</v>
      </c>
    </row>
    <row r="34" spans="1:28" x14ac:dyDescent="0.2">
      <c r="A34" s="23" t="s">
        <v>293</v>
      </c>
      <c r="B34" s="23" t="s">
        <v>294</v>
      </c>
      <c r="C34" s="28">
        <v>96</v>
      </c>
      <c r="D34" s="28">
        <v>0.3165</v>
      </c>
      <c r="E34" s="28">
        <v>0.18690000000000001</v>
      </c>
      <c r="F34" s="28">
        <v>0.218</v>
      </c>
      <c r="G34" s="28">
        <v>0.17899999999999999</v>
      </c>
      <c r="H34" s="28">
        <v>0.83</v>
      </c>
      <c r="I34" s="28">
        <v>0.87</v>
      </c>
      <c r="J34" s="28">
        <v>5.0299999999999997E-2</v>
      </c>
      <c r="K34" s="28">
        <v>0.43109999999999998</v>
      </c>
      <c r="L34" s="28">
        <v>0.03</v>
      </c>
      <c r="M34" s="28">
        <v>0.12889999999999999</v>
      </c>
      <c r="N34" s="28">
        <v>4.6699999999999998E-2</v>
      </c>
      <c r="O34" s="28">
        <v>1.2</v>
      </c>
      <c r="P34" s="28">
        <v>3.56</v>
      </c>
      <c r="Q34" s="28">
        <v>13.92</v>
      </c>
      <c r="R34" s="28">
        <v>18.52</v>
      </c>
      <c r="S34" s="28">
        <v>4.84</v>
      </c>
      <c r="T34" s="28">
        <v>50.68</v>
      </c>
      <c r="U34" s="28">
        <v>0.16839999999999999</v>
      </c>
      <c r="V34" s="28">
        <v>2.9499999999999998E-2</v>
      </c>
      <c r="W34" s="28">
        <v>3.3500000000000002E-2</v>
      </c>
      <c r="X34" s="28">
        <v>0.1171</v>
      </c>
      <c r="Y34" s="28">
        <v>0.17100000000000001</v>
      </c>
      <c r="Z34" s="28">
        <v>0.64710000000000001</v>
      </c>
      <c r="AA34" s="28">
        <v>0.64710000000000001</v>
      </c>
      <c r="AB34" s="28">
        <v>0.18859999999999999</v>
      </c>
    </row>
    <row r="35" spans="1:28" x14ac:dyDescent="0.2">
      <c r="A35" s="23" t="s">
        <v>295</v>
      </c>
      <c r="B35" s="23" t="s">
        <v>296</v>
      </c>
      <c r="C35" s="28">
        <v>52</v>
      </c>
      <c r="D35" s="28">
        <v>4.0599999999999997E-2</v>
      </c>
      <c r="E35" s="28">
        <v>0.1555</v>
      </c>
      <c r="F35" s="28">
        <v>0.2782</v>
      </c>
      <c r="G35" s="28">
        <v>0.14169999999999999</v>
      </c>
      <c r="H35" s="28">
        <v>1.1399999999999999</v>
      </c>
      <c r="I35" s="28">
        <v>1.18</v>
      </c>
      <c r="J35" s="28">
        <v>6.5199999999999994E-2</v>
      </c>
      <c r="K35" s="28">
        <v>0.42870000000000003</v>
      </c>
      <c r="L35" s="28">
        <v>0.03</v>
      </c>
      <c r="M35" s="28">
        <v>8.5500000000000007E-2</v>
      </c>
      <c r="N35" s="28">
        <v>6.1499999999999999E-2</v>
      </c>
      <c r="O35" s="28">
        <v>1.81</v>
      </c>
      <c r="P35" s="28">
        <v>5.14</v>
      </c>
      <c r="Q35" s="28">
        <v>24.76</v>
      </c>
      <c r="R35" s="28">
        <v>32.89</v>
      </c>
      <c r="S35" s="28">
        <v>22.9</v>
      </c>
      <c r="T35" s="28">
        <v>27.25</v>
      </c>
      <c r="U35" s="28">
        <v>-9.0800000000000006E-2</v>
      </c>
      <c r="V35" s="28">
        <v>2.7199999999999998E-2</v>
      </c>
      <c r="W35" s="28">
        <v>1.6999999999999999E-3</v>
      </c>
      <c r="X35" s="28">
        <v>-2.3999999999999998E-3</v>
      </c>
      <c r="Y35" s="28">
        <v>0.50529999999999997</v>
      </c>
      <c r="Z35" s="28">
        <v>0.26829999999999998</v>
      </c>
      <c r="AA35" s="28">
        <v>0.26829999999999998</v>
      </c>
      <c r="AB35" s="28">
        <v>0.1598</v>
      </c>
    </row>
    <row r="36" spans="1:28" x14ac:dyDescent="0.2">
      <c r="A36" s="23" t="s">
        <v>297</v>
      </c>
      <c r="B36" s="23" t="s">
        <v>298</v>
      </c>
      <c r="C36" s="28">
        <v>85</v>
      </c>
      <c r="D36" s="28">
        <v>4.6699999999999998E-2</v>
      </c>
      <c r="E36" s="28">
        <v>7.6999999999999999E-2</v>
      </c>
      <c r="F36" s="28">
        <v>0.1167</v>
      </c>
      <c r="G36" s="28">
        <v>0.25019999999999998</v>
      </c>
      <c r="H36" s="28">
        <v>0.75</v>
      </c>
      <c r="I36" s="28">
        <v>0.97</v>
      </c>
      <c r="J36" s="28">
        <v>5.5100000000000003E-2</v>
      </c>
      <c r="K36" s="28">
        <v>0.41970000000000002</v>
      </c>
      <c r="L36" s="28">
        <v>0.03</v>
      </c>
      <c r="M36" s="28">
        <v>0.31380000000000002</v>
      </c>
      <c r="N36" s="28">
        <v>4.4699999999999997E-2</v>
      </c>
      <c r="O36" s="28">
        <v>1.68</v>
      </c>
      <c r="P36" s="28">
        <v>1.49</v>
      </c>
      <c r="Q36" s="28">
        <v>13.88</v>
      </c>
      <c r="R36" s="28">
        <v>18.78</v>
      </c>
      <c r="S36" s="28">
        <v>3.39</v>
      </c>
      <c r="T36" s="28">
        <v>138.44</v>
      </c>
      <c r="U36" s="28">
        <v>0.15540000000000001</v>
      </c>
      <c r="V36" s="28">
        <v>3.6799999999999999E-2</v>
      </c>
      <c r="W36" s="28">
        <v>5.0799999999999998E-2</v>
      </c>
      <c r="X36" s="28">
        <v>0.63109999999999999</v>
      </c>
      <c r="Y36" s="28">
        <v>9.6699999999999994E-2</v>
      </c>
      <c r="Z36" s="28">
        <v>0.52370000000000005</v>
      </c>
      <c r="AA36" s="28">
        <v>0.52370000000000005</v>
      </c>
      <c r="AB36" s="28">
        <v>7.9000000000000001E-2</v>
      </c>
    </row>
    <row r="37" spans="1:28" x14ac:dyDescent="0.2">
      <c r="A37" s="23" t="s">
        <v>299</v>
      </c>
      <c r="B37" s="23" t="s">
        <v>299</v>
      </c>
      <c r="C37" s="28">
        <v>22</v>
      </c>
      <c r="D37" s="28">
        <v>1.6899999999999998E-2</v>
      </c>
      <c r="E37" s="28">
        <v>1.9900000000000001E-2</v>
      </c>
      <c r="F37" s="28">
        <v>4.6600000000000003E-2</v>
      </c>
      <c r="G37" s="28">
        <v>0.1128</v>
      </c>
      <c r="H37" s="28">
        <v>1.01</v>
      </c>
      <c r="I37" s="28">
        <v>0.96</v>
      </c>
      <c r="J37" s="28">
        <v>5.4399999999999997E-2</v>
      </c>
      <c r="K37" s="28">
        <v>0.54910000000000003</v>
      </c>
      <c r="L37" s="28">
        <v>0.03</v>
      </c>
      <c r="M37" s="28">
        <v>8.6800000000000002E-2</v>
      </c>
      <c r="N37" s="28">
        <v>5.16E-2</v>
      </c>
      <c r="O37" s="28">
        <v>1.82</v>
      </c>
      <c r="P37" s="28">
        <v>1.32</v>
      </c>
      <c r="Q37" s="28">
        <v>18.96</v>
      </c>
      <c r="R37" s="28">
        <v>59.52</v>
      </c>
      <c r="S37" s="28">
        <v>4.26</v>
      </c>
      <c r="T37" s="28">
        <v>14.62</v>
      </c>
      <c r="U37" s="28">
        <v>0.1326</v>
      </c>
      <c r="V37" s="28">
        <v>1.6799999999999999E-2</v>
      </c>
      <c r="W37" s="28">
        <v>9.7000000000000003E-3</v>
      </c>
      <c r="X37" s="28">
        <v>-1.1245000000000001</v>
      </c>
      <c r="Y37" s="28">
        <v>-4.8899999999999999E-2</v>
      </c>
      <c r="Z37" s="28">
        <v>0</v>
      </c>
      <c r="AA37" s="28">
        <v>0</v>
      </c>
      <c r="AB37" s="28">
        <v>2.58E-2</v>
      </c>
    </row>
    <row r="38" spans="1:28" x14ac:dyDescent="0.2">
      <c r="A38" s="23" t="s">
        <v>300</v>
      </c>
      <c r="B38" s="23" t="s">
        <v>301</v>
      </c>
      <c r="C38" s="28">
        <v>116</v>
      </c>
      <c r="D38" s="28">
        <v>9.4E-2</v>
      </c>
      <c r="E38" s="28">
        <v>7.5800000000000006E-2</v>
      </c>
      <c r="F38" s="28">
        <v>0.2298</v>
      </c>
      <c r="G38" s="28">
        <v>0.12939999999999999</v>
      </c>
      <c r="H38" s="28">
        <v>0.94</v>
      </c>
      <c r="I38" s="28">
        <v>1.1200000000000001</v>
      </c>
      <c r="J38" s="28">
        <v>6.2E-2</v>
      </c>
      <c r="K38" s="28">
        <v>0.45889999999999997</v>
      </c>
      <c r="L38" s="28">
        <v>0.03</v>
      </c>
      <c r="M38" s="28">
        <v>0.28439999999999999</v>
      </c>
      <c r="N38" s="28">
        <v>5.0599999999999999E-2</v>
      </c>
      <c r="O38" s="28">
        <v>3.03</v>
      </c>
      <c r="P38" s="28">
        <v>1.43</v>
      </c>
      <c r="Q38" s="28">
        <v>10.7</v>
      </c>
      <c r="R38" s="28">
        <v>17.96</v>
      </c>
      <c r="S38" s="28">
        <v>4</v>
      </c>
      <c r="T38" s="28">
        <v>27.86</v>
      </c>
      <c r="U38" s="28">
        <v>0.12089999999999999</v>
      </c>
      <c r="V38" s="28">
        <v>1.8100000000000002E-2</v>
      </c>
      <c r="W38" s="28">
        <v>-1.2999999999999999E-3</v>
      </c>
      <c r="X38" s="28">
        <v>-0.1658</v>
      </c>
      <c r="Y38" s="28">
        <v>0.13500000000000001</v>
      </c>
      <c r="Z38" s="28">
        <v>0.75570000000000004</v>
      </c>
      <c r="AA38" s="28">
        <v>0.75570000000000004</v>
      </c>
      <c r="AB38" s="28">
        <v>8.0199999999999994E-2</v>
      </c>
    </row>
    <row r="39" spans="1:28" x14ac:dyDescent="0.2">
      <c r="A39" s="23" t="s">
        <v>302</v>
      </c>
      <c r="B39" s="23" t="s">
        <v>303</v>
      </c>
      <c r="C39" s="28">
        <v>93</v>
      </c>
      <c r="D39" s="28">
        <v>3.1699999999999999E-2</v>
      </c>
      <c r="E39" s="28">
        <v>0.21479999999999999</v>
      </c>
      <c r="F39" s="28">
        <v>9.8699999999999996E-2</v>
      </c>
      <c r="G39" s="28">
        <v>0.18129999999999999</v>
      </c>
      <c r="H39" s="28">
        <v>0.75</v>
      </c>
      <c r="I39" s="28">
        <v>0.76</v>
      </c>
      <c r="J39" s="28">
        <v>4.4999999999999998E-2</v>
      </c>
      <c r="K39" s="28">
        <v>0.67759999999999998</v>
      </c>
      <c r="L39" s="28">
        <v>4.0899999999999999E-2</v>
      </c>
      <c r="M39" s="28">
        <v>0.11260000000000001</v>
      </c>
      <c r="N39" s="28">
        <v>4.3299999999999998E-2</v>
      </c>
      <c r="O39" s="28">
        <v>0.46</v>
      </c>
      <c r="P39" s="28">
        <v>4.82</v>
      </c>
      <c r="Q39" s="28">
        <v>10.3</v>
      </c>
      <c r="R39" s="28">
        <v>21.45</v>
      </c>
      <c r="S39" s="28">
        <v>2.19</v>
      </c>
      <c r="T39" s="28">
        <v>86.45</v>
      </c>
      <c r="U39" s="28">
        <v>0.11990000000000001</v>
      </c>
      <c r="V39" s="28">
        <v>0.13</v>
      </c>
      <c r="W39" s="28">
        <v>-8.1900000000000001E-2</v>
      </c>
      <c r="X39" s="28">
        <v>-0.44219999999999998</v>
      </c>
      <c r="Y39" s="28">
        <v>8.2699999999999996E-2</v>
      </c>
      <c r="Z39" s="28">
        <v>0.31909999999999999</v>
      </c>
      <c r="AA39" s="28">
        <v>0.31909999999999999</v>
      </c>
      <c r="AB39" s="28">
        <v>0.21640000000000001</v>
      </c>
    </row>
    <row r="40" spans="1:28" x14ac:dyDescent="0.2">
      <c r="A40" s="23" t="s">
        <v>304</v>
      </c>
      <c r="B40" s="23" t="s">
        <v>305</v>
      </c>
      <c r="C40" s="28">
        <v>101</v>
      </c>
      <c r="D40" s="28">
        <v>6.8500000000000005E-2</v>
      </c>
      <c r="E40" s="28">
        <v>0.128</v>
      </c>
      <c r="F40" s="28">
        <v>0.17530000000000001</v>
      </c>
      <c r="G40" s="28">
        <v>0.25019999999999998</v>
      </c>
      <c r="H40" s="28">
        <v>0.53</v>
      </c>
      <c r="I40" s="28">
        <v>0.64</v>
      </c>
      <c r="J40" s="28">
        <v>3.9300000000000002E-2</v>
      </c>
      <c r="K40" s="28">
        <v>0.3256</v>
      </c>
      <c r="L40" s="28">
        <v>2.58E-2</v>
      </c>
      <c r="M40" s="28">
        <v>0.2482</v>
      </c>
      <c r="N40" s="28">
        <v>3.4200000000000001E-2</v>
      </c>
      <c r="O40" s="28">
        <v>1.48</v>
      </c>
      <c r="P40" s="28">
        <v>2.19</v>
      </c>
      <c r="Q40" s="28">
        <v>12.88</v>
      </c>
      <c r="R40" s="28">
        <v>16.829999999999998</v>
      </c>
      <c r="S40" s="28">
        <v>2.57</v>
      </c>
      <c r="T40" s="28">
        <v>375.19</v>
      </c>
      <c r="U40" s="28">
        <v>5.2699999999999997E-2</v>
      </c>
      <c r="V40" s="28">
        <v>3.2099999999999997E-2</v>
      </c>
      <c r="W40" s="28">
        <v>2.0899999999999998E-2</v>
      </c>
      <c r="X40" s="28">
        <v>0.1512</v>
      </c>
      <c r="Y40" s="28">
        <v>0.1012</v>
      </c>
      <c r="Z40" s="28">
        <v>0.60980000000000001</v>
      </c>
      <c r="AA40" s="28">
        <v>0.60980000000000001</v>
      </c>
      <c r="AB40" s="28">
        <v>0.1295</v>
      </c>
    </row>
    <row r="41" spans="1:28" x14ac:dyDescent="0.2">
      <c r="A41" s="23" t="s">
        <v>306</v>
      </c>
      <c r="B41" s="23" t="s">
        <v>307</v>
      </c>
      <c r="C41" s="28">
        <v>122</v>
      </c>
      <c r="D41" s="28">
        <v>4.2099999999999999E-2</v>
      </c>
      <c r="E41" s="28">
        <v>0.126</v>
      </c>
      <c r="F41" s="28">
        <v>0.22120000000000001</v>
      </c>
      <c r="G41" s="28">
        <v>0.1721</v>
      </c>
      <c r="H41" s="28">
        <v>1</v>
      </c>
      <c r="I41" s="28">
        <v>1.06</v>
      </c>
      <c r="J41" s="28">
        <v>5.9299999999999999E-2</v>
      </c>
      <c r="K41" s="28">
        <v>0.55120000000000002</v>
      </c>
      <c r="L41" s="28">
        <v>0.03</v>
      </c>
      <c r="M41" s="28">
        <v>0.1331</v>
      </c>
      <c r="N41" s="28">
        <v>5.4300000000000001E-2</v>
      </c>
      <c r="O41" s="28">
        <v>1.8</v>
      </c>
      <c r="P41" s="28">
        <v>3.66</v>
      </c>
      <c r="Q41" s="28">
        <v>15.96</v>
      </c>
      <c r="R41" s="28">
        <v>22.83</v>
      </c>
      <c r="S41" s="28">
        <v>6.28</v>
      </c>
      <c r="T41" s="28">
        <v>106.02</v>
      </c>
      <c r="U41" s="28">
        <v>0.21</v>
      </c>
      <c r="V41" s="28">
        <v>3.7900000000000003E-2</v>
      </c>
      <c r="W41" s="28">
        <v>4.4900000000000002E-2</v>
      </c>
      <c r="X41" s="28">
        <v>0.36520000000000002</v>
      </c>
      <c r="Y41" s="28">
        <v>0.1767</v>
      </c>
      <c r="Z41" s="28">
        <v>0.4355</v>
      </c>
      <c r="AA41" s="28">
        <v>0.4355</v>
      </c>
      <c r="AB41" s="28">
        <v>0.12839999999999999</v>
      </c>
    </row>
    <row r="42" spans="1:28" x14ac:dyDescent="0.2">
      <c r="A42" s="23" t="s">
        <v>308</v>
      </c>
      <c r="B42" s="23" t="s">
        <v>309</v>
      </c>
      <c r="C42" s="28">
        <v>17</v>
      </c>
      <c r="D42" s="28">
        <v>2.41E-2</v>
      </c>
      <c r="E42" s="28">
        <v>4.6300000000000001E-2</v>
      </c>
      <c r="F42" s="28">
        <v>0.1467</v>
      </c>
      <c r="G42" s="28">
        <v>0.2442</v>
      </c>
      <c r="H42" s="28">
        <v>0.82</v>
      </c>
      <c r="I42" s="28">
        <v>0.9</v>
      </c>
      <c r="J42" s="28">
        <v>5.1700000000000003E-2</v>
      </c>
      <c r="K42" s="28">
        <v>0.3891</v>
      </c>
      <c r="L42" s="28">
        <v>2.58E-2</v>
      </c>
      <c r="M42" s="28">
        <v>0.1759</v>
      </c>
      <c r="N42" s="28">
        <v>4.5900000000000003E-2</v>
      </c>
      <c r="O42" s="28">
        <v>4.0999999999999996</v>
      </c>
      <c r="P42" s="28">
        <v>0.93</v>
      </c>
      <c r="Q42" s="28">
        <v>12.29</v>
      </c>
      <c r="R42" s="28">
        <v>22.81</v>
      </c>
      <c r="S42" s="28">
        <v>5.43</v>
      </c>
      <c r="T42" s="28">
        <v>22.7</v>
      </c>
      <c r="U42" s="28">
        <v>5.9999999999999995E-4</v>
      </c>
      <c r="V42" s="28">
        <v>2.01E-2</v>
      </c>
      <c r="W42" s="28">
        <v>2.0000000000000001E-4</v>
      </c>
      <c r="X42" s="28">
        <v>-0.42799999999999999</v>
      </c>
      <c r="Y42" s="28">
        <v>0.2064</v>
      </c>
      <c r="Z42" s="28">
        <v>0.36120000000000002</v>
      </c>
      <c r="AA42" s="28">
        <v>0.36120000000000002</v>
      </c>
      <c r="AB42" s="28">
        <v>4.0899999999999999E-2</v>
      </c>
    </row>
    <row r="43" spans="1:28" x14ac:dyDescent="0.2">
      <c r="A43" s="23" t="s">
        <v>310</v>
      </c>
      <c r="B43" s="23" t="s">
        <v>311</v>
      </c>
      <c r="C43" s="28">
        <v>265</v>
      </c>
      <c r="D43" s="28">
        <v>0.13900000000000001</v>
      </c>
      <c r="E43" s="28">
        <v>0.1424</v>
      </c>
      <c r="F43" s="28">
        <v>0.13220000000000001</v>
      </c>
      <c r="G43" s="28">
        <v>0.13639999999999999</v>
      </c>
      <c r="H43" s="28">
        <v>0.8</v>
      </c>
      <c r="I43" s="28">
        <v>0.83</v>
      </c>
      <c r="J43" s="28">
        <v>4.8599999999999997E-2</v>
      </c>
      <c r="K43" s="28">
        <v>0.46189999999999998</v>
      </c>
      <c r="L43" s="28">
        <v>0.03</v>
      </c>
      <c r="M43" s="28">
        <v>9.6600000000000005E-2</v>
      </c>
      <c r="N43" s="28">
        <v>4.6100000000000002E-2</v>
      </c>
      <c r="O43" s="28">
        <v>0.96</v>
      </c>
      <c r="P43" s="28">
        <v>7.42</v>
      </c>
      <c r="Q43" s="28">
        <v>28.53</v>
      </c>
      <c r="R43" s="28">
        <v>49.25</v>
      </c>
      <c r="S43" s="28">
        <v>5.77</v>
      </c>
      <c r="T43" s="28">
        <v>317.98</v>
      </c>
      <c r="U43" s="28">
        <v>0.25159999999999999</v>
      </c>
      <c r="V43" s="28">
        <v>5.1499999999999997E-2</v>
      </c>
      <c r="W43" s="28">
        <v>0.1183</v>
      </c>
      <c r="X43" s="28">
        <v>1.1346000000000001</v>
      </c>
      <c r="Y43" s="28">
        <v>0.1055</v>
      </c>
      <c r="Z43" s="28">
        <v>0.30109999999999998</v>
      </c>
      <c r="AA43" s="28">
        <v>0.30109999999999998</v>
      </c>
      <c r="AB43" s="28">
        <v>0.1409</v>
      </c>
    </row>
    <row r="44" spans="1:28" x14ac:dyDescent="0.2">
      <c r="A44" s="23" t="s">
        <v>312</v>
      </c>
      <c r="B44" s="23" t="s">
        <v>313</v>
      </c>
      <c r="C44" s="28">
        <v>58</v>
      </c>
      <c r="D44" s="28">
        <v>7.7899999999999997E-2</v>
      </c>
      <c r="E44" s="28">
        <v>0.1946</v>
      </c>
      <c r="F44" s="28">
        <v>0.13780000000000001</v>
      </c>
      <c r="G44" s="28">
        <v>0.1671</v>
      </c>
      <c r="H44" s="28">
        <v>0.42</v>
      </c>
      <c r="I44" s="28">
        <v>0.66</v>
      </c>
      <c r="J44" s="28">
        <v>4.0399999999999998E-2</v>
      </c>
      <c r="K44" s="28">
        <v>0.43530000000000002</v>
      </c>
      <c r="L44" s="28">
        <v>0.03</v>
      </c>
      <c r="M44" s="28">
        <v>0.45400000000000001</v>
      </c>
      <c r="N44" s="28">
        <v>3.2000000000000001E-2</v>
      </c>
      <c r="O44" s="28">
        <v>0.75</v>
      </c>
      <c r="P44" s="28">
        <v>2.5099999999999998</v>
      </c>
      <c r="Q44" s="28">
        <v>6.76</v>
      </c>
      <c r="R44" s="28">
        <v>13.12</v>
      </c>
      <c r="S44" s="28">
        <v>1.73</v>
      </c>
      <c r="T44" s="28">
        <v>22.27</v>
      </c>
      <c r="U44" s="28">
        <v>1.18E-2</v>
      </c>
      <c r="V44" s="28">
        <v>0.1263</v>
      </c>
      <c r="W44" s="28">
        <v>-2.3599999999999999E-2</v>
      </c>
      <c r="X44" s="28">
        <v>-2.1899999999999999E-2</v>
      </c>
      <c r="Y44" s="28">
        <v>0.11269999999999999</v>
      </c>
      <c r="Z44" s="28">
        <v>0.51919999999999999</v>
      </c>
      <c r="AA44" s="28">
        <v>0.51919999999999999</v>
      </c>
      <c r="AB44" s="28">
        <v>0.19070000000000001</v>
      </c>
    </row>
    <row r="45" spans="1:28" x14ac:dyDescent="0.2">
      <c r="A45" s="23" t="s">
        <v>314</v>
      </c>
      <c r="B45" s="23" t="s">
        <v>315</v>
      </c>
      <c r="C45" s="28">
        <v>157</v>
      </c>
      <c r="D45" s="28">
        <v>2.8799999999999999E-2</v>
      </c>
      <c r="E45" s="28">
        <v>7.4700000000000003E-2</v>
      </c>
      <c r="F45" s="28">
        <v>0.1108</v>
      </c>
      <c r="G45" s="28">
        <v>0.19850000000000001</v>
      </c>
      <c r="H45" s="28">
        <v>0.86</v>
      </c>
      <c r="I45" s="28">
        <v>0.89</v>
      </c>
      <c r="J45" s="28">
        <v>5.11E-2</v>
      </c>
      <c r="K45" s="28">
        <v>0.43869999999999998</v>
      </c>
      <c r="L45" s="28">
        <v>0.03</v>
      </c>
      <c r="M45" s="28">
        <v>0.1188</v>
      </c>
      <c r="N45" s="28">
        <v>4.7600000000000003E-2</v>
      </c>
      <c r="O45" s="28">
        <v>1.49</v>
      </c>
      <c r="P45" s="28">
        <v>2.54</v>
      </c>
      <c r="Q45" s="28">
        <v>17.52</v>
      </c>
      <c r="R45" s="28">
        <v>32.119999999999997</v>
      </c>
      <c r="S45" s="28">
        <v>4.1399999999999997</v>
      </c>
      <c r="T45" s="28">
        <v>69.760000000000005</v>
      </c>
      <c r="U45" s="28">
        <v>0.20519999999999999</v>
      </c>
      <c r="V45" s="28">
        <v>4.19E-2</v>
      </c>
      <c r="W45" s="28">
        <v>4.2500000000000003E-2</v>
      </c>
      <c r="X45" s="28">
        <v>0.59960000000000002</v>
      </c>
      <c r="Y45" s="28">
        <v>6.6699999999999995E-2</v>
      </c>
      <c r="Z45" s="28">
        <v>0.4148</v>
      </c>
      <c r="AA45" s="28">
        <v>0.4148</v>
      </c>
      <c r="AB45" s="28">
        <v>7.9000000000000001E-2</v>
      </c>
    </row>
    <row r="46" spans="1:28" x14ac:dyDescent="0.2">
      <c r="A46" s="23" t="s">
        <v>316</v>
      </c>
      <c r="B46" s="23" t="s">
        <v>317</v>
      </c>
      <c r="C46" s="28">
        <v>125</v>
      </c>
      <c r="D46" s="28">
        <v>3.44E-2</v>
      </c>
      <c r="E46" s="28">
        <v>0.13070000000000001</v>
      </c>
      <c r="F46" s="28">
        <v>0.2142</v>
      </c>
      <c r="G46" s="28">
        <v>0.21029999999999999</v>
      </c>
      <c r="H46" s="28">
        <v>0.96</v>
      </c>
      <c r="I46" s="28">
        <v>1.05</v>
      </c>
      <c r="J46" s="28">
        <v>5.8799999999999998E-2</v>
      </c>
      <c r="K46" s="28">
        <v>0.34279999999999999</v>
      </c>
      <c r="L46" s="28">
        <v>2.58E-2</v>
      </c>
      <c r="M46" s="28">
        <v>0.16420000000000001</v>
      </c>
      <c r="N46" s="28">
        <v>5.2200000000000003E-2</v>
      </c>
      <c r="O46" s="28">
        <v>1.78</v>
      </c>
      <c r="P46" s="28">
        <v>3.06</v>
      </c>
      <c r="Q46" s="28">
        <v>16.7</v>
      </c>
      <c r="R46" s="28">
        <v>23.08</v>
      </c>
      <c r="S46" s="28">
        <v>4.55</v>
      </c>
      <c r="T46" s="28">
        <v>46.09</v>
      </c>
      <c r="U46" s="28">
        <v>0.2331</v>
      </c>
      <c r="V46" s="28">
        <v>2.4400000000000002E-2</v>
      </c>
      <c r="W46" s="28">
        <v>3.9899999999999998E-2</v>
      </c>
      <c r="X46" s="28">
        <v>0.20619999999999999</v>
      </c>
      <c r="Y46" s="28">
        <v>0.1265</v>
      </c>
      <c r="Z46" s="28">
        <v>0.45369999999999999</v>
      </c>
      <c r="AA46" s="28">
        <v>0.45369999999999999</v>
      </c>
      <c r="AB46" s="28">
        <v>0.1321</v>
      </c>
    </row>
    <row r="47" spans="1:28" x14ac:dyDescent="0.2">
      <c r="A47" s="23" t="s">
        <v>318</v>
      </c>
      <c r="B47" s="23" t="s">
        <v>319</v>
      </c>
      <c r="C47" s="28">
        <v>16</v>
      </c>
      <c r="D47" s="28">
        <v>2.2700000000000001E-2</v>
      </c>
      <c r="E47" s="28">
        <v>0.20399999999999999</v>
      </c>
      <c r="F47" s="28">
        <v>6.7900000000000002E-2</v>
      </c>
      <c r="G47" s="28">
        <v>0.1172</v>
      </c>
      <c r="H47" s="28">
        <v>0.49</v>
      </c>
      <c r="I47" s="28">
        <v>0.74</v>
      </c>
      <c r="J47" s="28">
        <v>4.4200000000000003E-2</v>
      </c>
      <c r="K47" s="28">
        <v>0.18440000000000001</v>
      </c>
      <c r="L47" s="28">
        <v>1.9199999999999998E-2</v>
      </c>
      <c r="M47" s="28">
        <v>0.42759999999999998</v>
      </c>
      <c r="N47" s="28">
        <v>3.1300000000000001E-2</v>
      </c>
      <c r="O47" s="28">
        <v>0.37</v>
      </c>
      <c r="P47" s="28">
        <v>4.1399999999999997</v>
      </c>
      <c r="Q47" s="28">
        <v>12.15</v>
      </c>
      <c r="R47" s="28">
        <v>20.53</v>
      </c>
      <c r="S47" s="28">
        <v>1.84</v>
      </c>
      <c r="T47" s="28">
        <v>18.73</v>
      </c>
      <c r="U47" s="28">
        <v>9.01E-2</v>
      </c>
      <c r="V47" s="28">
        <v>0.3115</v>
      </c>
      <c r="W47" s="28">
        <v>0.19900000000000001</v>
      </c>
      <c r="X47" s="28">
        <v>1.1040000000000001</v>
      </c>
      <c r="Y47" s="28">
        <v>7.4899999999999994E-2</v>
      </c>
      <c r="Z47" s="28">
        <v>1.0089999999999999</v>
      </c>
      <c r="AA47" s="28">
        <v>1.0089999999999999</v>
      </c>
      <c r="AB47" s="28">
        <v>0.20150000000000001</v>
      </c>
    </row>
    <row r="48" spans="1:28" x14ac:dyDescent="0.2">
      <c r="A48" s="23" t="s">
        <v>320</v>
      </c>
      <c r="B48" s="23" t="s">
        <v>321</v>
      </c>
      <c r="C48" s="28">
        <v>287</v>
      </c>
      <c r="D48" s="28">
        <v>0.3266</v>
      </c>
      <c r="E48" s="28">
        <v>0.2402</v>
      </c>
      <c r="F48" s="28">
        <v>0.2031</v>
      </c>
      <c r="G48" s="28">
        <v>0.16300000000000001</v>
      </c>
      <c r="H48" s="28">
        <v>0.84</v>
      </c>
      <c r="I48" s="28">
        <v>0.91</v>
      </c>
      <c r="J48" s="28">
        <v>5.2200000000000003E-2</v>
      </c>
      <c r="K48" s="28">
        <v>0.55449999999999999</v>
      </c>
      <c r="L48" s="28">
        <v>0.03</v>
      </c>
      <c r="M48" s="28">
        <v>0.15379999999999999</v>
      </c>
      <c r="N48" s="28">
        <v>4.7500000000000001E-2</v>
      </c>
      <c r="O48" s="28">
        <v>0.81</v>
      </c>
      <c r="P48" s="28">
        <v>5.55</v>
      </c>
      <c r="Q48" s="28">
        <v>14.32</v>
      </c>
      <c r="R48" s="28">
        <v>22.27</v>
      </c>
      <c r="S48" s="28">
        <v>5.04</v>
      </c>
      <c r="T48" s="28">
        <v>34.54</v>
      </c>
      <c r="U48" s="28">
        <v>0.26229999999999998</v>
      </c>
      <c r="V48" s="28">
        <v>5.0099999999999999E-2</v>
      </c>
      <c r="W48" s="28">
        <v>9.74E-2</v>
      </c>
      <c r="X48" s="28">
        <v>0.48920000000000002</v>
      </c>
      <c r="Y48" s="28">
        <v>0.1898</v>
      </c>
      <c r="Z48" s="28">
        <v>0.60860000000000003</v>
      </c>
      <c r="AA48" s="28">
        <v>0.60860000000000003</v>
      </c>
      <c r="AB48" s="28">
        <v>0.25380000000000003</v>
      </c>
    </row>
    <row r="49" spans="1:28" x14ac:dyDescent="0.2">
      <c r="A49" s="23" t="s">
        <v>322</v>
      </c>
      <c r="B49" s="23" t="s">
        <v>323</v>
      </c>
      <c r="C49" s="28">
        <v>547</v>
      </c>
      <c r="D49" s="28">
        <v>0.32640000000000002</v>
      </c>
      <c r="E49" s="28">
        <v>9.5399999999999999E-2</v>
      </c>
      <c r="F49" s="28">
        <v>6.2199999999999998E-2</v>
      </c>
      <c r="G49" s="28">
        <v>0.1195</v>
      </c>
      <c r="H49" s="28">
        <v>0.85</v>
      </c>
      <c r="I49" s="28">
        <v>0.89</v>
      </c>
      <c r="J49" s="28">
        <v>5.11E-2</v>
      </c>
      <c r="K49" s="28">
        <v>0.501</v>
      </c>
      <c r="L49" s="28">
        <v>0.03</v>
      </c>
      <c r="M49" s="28">
        <v>0.13420000000000001</v>
      </c>
      <c r="N49" s="28">
        <v>4.7199999999999999E-2</v>
      </c>
      <c r="O49" s="28">
        <v>0.48</v>
      </c>
      <c r="P49" s="28">
        <v>8.73</v>
      </c>
      <c r="Q49" s="28">
        <v>14.4</v>
      </c>
      <c r="R49" s="28">
        <v>57.63</v>
      </c>
      <c r="S49" s="28">
        <v>7.18</v>
      </c>
      <c r="T49" s="28">
        <v>480.18</v>
      </c>
      <c r="U49" s="28">
        <v>0.13139999999999999</v>
      </c>
      <c r="V49" s="28">
        <v>3.56E-2</v>
      </c>
      <c r="W49" s="28">
        <v>0.3765</v>
      </c>
      <c r="X49" s="28">
        <v>7.2154999999999996</v>
      </c>
      <c r="Y49" s="28">
        <v>-1.1900000000000001E-2</v>
      </c>
      <c r="Z49" s="28">
        <v>1.2999999999999999E-3</v>
      </c>
      <c r="AA49" s="28">
        <v>1.2999999999999999E-3</v>
      </c>
      <c r="AB49" s="28">
        <v>0.12920000000000001</v>
      </c>
    </row>
    <row r="50" spans="1:28" x14ac:dyDescent="0.2">
      <c r="A50" s="23" t="s">
        <v>324</v>
      </c>
      <c r="B50" s="23" t="s">
        <v>325</v>
      </c>
      <c r="C50" s="28">
        <v>38</v>
      </c>
      <c r="D50" s="28">
        <v>1.01E-2</v>
      </c>
      <c r="E50" s="28">
        <v>9.2600000000000002E-2</v>
      </c>
      <c r="F50" s="28">
        <v>9.8900000000000002E-2</v>
      </c>
      <c r="G50" s="28">
        <v>0.16650000000000001</v>
      </c>
      <c r="H50" s="28">
        <v>1.07</v>
      </c>
      <c r="I50" s="28">
        <v>1.1499999999999999</v>
      </c>
      <c r="J50" s="28">
        <v>6.3500000000000001E-2</v>
      </c>
      <c r="K50" s="28">
        <v>0.55730000000000002</v>
      </c>
      <c r="L50" s="28">
        <v>0.03</v>
      </c>
      <c r="M50" s="28">
        <v>0.19570000000000001</v>
      </c>
      <c r="N50" s="28">
        <v>5.5300000000000002E-2</v>
      </c>
      <c r="O50" s="28">
        <v>1.17</v>
      </c>
      <c r="P50" s="28">
        <v>2.81</v>
      </c>
      <c r="Q50" s="28">
        <v>14.43</v>
      </c>
      <c r="R50" s="28">
        <v>31.21</v>
      </c>
      <c r="S50" s="28">
        <v>2.92</v>
      </c>
      <c r="T50" s="28">
        <v>26.63</v>
      </c>
      <c r="U50" s="28">
        <v>7.4700000000000003E-2</v>
      </c>
      <c r="V50" s="28">
        <v>3.8800000000000001E-2</v>
      </c>
      <c r="W50" s="28">
        <v>2.7E-2</v>
      </c>
      <c r="X50" s="28">
        <v>0.61409999999999998</v>
      </c>
      <c r="Y50" s="28">
        <v>-5.6599999999999998E-2</v>
      </c>
      <c r="Z50" s="28">
        <v>5.9999999999999995E-4</v>
      </c>
      <c r="AA50" s="28">
        <v>5.9999999999999995E-4</v>
      </c>
      <c r="AB50" s="28">
        <v>8.8200000000000001E-2</v>
      </c>
    </row>
    <row r="51" spans="1:28" x14ac:dyDescent="0.2">
      <c r="A51" s="23" t="s">
        <v>326</v>
      </c>
      <c r="B51" s="23" t="s">
        <v>327</v>
      </c>
      <c r="C51" s="28">
        <v>101</v>
      </c>
      <c r="D51" s="28">
        <v>-4.1000000000000003E-3</v>
      </c>
      <c r="E51" s="28">
        <v>0.20610000000000001</v>
      </c>
      <c r="F51" s="28">
        <v>0.14729999999999999</v>
      </c>
      <c r="G51" s="28">
        <v>0.1202</v>
      </c>
      <c r="H51" s="28">
        <v>0.96</v>
      </c>
      <c r="I51" s="28">
        <v>0.96</v>
      </c>
      <c r="J51" s="28">
        <v>5.4600000000000003E-2</v>
      </c>
      <c r="K51" s="28">
        <v>0.62609999999999999</v>
      </c>
      <c r="L51" s="28">
        <v>0.03</v>
      </c>
      <c r="M51" s="28">
        <v>2.5499999999999998E-2</v>
      </c>
      <c r="N51" s="28">
        <v>5.3699999999999998E-2</v>
      </c>
      <c r="O51" s="28">
        <v>0.68</v>
      </c>
      <c r="P51" s="28">
        <v>8.16</v>
      </c>
      <c r="Q51" s="28">
        <v>25.09</v>
      </c>
      <c r="R51" s="28">
        <v>38.04</v>
      </c>
      <c r="S51" s="28">
        <v>6.23</v>
      </c>
      <c r="T51" s="28">
        <v>157.38</v>
      </c>
      <c r="U51" s="28">
        <v>5.4100000000000002E-2</v>
      </c>
      <c r="V51" s="28">
        <v>0.1404</v>
      </c>
      <c r="W51" s="28">
        <v>9.9400000000000002E-2</v>
      </c>
      <c r="X51" s="28">
        <v>0.67800000000000005</v>
      </c>
      <c r="Y51" s="28">
        <v>0.17710000000000001</v>
      </c>
      <c r="Z51" s="28">
        <v>2.5999999999999999E-3</v>
      </c>
      <c r="AA51" s="28">
        <v>2.5999999999999999E-3</v>
      </c>
      <c r="AB51" s="28">
        <v>0.21790000000000001</v>
      </c>
    </row>
    <row r="52" spans="1:28" x14ac:dyDescent="0.2">
      <c r="A52" s="23" t="s">
        <v>328</v>
      </c>
      <c r="B52" s="23" t="s">
        <v>329</v>
      </c>
      <c r="C52" s="28">
        <v>61</v>
      </c>
      <c r="D52" s="28">
        <v>3.5700000000000003E-2</v>
      </c>
      <c r="E52" s="28">
        <v>4.1000000000000002E-2</v>
      </c>
      <c r="F52" s="28">
        <v>0.14849999999999999</v>
      </c>
      <c r="G52" s="28">
        <v>0.21890000000000001</v>
      </c>
      <c r="H52" s="28">
        <v>0.96</v>
      </c>
      <c r="I52" s="28">
        <v>1.06</v>
      </c>
      <c r="J52" s="28">
        <v>5.9200000000000003E-2</v>
      </c>
      <c r="K52" s="28">
        <v>0.4204</v>
      </c>
      <c r="L52" s="28">
        <v>0.03</v>
      </c>
      <c r="M52" s="28">
        <v>0.22020000000000001</v>
      </c>
      <c r="N52" s="28">
        <v>5.0999999999999997E-2</v>
      </c>
      <c r="O52" s="28">
        <v>3.8</v>
      </c>
      <c r="P52" s="28">
        <v>0.9</v>
      </c>
      <c r="Q52" s="28">
        <v>10.85</v>
      </c>
      <c r="R52" s="28">
        <v>19.8</v>
      </c>
      <c r="S52" s="28">
        <v>2.3199999999999998</v>
      </c>
      <c r="T52" s="28">
        <v>34.520000000000003</v>
      </c>
      <c r="U52" s="28">
        <v>0.1794</v>
      </c>
      <c r="V52" s="28">
        <v>1.7000000000000001E-2</v>
      </c>
      <c r="W52" s="28">
        <v>0.1032</v>
      </c>
      <c r="X52" s="28">
        <v>2.8374999999999999</v>
      </c>
      <c r="Y52" s="28">
        <v>2.5399999999999999E-2</v>
      </c>
      <c r="Z52" s="28">
        <v>0.52790000000000004</v>
      </c>
      <c r="AA52" s="28">
        <v>0.52790000000000004</v>
      </c>
      <c r="AB52" s="28">
        <v>4.3099999999999999E-2</v>
      </c>
    </row>
    <row r="53" spans="1:28" x14ac:dyDescent="0.2">
      <c r="A53" s="23" t="s">
        <v>330</v>
      </c>
      <c r="B53" s="23" t="s">
        <v>331</v>
      </c>
      <c r="C53" s="28">
        <v>118</v>
      </c>
      <c r="D53" s="28">
        <v>6.3500000000000001E-2</v>
      </c>
      <c r="E53" s="28">
        <v>7.4399999999999994E-2</v>
      </c>
      <c r="F53" s="28">
        <v>7.9600000000000004E-2</v>
      </c>
      <c r="G53" s="28">
        <v>6.7299999999999999E-2</v>
      </c>
      <c r="H53" s="28">
        <v>0.84</v>
      </c>
      <c r="I53" s="28">
        <v>0.88</v>
      </c>
      <c r="J53" s="28">
        <v>5.0999999999999997E-2</v>
      </c>
      <c r="K53" s="28">
        <v>0.68059999999999998</v>
      </c>
      <c r="L53" s="28">
        <v>4.0899999999999999E-2</v>
      </c>
      <c r="M53" s="28">
        <v>0.13189999999999999</v>
      </c>
      <c r="N53" s="28">
        <v>4.82E-2</v>
      </c>
      <c r="O53" s="28">
        <v>1.07</v>
      </c>
      <c r="P53" s="28">
        <v>6.81</v>
      </c>
      <c r="Q53" s="28">
        <v>36.26</v>
      </c>
      <c r="R53" s="28">
        <v>89.24</v>
      </c>
      <c r="S53" s="28">
        <v>5.49</v>
      </c>
      <c r="T53" s="28">
        <v>1157.1300000000001</v>
      </c>
      <c r="U53" s="28">
        <v>6.4999999999999997E-3</v>
      </c>
      <c r="V53" s="28">
        <v>5.1799999999999999E-2</v>
      </c>
      <c r="W53" s="28">
        <v>2.8E-3</v>
      </c>
      <c r="X53" s="28">
        <v>0.1668</v>
      </c>
      <c r="Y53" s="28">
        <v>-2.87E-2</v>
      </c>
      <c r="Z53" s="28">
        <v>1.1000000000000001E-3</v>
      </c>
      <c r="AA53" s="28">
        <v>1.1000000000000001E-3</v>
      </c>
      <c r="AB53" s="28">
        <v>7.51E-2</v>
      </c>
    </row>
    <row r="54" spans="1:28" x14ac:dyDescent="0.2">
      <c r="A54" s="23" t="s">
        <v>332</v>
      </c>
      <c r="B54" s="23" t="s">
        <v>333</v>
      </c>
      <c r="C54" s="28">
        <v>14</v>
      </c>
      <c r="D54" s="28">
        <v>6.2799999999999995E-2</v>
      </c>
      <c r="E54" s="28">
        <v>3.4799999999999998E-2</v>
      </c>
      <c r="F54" s="28">
        <v>9.6299999999999997E-2</v>
      </c>
      <c r="G54" s="28">
        <v>0.23430000000000001</v>
      </c>
      <c r="H54" s="28">
        <v>0.15</v>
      </c>
      <c r="I54" s="28">
        <v>0.24</v>
      </c>
      <c r="J54" s="28">
        <v>2.07E-2</v>
      </c>
      <c r="K54" s="28">
        <v>0.37719999999999998</v>
      </c>
      <c r="L54" s="28">
        <v>2.58E-2</v>
      </c>
      <c r="M54" s="28">
        <v>0.4854</v>
      </c>
      <c r="N54" s="28">
        <v>1.9800000000000002E-2</v>
      </c>
      <c r="O54" s="28">
        <v>4.1100000000000003</v>
      </c>
      <c r="P54" s="28">
        <v>0.39</v>
      </c>
      <c r="Q54" s="28">
        <v>5.75</v>
      </c>
      <c r="R54" s="28">
        <v>14.31</v>
      </c>
      <c r="S54" s="28">
        <v>2.5099999999999998</v>
      </c>
      <c r="T54" s="28">
        <v>14.41</v>
      </c>
      <c r="U54" s="28">
        <v>-2E-3</v>
      </c>
      <c r="V54" s="28">
        <v>2.29E-2</v>
      </c>
      <c r="W54" s="28">
        <v>1.1000000000000001E-3</v>
      </c>
      <c r="X54" s="28">
        <v>-0.1472</v>
      </c>
      <c r="Y54" s="28">
        <v>0.30630000000000002</v>
      </c>
      <c r="Z54" s="28">
        <v>0.1285</v>
      </c>
      <c r="AA54" s="28">
        <v>0.1285</v>
      </c>
      <c r="AB54" s="28">
        <v>2.7099999999999999E-2</v>
      </c>
    </row>
    <row r="55" spans="1:28" x14ac:dyDescent="0.2">
      <c r="A55" s="23" t="s">
        <v>334</v>
      </c>
      <c r="B55" s="23" t="s">
        <v>335</v>
      </c>
      <c r="C55" s="28">
        <v>18</v>
      </c>
      <c r="D55" s="28">
        <v>0.1201</v>
      </c>
      <c r="E55" s="28">
        <v>1.5599999999999999E-2</v>
      </c>
      <c r="F55" s="28">
        <v>8.8900000000000007E-2</v>
      </c>
      <c r="G55" s="28">
        <v>3.8699999999999998E-2</v>
      </c>
      <c r="H55" s="28">
        <v>0.81</v>
      </c>
      <c r="I55" s="28">
        <v>1.03</v>
      </c>
      <c r="J55" s="28">
        <v>5.8099999999999999E-2</v>
      </c>
      <c r="K55" s="28">
        <v>0.58030000000000004</v>
      </c>
      <c r="L55" s="28">
        <v>0.03</v>
      </c>
      <c r="M55" s="28">
        <v>0.35899999999999999</v>
      </c>
      <c r="N55" s="28">
        <v>4.5100000000000001E-2</v>
      </c>
      <c r="O55" s="28">
        <v>5.82</v>
      </c>
      <c r="P55" s="28">
        <v>0.54</v>
      </c>
      <c r="Q55" s="28">
        <v>15.87</v>
      </c>
      <c r="R55" s="28">
        <v>35.36</v>
      </c>
      <c r="S55" s="28">
        <v>5.0199999999999996</v>
      </c>
      <c r="T55" s="28">
        <v>8.64</v>
      </c>
      <c r="U55" s="28">
        <v>5.3800000000000001E-2</v>
      </c>
      <c r="V55" s="28">
        <v>1.0200000000000001E-2</v>
      </c>
      <c r="W55" s="28">
        <v>2.6100000000000002E-2</v>
      </c>
      <c r="X55" s="28">
        <v>0.87560000000000004</v>
      </c>
      <c r="Y55" s="28">
        <v>-5.0299999999999997E-2</v>
      </c>
      <c r="Z55" s="28">
        <v>2E-3</v>
      </c>
      <c r="AA55" s="28">
        <v>2E-3</v>
      </c>
      <c r="AB55" s="28">
        <v>1.54E-2</v>
      </c>
    </row>
    <row r="56" spans="1:28" x14ac:dyDescent="0.2">
      <c r="A56" s="23" t="s">
        <v>336</v>
      </c>
      <c r="B56" s="23" t="s">
        <v>337</v>
      </c>
      <c r="C56" s="28">
        <v>40</v>
      </c>
      <c r="D56" s="28">
        <v>5.0799999999999998E-2</v>
      </c>
      <c r="E56" s="28">
        <v>7.9799999999999996E-2</v>
      </c>
      <c r="F56" s="28">
        <v>0.1459</v>
      </c>
      <c r="G56" s="28">
        <v>0.18920000000000001</v>
      </c>
      <c r="H56" s="28">
        <v>0.78</v>
      </c>
      <c r="I56" s="28">
        <v>0.88</v>
      </c>
      <c r="J56" s="28">
        <v>5.0999999999999997E-2</v>
      </c>
      <c r="K56" s="28">
        <v>0.4052</v>
      </c>
      <c r="L56" s="28">
        <v>0.03</v>
      </c>
      <c r="M56" s="28">
        <v>0.25409999999999999</v>
      </c>
      <c r="N56" s="28">
        <v>4.36E-2</v>
      </c>
      <c r="O56" s="28">
        <v>1.88</v>
      </c>
      <c r="P56" s="28">
        <v>1.31</v>
      </c>
      <c r="Q56" s="28">
        <v>9.73</v>
      </c>
      <c r="R56" s="28">
        <v>15.82</v>
      </c>
      <c r="S56" s="28">
        <v>2.68</v>
      </c>
      <c r="T56" s="28">
        <v>125.5</v>
      </c>
      <c r="U56" s="28">
        <v>0.106</v>
      </c>
      <c r="V56" s="28">
        <v>2.7400000000000001E-2</v>
      </c>
      <c r="W56" s="28">
        <v>1.37E-2</v>
      </c>
      <c r="X56" s="28">
        <v>-0.26829999999999998</v>
      </c>
      <c r="Y56" s="28">
        <v>0.13370000000000001</v>
      </c>
      <c r="Z56" s="28">
        <v>0.2717</v>
      </c>
      <c r="AA56" s="28">
        <v>0.2717</v>
      </c>
      <c r="AB56" s="28">
        <v>8.1600000000000006E-2</v>
      </c>
    </row>
    <row r="57" spans="1:28" x14ac:dyDescent="0.2">
      <c r="A57" s="23" t="s">
        <v>338</v>
      </c>
      <c r="B57" s="23" t="s">
        <v>339</v>
      </c>
      <c r="C57" s="28">
        <v>66</v>
      </c>
      <c r="D57" s="28">
        <v>-3.8E-3</v>
      </c>
      <c r="E57" s="28">
        <v>-0.10340000000000001</v>
      </c>
      <c r="F57" s="28">
        <v>-5.2400000000000002E-2</v>
      </c>
      <c r="G57" s="28">
        <v>0.2334</v>
      </c>
      <c r="H57" s="28">
        <v>1.19</v>
      </c>
      <c r="I57" s="28">
        <v>1.56</v>
      </c>
      <c r="J57" s="28">
        <v>8.3199999999999996E-2</v>
      </c>
      <c r="K57" s="28">
        <v>0.43690000000000001</v>
      </c>
      <c r="L57" s="28">
        <v>0.03</v>
      </c>
      <c r="M57" s="28">
        <v>0.36399999999999999</v>
      </c>
      <c r="N57" s="28">
        <v>6.0900000000000003E-2</v>
      </c>
      <c r="O57" s="28">
        <v>0.38</v>
      </c>
      <c r="P57" s="28">
        <v>8.08</v>
      </c>
      <c r="Q57" s="28">
        <v>38.32</v>
      </c>
      <c r="R57" s="28" t="s">
        <v>242</v>
      </c>
      <c r="S57" s="28">
        <v>6.1</v>
      </c>
      <c r="T57" s="28">
        <v>64.17</v>
      </c>
      <c r="U57" s="28">
        <v>0.15670000000000001</v>
      </c>
      <c r="V57" s="28">
        <v>0.18509999999999999</v>
      </c>
      <c r="W57" s="28">
        <v>0.13</v>
      </c>
      <c r="X57" s="28" t="s">
        <v>242</v>
      </c>
      <c r="Y57" s="28">
        <v>-0.30399999999999999</v>
      </c>
      <c r="Z57" s="28">
        <v>5.0000000000000001E-3</v>
      </c>
      <c r="AA57" s="28">
        <v>5.0000000000000001E-3</v>
      </c>
      <c r="AB57" s="28">
        <v>-0.1401</v>
      </c>
    </row>
    <row r="58" spans="1:28" x14ac:dyDescent="0.2">
      <c r="A58" s="23" t="s">
        <v>340</v>
      </c>
      <c r="B58" s="23" t="s">
        <v>341</v>
      </c>
      <c r="C58" s="28">
        <v>77</v>
      </c>
      <c r="D58" s="28">
        <v>0.12189999999999999</v>
      </c>
      <c r="E58" s="28">
        <v>0.23400000000000001</v>
      </c>
      <c r="F58" s="28">
        <v>0.24340000000000001</v>
      </c>
      <c r="G58" s="28">
        <v>0.20349999999999999</v>
      </c>
      <c r="H58" s="28">
        <v>0.97</v>
      </c>
      <c r="I58" s="28">
        <v>1.01</v>
      </c>
      <c r="J58" s="28">
        <v>5.7000000000000002E-2</v>
      </c>
      <c r="K58" s="28">
        <v>0.42370000000000002</v>
      </c>
      <c r="L58" s="28">
        <v>0.03</v>
      </c>
      <c r="M58" s="28">
        <v>8.5599999999999996E-2</v>
      </c>
      <c r="N58" s="28">
        <v>5.3999999999999999E-2</v>
      </c>
      <c r="O58" s="28">
        <v>1.1399999999999999</v>
      </c>
      <c r="P58" s="28">
        <v>10.54</v>
      </c>
      <c r="Q58" s="28">
        <v>31.7</v>
      </c>
      <c r="R58" s="28">
        <v>44.48</v>
      </c>
      <c r="S58" s="28">
        <v>8.3800000000000008</v>
      </c>
      <c r="T58" s="28">
        <v>71.13</v>
      </c>
      <c r="U58" s="28">
        <v>6.7900000000000002E-2</v>
      </c>
      <c r="V58" s="28">
        <v>3.0700000000000002E-2</v>
      </c>
      <c r="W58" s="28">
        <v>-1.5E-3</v>
      </c>
      <c r="X58" s="28">
        <v>-7.0800000000000002E-2</v>
      </c>
      <c r="Y58" s="28">
        <v>0.14349999999999999</v>
      </c>
      <c r="Z58" s="28">
        <v>0.3241</v>
      </c>
      <c r="AA58" s="28">
        <v>0.3241</v>
      </c>
      <c r="AB58" s="28">
        <v>0.2361</v>
      </c>
    </row>
    <row r="59" spans="1:28" x14ac:dyDescent="0.2">
      <c r="A59" s="23" t="s">
        <v>342</v>
      </c>
      <c r="B59" s="23" t="s">
        <v>343</v>
      </c>
      <c r="C59" s="28">
        <v>129</v>
      </c>
      <c r="D59" s="28">
        <v>0.1754</v>
      </c>
      <c r="E59" s="28">
        <v>4.9700000000000001E-2</v>
      </c>
      <c r="F59" s="28">
        <v>0.35270000000000001</v>
      </c>
      <c r="G59" s="28">
        <v>0.24049999999999999</v>
      </c>
      <c r="H59" s="28">
        <v>0.74</v>
      </c>
      <c r="I59" s="28">
        <v>0.85</v>
      </c>
      <c r="J59" s="28">
        <v>4.9500000000000002E-2</v>
      </c>
      <c r="K59" s="28">
        <v>0.44490000000000002</v>
      </c>
      <c r="L59" s="28">
        <v>0.03</v>
      </c>
      <c r="M59" s="28">
        <v>0.2407</v>
      </c>
      <c r="N59" s="28">
        <v>4.2799999999999998E-2</v>
      </c>
      <c r="O59" s="28">
        <v>7.72</v>
      </c>
      <c r="P59" s="28">
        <v>0.68</v>
      </c>
      <c r="Q59" s="28">
        <v>10.36</v>
      </c>
      <c r="R59" s="28">
        <v>13.63</v>
      </c>
      <c r="S59" s="28">
        <v>2.91</v>
      </c>
      <c r="T59" s="28">
        <v>104.18</v>
      </c>
      <c r="U59" s="28">
        <v>-5.33E-2</v>
      </c>
      <c r="V59" s="28">
        <v>7.4000000000000003E-3</v>
      </c>
      <c r="W59" s="28">
        <v>6.7999999999999996E-3</v>
      </c>
      <c r="X59" s="28">
        <v>0.19570000000000001</v>
      </c>
      <c r="Y59" s="28">
        <v>0.16600000000000001</v>
      </c>
      <c r="Z59" s="28">
        <v>0.25629999999999997</v>
      </c>
      <c r="AA59" s="28">
        <v>0.25629999999999997</v>
      </c>
      <c r="AB59" s="28">
        <v>4.8399999999999999E-2</v>
      </c>
    </row>
    <row r="60" spans="1:28" x14ac:dyDescent="0.2">
      <c r="A60" s="23" t="s">
        <v>344</v>
      </c>
      <c r="B60" s="23" t="s">
        <v>345</v>
      </c>
      <c r="C60" s="28">
        <v>32</v>
      </c>
      <c r="D60" s="28">
        <v>4.24E-2</v>
      </c>
      <c r="E60" s="28">
        <v>0.10199999999999999</v>
      </c>
      <c r="F60" s="28">
        <v>0.1318</v>
      </c>
      <c r="G60" s="28">
        <v>0.20319999999999999</v>
      </c>
      <c r="H60" s="28">
        <v>0.81</v>
      </c>
      <c r="I60" s="28">
        <v>1.28</v>
      </c>
      <c r="J60" s="28">
        <v>6.9900000000000004E-2</v>
      </c>
      <c r="K60" s="28">
        <v>0.49209999999999998</v>
      </c>
      <c r="L60" s="28">
        <v>0.03</v>
      </c>
      <c r="M60" s="28">
        <v>0.4985</v>
      </c>
      <c r="N60" s="28">
        <v>4.5900000000000003E-2</v>
      </c>
      <c r="O60" s="28">
        <v>1.51</v>
      </c>
      <c r="P60" s="28">
        <v>1.54</v>
      </c>
      <c r="Q60" s="28">
        <v>8.9700000000000006</v>
      </c>
      <c r="R60" s="28">
        <v>16.18</v>
      </c>
      <c r="S60" s="28">
        <v>5.78</v>
      </c>
      <c r="T60" s="28">
        <v>44.61</v>
      </c>
      <c r="U60" s="28">
        <v>3.3700000000000001E-2</v>
      </c>
      <c r="V60" s="28">
        <v>5.9200000000000003E-2</v>
      </c>
      <c r="W60" s="28">
        <v>1.3899999999999999E-2</v>
      </c>
      <c r="X60" s="28">
        <v>-0.26100000000000001</v>
      </c>
      <c r="Y60" s="28">
        <v>0.70640000000000003</v>
      </c>
      <c r="Z60" s="28">
        <v>0.1091</v>
      </c>
      <c r="AA60" s="28">
        <v>0.1091</v>
      </c>
      <c r="AB60" s="28">
        <v>9.4899999999999998E-2</v>
      </c>
    </row>
    <row r="61" spans="1:28" x14ac:dyDescent="0.2">
      <c r="A61" s="23" t="s">
        <v>346</v>
      </c>
      <c r="B61" s="23" t="s">
        <v>347</v>
      </c>
      <c r="C61" s="28">
        <v>278</v>
      </c>
      <c r="D61" s="28">
        <v>-1.17E-2</v>
      </c>
      <c r="E61" s="28">
        <v>-0.214</v>
      </c>
      <c r="F61" s="28">
        <v>-6.3299999999999995E-2</v>
      </c>
      <c r="G61" s="28">
        <v>0.28589999999999999</v>
      </c>
      <c r="H61" s="28">
        <v>0.81</v>
      </c>
      <c r="I61" s="28">
        <v>1.18</v>
      </c>
      <c r="J61" s="28">
        <v>6.5199999999999994E-2</v>
      </c>
      <c r="K61" s="28">
        <v>0.56279999999999997</v>
      </c>
      <c r="L61" s="28">
        <v>0.03</v>
      </c>
      <c r="M61" s="28">
        <v>0.41889999999999999</v>
      </c>
      <c r="N61" s="28">
        <v>4.7E-2</v>
      </c>
      <c r="O61" s="28">
        <v>0.31</v>
      </c>
      <c r="P61" s="28">
        <v>2.91</v>
      </c>
      <c r="Q61" s="28">
        <v>6.39</v>
      </c>
      <c r="R61" s="28" t="s">
        <v>242</v>
      </c>
      <c r="S61" s="28">
        <v>1.21</v>
      </c>
      <c r="T61" s="28">
        <v>26.13</v>
      </c>
      <c r="U61" s="28">
        <v>1.29E-2</v>
      </c>
      <c r="V61" s="28">
        <v>0.38819999999999999</v>
      </c>
      <c r="W61" s="28">
        <v>-0.22850000000000001</v>
      </c>
      <c r="X61" s="28" t="s">
        <v>242</v>
      </c>
      <c r="Y61" s="28">
        <v>-0.37090000000000001</v>
      </c>
      <c r="Z61" s="28">
        <v>1.6799999999999999E-2</v>
      </c>
      <c r="AA61" s="28">
        <v>1.6799999999999999E-2</v>
      </c>
      <c r="AB61" s="28">
        <v>-0.20699999999999999</v>
      </c>
    </row>
    <row r="62" spans="1:28" x14ac:dyDescent="0.2">
      <c r="A62" s="23" t="s">
        <v>348</v>
      </c>
      <c r="B62" s="23" t="s">
        <v>349</v>
      </c>
      <c r="C62" s="28">
        <v>57</v>
      </c>
      <c r="D62" s="28">
        <v>0.1074</v>
      </c>
      <c r="E62" s="28">
        <v>0.17430000000000001</v>
      </c>
      <c r="F62" s="28">
        <v>9.01E-2</v>
      </c>
      <c r="G62" s="28">
        <v>8.7400000000000005E-2</v>
      </c>
      <c r="H62" s="28">
        <v>0.6</v>
      </c>
      <c r="I62" s="28">
        <v>1.1599999999999999</v>
      </c>
      <c r="J62" s="28">
        <v>6.3899999999999998E-2</v>
      </c>
      <c r="K62" s="28">
        <v>0.4078</v>
      </c>
      <c r="L62" s="28">
        <v>0.03</v>
      </c>
      <c r="M62" s="28">
        <v>0.56459999999999999</v>
      </c>
      <c r="N62" s="28">
        <v>4.02E-2</v>
      </c>
      <c r="O62" s="28">
        <v>0.54</v>
      </c>
      <c r="P62" s="28">
        <v>2.42</v>
      </c>
      <c r="Q62" s="28">
        <v>9.1199999999999992</v>
      </c>
      <c r="R62" s="28">
        <v>13.95</v>
      </c>
      <c r="S62" s="28">
        <v>1.24</v>
      </c>
      <c r="T62" s="28">
        <v>37.08</v>
      </c>
      <c r="U62" s="28">
        <v>6.9699999999999998E-2</v>
      </c>
      <c r="V62" s="28">
        <v>0.1348</v>
      </c>
      <c r="W62" s="28">
        <v>5.0099999999999999E-2</v>
      </c>
      <c r="X62" s="28">
        <v>0.36480000000000001</v>
      </c>
      <c r="Y62" s="28">
        <v>1.2800000000000001E-2</v>
      </c>
      <c r="Z62" s="28">
        <v>4.6600000000000003E-2</v>
      </c>
      <c r="AA62" s="28">
        <v>4.6600000000000003E-2</v>
      </c>
      <c r="AB62" s="28">
        <v>0.17380000000000001</v>
      </c>
    </row>
    <row r="63" spans="1:28" x14ac:dyDescent="0.2">
      <c r="A63" s="23" t="s">
        <v>350</v>
      </c>
      <c r="B63" s="23" t="s">
        <v>351</v>
      </c>
      <c r="C63" s="28">
        <v>135</v>
      </c>
      <c r="D63" s="28">
        <v>-6.8599999999999994E-2</v>
      </c>
      <c r="E63" s="28">
        <v>4.7000000000000002E-3</v>
      </c>
      <c r="F63" s="28">
        <v>1.29E-2</v>
      </c>
      <c r="G63" s="28">
        <v>4.3700000000000003E-2</v>
      </c>
      <c r="H63" s="28">
        <v>0.84</v>
      </c>
      <c r="I63" s="28">
        <v>1.21</v>
      </c>
      <c r="J63" s="28">
        <v>6.6299999999999998E-2</v>
      </c>
      <c r="K63" s="28">
        <v>0.50270000000000004</v>
      </c>
      <c r="L63" s="28">
        <v>0.03</v>
      </c>
      <c r="M63" s="28">
        <v>0.43640000000000001</v>
      </c>
      <c r="N63" s="28">
        <v>4.6899999999999997E-2</v>
      </c>
      <c r="O63" s="28">
        <v>1.88</v>
      </c>
      <c r="P63" s="28">
        <v>0.73</v>
      </c>
      <c r="Q63" s="28">
        <v>11.35</v>
      </c>
      <c r="R63" s="28">
        <v>95.78</v>
      </c>
      <c r="S63" s="28">
        <v>1.3</v>
      </c>
      <c r="T63" s="28">
        <v>31.78</v>
      </c>
      <c r="U63" s="28">
        <v>0.11409999999999999</v>
      </c>
      <c r="V63" s="28">
        <v>4.1399999999999999E-2</v>
      </c>
      <c r="W63" s="28">
        <v>-8.0000000000000004E-4</v>
      </c>
      <c r="X63" s="28">
        <v>-0.39829999999999999</v>
      </c>
      <c r="Y63" s="28">
        <v>-0.26629999999999998</v>
      </c>
      <c r="Z63" s="28">
        <v>3.0000000000000001E-3</v>
      </c>
      <c r="AA63" s="28">
        <v>3.0000000000000001E-3</v>
      </c>
      <c r="AB63" s="28">
        <v>7.0000000000000001E-3</v>
      </c>
    </row>
    <row r="64" spans="1:28" x14ac:dyDescent="0.2">
      <c r="A64" s="23" t="s">
        <v>352</v>
      </c>
      <c r="B64" s="23" t="s">
        <v>353</v>
      </c>
      <c r="C64" s="28">
        <v>21</v>
      </c>
      <c r="D64" s="28">
        <v>5.5100000000000003E-2</v>
      </c>
      <c r="E64" s="28">
        <v>0.1283</v>
      </c>
      <c r="F64" s="28">
        <v>9.2600000000000002E-2</v>
      </c>
      <c r="G64" s="28">
        <v>0.193</v>
      </c>
      <c r="H64" s="28">
        <v>0.56000000000000005</v>
      </c>
      <c r="I64" s="28">
        <v>0.68</v>
      </c>
      <c r="J64" s="28">
        <v>4.1500000000000002E-2</v>
      </c>
      <c r="K64" s="28">
        <v>0.30120000000000002</v>
      </c>
      <c r="L64" s="28">
        <v>2.58E-2</v>
      </c>
      <c r="M64" s="28">
        <v>0.2898</v>
      </c>
      <c r="N64" s="28">
        <v>3.49E-2</v>
      </c>
      <c r="O64" s="28">
        <v>0.82</v>
      </c>
      <c r="P64" s="28">
        <v>1.97</v>
      </c>
      <c r="Q64" s="28">
        <v>9.99</v>
      </c>
      <c r="R64" s="28">
        <v>15.01</v>
      </c>
      <c r="S64" s="28">
        <v>1.45</v>
      </c>
      <c r="T64" s="28">
        <v>50.36</v>
      </c>
      <c r="U64" s="28">
        <v>-0.15440000000000001</v>
      </c>
      <c r="V64" s="28">
        <v>7.7999999999999996E-3</v>
      </c>
      <c r="W64" s="28">
        <v>-3.1699999999999999E-2</v>
      </c>
      <c r="X64" s="28">
        <v>-0.44469999999999998</v>
      </c>
      <c r="Y64" s="28">
        <v>1.49E-2</v>
      </c>
      <c r="Z64" s="28">
        <v>1.9278999999999999</v>
      </c>
      <c r="AA64" s="28">
        <v>1.9278999999999999</v>
      </c>
      <c r="AB64" s="28">
        <v>0.12920000000000001</v>
      </c>
    </row>
    <row r="65" spans="1:28" x14ac:dyDescent="0.2">
      <c r="A65" s="23" t="s">
        <v>354</v>
      </c>
      <c r="B65" s="23" t="s">
        <v>355</v>
      </c>
      <c r="C65" s="28">
        <v>55</v>
      </c>
      <c r="D65" s="28">
        <v>3.09E-2</v>
      </c>
      <c r="E65" s="28">
        <v>0.1085</v>
      </c>
      <c r="F65" s="28">
        <v>0.1074</v>
      </c>
      <c r="G65" s="28">
        <v>0.1946</v>
      </c>
      <c r="H65" s="28">
        <v>0.57999999999999996</v>
      </c>
      <c r="I65" s="28">
        <v>0.64</v>
      </c>
      <c r="J65" s="28">
        <v>3.9699999999999999E-2</v>
      </c>
      <c r="K65" s="28">
        <v>0.2293</v>
      </c>
      <c r="L65" s="28">
        <v>1.9199999999999998E-2</v>
      </c>
      <c r="M65" s="28">
        <v>0.20039999999999999</v>
      </c>
      <c r="N65" s="28">
        <v>3.4500000000000003E-2</v>
      </c>
      <c r="O65" s="28">
        <v>1.1100000000000001</v>
      </c>
      <c r="P65" s="28">
        <v>1.44</v>
      </c>
      <c r="Q65" s="28">
        <v>9.69</v>
      </c>
      <c r="R65" s="28">
        <v>12.33</v>
      </c>
      <c r="S65" s="28">
        <v>1.54</v>
      </c>
      <c r="T65" s="28">
        <v>22.12</v>
      </c>
      <c r="U65" s="28">
        <v>-0.52800000000000002</v>
      </c>
      <c r="V65" s="28">
        <v>1.06E-2</v>
      </c>
      <c r="W65" s="28">
        <v>3.7000000000000002E-3</v>
      </c>
      <c r="X65" s="28">
        <v>0.13469999999999999</v>
      </c>
      <c r="Y65" s="28">
        <v>9.1899999999999996E-2</v>
      </c>
      <c r="Z65" s="28">
        <v>0.38390000000000002</v>
      </c>
      <c r="AA65" s="28">
        <v>0.38390000000000002</v>
      </c>
      <c r="AB65" s="28">
        <v>0.1089</v>
      </c>
    </row>
    <row r="66" spans="1:28" x14ac:dyDescent="0.2">
      <c r="A66" s="23" t="s">
        <v>356</v>
      </c>
      <c r="B66" s="23" t="s">
        <v>357</v>
      </c>
      <c r="C66" s="28">
        <v>2</v>
      </c>
      <c r="D66" s="28">
        <v>9.11E-2</v>
      </c>
      <c r="E66" s="28">
        <v>4.2700000000000002E-2</v>
      </c>
      <c r="F66" s="28">
        <v>3.7400000000000003E-2</v>
      </c>
      <c r="G66" s="28">
        <v>0.25140000000000001</v>
      </c>
      <c r="H66" s="28">
        <v>1.1299999999999999</v>
      </c>
      <c r="I66" s="28">
        <v>1.1599999999999999</v>
      </c>
      <c r="J66" s="28">
        <v>6.4199999999999993E-2</v>
      </c>
      <c r="K66" s="28">
        <v>0.25230000000000002</v>
      </c>
      <c r="L66" s="28">
        <v>2.58E-2</v>
      </c>
      <c r="M66" s="28">
        <v>0.27810000000000001</v>
      </c>
      <c r="N66" s="28">
        <v>5.16E-2</v>
      </c>
      <c r="O66" s="28">
        <v>1.02</v>
      </c>
      <c r="P66" s="28">
        <v>0.81</v>
      </c>
      <c r="Q66" s="28">
        <v>12.92</v>
      </c>
      <c r="R66" s="28">
        <v>19.18</v>
      </c>
      <c r="S66" s="28">
        <v>0.75</v>
      </c>
      <c r="T66" s="28">
        <v>15.2</v>
      </c>
      <c r="U66" s="28">
        <v>-7.5999999999999998E-2</v>
      </c>
      <c r="V66" s="28">
        <v>2.8999999999999998E-3</v>
      </c>
      <c r="W66" s="28">
        <v>-9.7999999999999997E-3</v>
      </c>
      <c r="X66" s="28">
        <v>-0.1714</v>
      </c>
      <c r="Y66" s="28">
        <v>2.4199999999999999E-2</v>
      </c>
      <c r="Z66" s="28">
        <v>0.36149999999999999</v>
      </c>
      <c r="AA66" s="28">
        <v>0.36149999999999999</v>
      </c>
      <c r="AB66" s="28">
        <v>4.2099999999999999E-2</v>
      </c>
    </row>
    <row r="67" spans="1:28" x14ac:dyDescent="0.2">
      <c r="A67" s="23" t="s">
        <v>358</v>
      </c>
      <c r="B67" s="23" t="s">
        <v>359</v>
      </c>
      <c r="C67" s="28">
        <v>36</v>
      </c>
      <c r="D67" s="28">
        <v>0.19339999999999999</v>
      </c>
      <c r="E67" s="28">
        <v>5.0599999999999999E-2</v>
      </c>
      <c r="F67" s="28">
        <v>6.6600000000000006E-2</v>
      </c>
      <c r="G67" s="28">
        <v>5.9700000000000003E-2</v>
      </c>
      <c r="H67" s="28">
        <v>0.75</v>
      </c>
      <c r="I67" s="28">
        <v>0.77</v>
      </c>
      <c r="J67" s="28">
        <v>4.58E-2</v>
      </c>
      <c r="K67" s="28">
        <v>0.32729999999999998</v>
      </c>
      <c r="L67" s="28">
        <v>2.58E-2</v>
      </c>
      <c r="M67" s="28">
        <v>8.1100000000000005E-2</v>
      </c>
      <c r="N67" s="28">
        <v>4.36E-2</v>
      </c>
      <c r="O67" s="28">
        <v>1.01</v>
      </c>
      <c r="P67" s="28">
        <v>15.67</v>
      </c>
      <c r="Q67" s="28">
        <v>19.21</v>
      </c>
      <c r="R67" s="28">
        <v>95.44</v>
      </c>
      <c r="S67" s="28">
        <v>15.19</v>
      </c>
      <c r="T67" s="28">
        <v>67.89</v>
      </c>
      <c r="U67" s="28">
        <v>0.10580000000000001</v>
      </c>
      <c r="V67" s="28">
        <v>7.9000000000000001E-2</v>
      </c>
      <c r="W67" s="28">
        <v>6.9500000000000006E-2</v>
      </c>
      <c r="X67" s="28">
        <v>2.1724000000000001</v>
      </c>
      <c r="Y67" s="28">
        <v>-0.1123</v>
      </c>
      <c r="Z67" s="28">
        <v>1.8E-3</v>
      </c>
      <c r="AA67" s="28">
        <v>1.8E-3</v>
      </c>
      <c r="AB67" s="28">
        <v>6.7799999999999999E-2</v>
      </c>
    </row>
    <row r="68" spans="1:28" x14ac:dyDescent="0.2">
      <c r="A68" s="23" t="s">
        <v>360</v>
      </c>
      <c r="B68" s="23" t="s">
        <v>361</v>
      </c>
      <c r="C68" s="28">
        <v>75</v>
      </c>
      <c r="D68" s="28">
        <v>9.2799999999999994E-2</v>
      </c>
      <c r="E68" s="28">
        <v>5.74E-2</v>
      </c>
      <c r="F68" s="28">
        <v>0.1104</v>
      </c>
      <c r="G68" s="28">
        <v>0.1613</v>
      </c>
      <c r="H68" s="28">
        <v>1.1399999999999999</v>
      </c>
      <c r="I68" s="28">
        <v>1.1599999999999999</v>
      </c>
      <c r="J68" s="28">
        <v>6.4199999999999993E-2</v>
      </c>
      <c r="K68" s="28">
        <v>0.52869999999999995</v>
      </c>
      <c r="L68" s="28">
        <v>0.03</v>
      </c>
      <c r="M68" s="28">
        <v>6.6699999999999995E-2</v>
      </c>
      <c r="N68" s="28">
        <v>6.1400000000000003E-2</v>
      </c>
      <c r="O68" s="28">
        <v>1.8</v>
      </c>
      <c r="P68" s="28">
        <v>4.71</v>
      </c>
      <c r="Q68" s="28">
        <v>33.19</v>
      </c>
      <c r="R68" s="28">
        <v>83.83</v>
      </c>
      <c r="S68" s="28">
        <v>18.62</v>
      </c>
      <c r="T68" s="28">
        <v>131.27000000000001</v>
      </c>
      <c r="U68" s="28">
        <v>-3.6999999999999998E-2</v>
      </c>
      <c r="V68" s="28">
        <v>7.7200000000000005E-2</v>
      </c>
      <c r="W68" s="28">
        <v>3.5499999999999997E-2</v>
      </c>
      <c r="X68" s="28">
        <v>0.55369999999999997</v>
      </c>
      <c r="Y68" s="28">
        <v>0.27050000000000002</v>
      </c>
      <c r="Z68" s="28">
        <v>5.6599999999999998E-2</v>
      </c>
      <c r="AA68" s="28">
        <v>5.6599999999999998E-2</v>
      </c>
      <c r="AB68" s="28">
        <v>6.2899999999999998E-2</v>
      </c>
    </row>
    <row r="69" spans="1:28" x14ac:dyDescent="0.2">
      <c r="A69" s="23" t="s">
        <v>362</v>
      </c>
      <c r="B69" s="23" t="s">
        <v>363</v>
      </c>
      <c r="C69" s="28">
        <v>39</v>
      </c>
      <c r="D69" s="28">
        <v>9.5100000000000004E-2</v>
      </c>
      <c r="E69" s="28">
        <v>4.1999999999999997E-3</v>
      </c>
      <c r="F69" s="28">
        <v>0</v>
      </c>
      <c r="G69" s="28">
        <v>0.2218</v>
      </c>
      <c r="H69" s="28">
        <v>0.57999999999999996</v>
      </c>
      <c r="I69" s="28">
        <v>1.1299999999999999</v>
      </c>
      <c r="J69" s="28">
        <v>6.2700000000000006E-2</v>
      </c>
      <c r="K69" s="28">
        <v>0.35899999999999999</v>
      </c>
      <c r="L69" s="28">
        <v>2.58E-2</v>
      </c>
      <c r="M69" s="28">
        <v>0.68640000000000001</v>
      </c>
      <c r="N69" s="28">
        <v>3.2599999999999997E-2</v>
      </c>
      <c r="O69" s="28">
        <v>0.22</v>
      </c>
      <c r="P69" s="28">
        <v>4.93</v>
      </c>
      <c r="Q69" s="28" t="s">
        <v>242</v>
      </c>
      <c r="R69" s="28" t="s">
        <v>242</v>
      </c>
      <c r="S69" s="28">
        <v>1.52</v>
      </c>
      <c r="T69" s="28">
        <v>82.2</v>
      </c>
      <c r="U69" s="28" t="s">
        <v>242</v>
      </c>
      <c r="V69" s="28">
        <v>5.2400000000000002E-2</v>
      </c>
      <c r="W69" s="28">
        <v>2.7400000000000001E-2</v>
      </c>
      <c r="X69" s="28" t="s">
        <v>242</v>
      </c>
      <c r="Y69" s="28">
        <v>0.1208</v>
      </c>
      <c r="Z69" s="28">
        <v>0.2084</v>
      </c>
      <c r="AA69" s="28">
        <v>0.2084</v>
      </c>
      <c r="AB69" s="28">
        <v>-1E-4</v>
      </c>
    </row>
    <row r="70" spans="1:28" x14ac:dyDescent="0.2">
      <c r="A70" s="23" t="s">
        <v>364</v>
      </c>
      <c r="B70" s="23" t="s">
        <v>365</v>
      </c>
      <c r="C70" s="28">
        <v>69</v>
      </c>
      <c r="D70" s="28">
        <v>2.6200000000000001E-2</v>
      </c>
      <c r="E70" s="28">
        <v>6.8099999999999994E-2</v>
      </c>
      <c r="F70" s="28">
        <v>8.6499999999999994E-2</v>
      </c>
      <c r="G70" s="28">
        <v>0.22559999999999999</v>
      </c>
      <c r="H70" s="28">
        <v>0.77</v>
      </c>
      <c r="I70" s="28">
        <v>0.87</v>
      </c>
      <c r="J70" s="28">
        <v>5.0200000000000002E-2</v>
      </c>
      <c r="K70" s="28">
        <v>0.56399999999999995</v>
      </c>
      <c r="L70" s="28">
        <v>0.03</v>
      </c>
      <c r="M70" s="28">
        <v>0.1968</v>
      </c>
      <c r="N70" s="28">
        <v>4.4600000000000001E-2</v>
      </c>
      <c r="O70" s="28">
        <v>1.42</v>
      </c>
      <c r="P70" s="28">
        <v>3.73</v>
      </c>
      <c r="Q70" s="28">
        <v>22.59</v>
      </c>
      <c r="R70" s="28">
        <v>52.06</v>
      </c>
      <c r="S70" s="28">
        <v>10.37</v>
      </c>
      <c r="T70" s="28">
        <v>155.38999999999999</v>
      </c>
      <c r="U70" s="28">
        <v>0.15659999999999999</v>
      </c>
      <c r="V70" s="28">
        <v>4.5600000000000002E-2</v>
      </c>
      <c r="W70" s="28">
        <v>0.1138</v>
      </c>
      <c r="X70" s="28">
        <v>2.0678000000000001</v>
      </c>
      <c r="Y70" s="28">
        <v>-7.1900000000000006E-2</v>
      </c>
      <c r="Z70" s="28">
        <v>7.1000000000000004E-3</v>
      </c>
      <c r="AA70" s="28">
        <v>7.1000000000000004E-3</v>
      </c>
      <c r="AB70" s="28">
        <v>6.4399999999999999E-2</v>
      </c>
    </row>
    <row r="71" spans="1:28" x14ac:dyDescent="0.2">
      <c r="A71" s="23" t="s">
        <v>366</v>
      </c>
      <c r="B71" s="23" t="s">
        <v>367</v>
      </c>
      <c r="C71" s="28">
        <v>15</v>
      </c>
      <c r="D71" s="28">
        <v>5.1000000000000004E-3</v>
      </c>
      <c r="E71" s="28">
        <v>5.8400000000000001E-2</v>
      </c>
      <c r="F71" s="28">
        <v>8.3799999999999999E-2</v>
      </c>
      <c r="G71" s="28">
        <v>0.2109</v>
      </c>
      <c r="H71" s="28">
        <v>0.96</v>
      </c>
      <c r="I71" s="28">
        <v>1.1399999999999999</v>
      </c>
      <c r="J71" s="28">
        <v>6.3E-2</v>
      </c>
      <c r="K71" s="28">
        <v>0.35670000000000002</v>
      </c>
      <c r="L71" s="28">
        <v>2.58E-2</v>
      </c>
      <c r="M71" s="28">
        <v>0.27289999999999998</v>
      </c>
      <c r="N71" s="28">
        <v>5.0999999999999997E-2</v>
      </c>
      <c r="O71" s="28">
        <v>1.48</v>
      </c>
      <c r="P71" s="28">
        <v>0.94</v>
      </c>
      <c r="Q71" s="28">
        <v>7.71</v>
      </c>
      <c r="R71" s="28">
        <v>15.65</v>
      </c>
      <c r="S71" s="28">
        <v>1.61</v>
      </c>
      <c r="T71" s="28">
        <v>20.05</v>
      </c>
      <c r="U71" s="28">
        <v>0.154</v>
      </c>
      <c r="V71" s="28">
        <v>3.85E-2</v>
      </c>
      <c r="W71" s="28">
        <v>-2.8999999999999998E-3</v>
      </c>
      <c r="X71" s="28">
        <v>-0.27910000000000001</v>
      </c>
      <c r="Y71" s="28">
        <v>4.6899999999999997E-2</v>
      </c>
      <c r="Z71" s="28">
        <v>1.1752</v>
      </c>
      <c r="AA71" s="28">
        <v>1.1752</v>
      </c>
      <c r="AB71" s="28">
        <v>6.0100000000000001E-2</v>
      </c>
    </row>
    <row r="72" spans="1:28" x14ac:dyDescent="0.2">
      <c r="A72" s="23" t="s">
        <v>368</v>
      </c>
      <c r="B72" s="23" t="s">
        <v>369</v>
      </c>
      <c r="C72" s="28">
        <v>3</v>
      </c>
      <c r="D72" s="28">
        <v>-1.24E-2</v>
      </c>
      <c r="E72" s="28">
        <v>-4.2700000000000002E-2</v>
      </c>
      <c r="F72" s="28">
        <v>-2.3300000000000001E-2</v>
      </c>
      <c r="G72" s="28">
        <v>0.25629999999999997</v>
      </c>
      <c r="H72" s="28">
        <v>0.99</v>
      </c>
      <c r="I72" s="28">
        <v>1.26</v>
      </c>
      <c r="J72" s="28">
        <v>6.88E-2</v>
      </c>
      <c r="K72" s="28">
        <v>0.26390000000000002</v>
      </c>
      <c r="L72" s="28">
        <v>2.58E-2</v>
      </c>
      <c r="M72" s="28">
        <v>0.30599999999999999</v>
      </c>
      <c r="N72" s="28">
        <v>5.3499999999999999E-2</v>
      </c>
      <c r="O72" s="28">
        <v>0.64</v>
      </c>
      <c r="P72" s="28">
        <v>1.54</v>
      </c>
      <c r="Q72" s="28">
        <v>10.77</v>
      </c>
      <c r="R72" s="28" t="s">
        <v>242</v>
      </c>
      <c r="S72" s="28">
        <v>1.05</v>
      </c>
      <c r="T72" s="28">
        <v>52.5</v>
      </c>
      <c r="U72" s="28">
        <v>5.3900000000000003E-2</v>
      </c>
      <c r="V72" s="28">
        <v>0.111</v>
      </c>
      <c r="W72" s="28">
        <v>-6.7299999999999999E-2</v>
      </c>
      <c r="X72" s="28" t="s">
        <v>242</v>
      </c>
      <c r="Y72" s="28">
        <v>-6.1899999999999997E-2</v>
      </c>
      <c r="Z72" s="28">
        <v>4.48E-2</v>
      </c>
      <c r="AA72" s="28">
        <v>4.48E-2</v>
      </c>
      <c r="AB72" s="28">
        <v>-3.9600000000000003E-2</v>
      </c>
    </row>
    <row r="73" spans="1:28" x14ac:dyDescent="0.2">
      <c r="A73" s="23" t="s">
        <v>370</v>
      </c>
      <c r="B73" s="23" t="s">
        <v>371</v>
      </c>
      <c r="C73" s="28">
        <v>11</v>
      </c>
      <c r="D73" s="28">
        <v>3.1E-2</v>
      </c>
      <c r="E73" s="28">
        <v>5.11E-2</v>
      </c>
      <c r="F73" s="28">
        <v>3.7400000000000003E-2</v>
      </c>
      <c r="G73" s="28">
        <v>0.24390000000000001</v>
      </c>
      <c r="H73" s="28">
        <v>0.74</v>
      </c>
      <c r="I73" s="28">
        <v>1.04</v>
      </c>
      <c r="J73" s="28">
        <v>5.8200000000000002E-2</v>
      </c>
      <c r="K73" s="28">
        <v>0.29830000000000001</v>
      </c>
      <c r="L73" s="28">
        <v>2.58E-2</v>
      </c>
      <c r="M73" s="28">
        <v>0.38329999999999997</v>
      </c>
      <c r="N73" s="28">
        <v>4.3099999999999999E-2</v>
      </c>
      <c r="O73" s="28">
        <v>0.68</v>
      </c>
      <c r="P73" s="28">
        <v>1.74</v>
      </c>
      <c r="Q73" s="28">
        <v>10.67</v>
      </c>
      <c r="R73" s="28">
        <v>30.64</v>
      </c>
      <c r="S73" s="28">
        <v>1.1299999999999999</v>
      </c>
      <c r="T73" s="28">
        <v>49.99</v>
      </c>
      <c r="U73" s="28">
        <v>8.5699999999999998E-2</v>
      </c>
      <c r="V73" s="28">
        <v>9.7299999999999998E-2</v>
      </c>
      <c r="W73" s="28">
        <v>7.0999999999999994E-2</v>
      </c>
      <c r="X73" s="28">
        <v>1.2447999999999999</v>
      </c>
      <c r="Y73" s="28">
        <v>-5.7000000000000002E-2</v>
      </c>
      <c r="Z73" s="28">
        <v>1.6000000000000001E-3</v>
      </c>
      <c r="AA73" s="28">
        <v>1.6000000000000001E-3</v>
      </c>
      <c r="AB73" s="28">
        <v>5.6599999999999998E-2</v>
      </c>
    </row>
    <row r="74" spans="1:28" x14ac:dyDescent="0.2">
      <c r="A74" s="23" t="s">
        <v>372</v>
      </c>
      <c r="B74" s="23" t="s">
        <v>373</v>
      </c>
      <c r="C74" s="28">
        <v>16</v>
      </c>
      <c r="D74" s="28">
        <v>6.5299999999999997E-2</v>
      </c>
      <c r="E74" s="28">
        <v>0.12479999999999999</v>
      </c>
      <c r="F74" s="28">
        <v>0.1022</v>
      </c>
      <c r="G74" s="28">
        <v>0.22650000000000001</v>
      </c>
      <c r="H74" s="28">
        <v>0.39</v>
      </c>
      <c r="I74" s="28">
        <v>0.53</v>
      </c>
      <c r="J74" s="28">
        <v>3.44E-2</v>
      </c>
      <c r="K74" s="28">
        <v>0.39779999999999999</v>
      </c>
      <c r="L74" s="28">
        <v>2.58E-2</v>
      </c>
      <c r="M74" s="28">
        <v>0.35299999999999998</v>
      </c>
      <c r="N74" s="28">
        <v>2.8899999999999999E-2</v>
      </c>
      <c r="O74" s="28">
        <v>0.84</v>
      </c>
      <c r="P74" s="28">
        <v>3.67</v>
      </c>
      <c r="Q74" s="28">
        <v>10.14</v>
      </c>
      <c r="R74" s="28">
        <v>29.55</v>
      </c>
      <c r="S74" s="28">
        <v>2.36</v>
      </c>
      <c r="T74" s="28">
        <v>24.68</v>
      </c>
      <c r="U74" s="28">
        <v>0.1099</v>
      </c>
      <c r="V74" s="28">
        <v>0.15329999999999999</v>
      </c>
      <c r="W74" s="28">
        <v>3.5200000000000002E-2</v>
      </c>
      <c r="X74" s="28">
        <v>1.6819999999999999</v>
      </c>
      <c r="Y74" s="28">
        <v>8.9099999999999999E-2</v>
      </c>
      <c r="Z74" s="28">
        <v>3.04E-2</v>
      </c>
      <c r="AA74" s="28">
        <v>3.04E-2</v>
      </c>
      <c r="AB74" s="28">
        <v>0.1265</v>
      </c>
    </row>
    <row r="75" spans="1:28" x14ac:dyDescent="0.2">
      <c r="A75" s="23" t="s">
        <v>374</v>
      </c>
      <c r="B75" s="23" t="s">
        <v>375</v>
      </c>
      <c r="C75" s="28">
        <v>22</v>
      </c>
      <c r="D75" s="28">
        <v>7.7999999999999996E-3</v>
      </c>
      <c r="E75" s="28">
        <v>7.4999999999999997E-2</v>
      </c>
      <c r="F75" s="28">
        <v>0.12839999999999999</v>
      </c>
      <c r="G75" s="28">
        <v>0.24</v>
      </c>
      <c r="H75" s="28">
        <v>0.83</v>
      </c>
      <c r="I75" s="28">
        <v>1</v>
      </c>
      <c r="J75" s="28">
        <v>5.6500000000000002E-2</v>
      </c>
      <c r="K75" s="28">
        <v>0.31109999999999999</v>
      </c>
      <c r="L75" s="28">
        <v>2.58E-2</v>
      </c>
      <c r="M75" s="28">
        <v>0.32350000000000001</v>
      </c>
      <c r="N75" s="28">
        <v>4.4299999999999999E-2</v>
      </c>
      <c r="O75" s="28">
        <v>1.97</v>
      </c>
      <c r="P75" s="28">
        <v>1.1200000000000001</v>
      </c>
      <c r="Q75" s="28">
        <v>8.82</v>
      </c>
      <c r="R75" s="28">
        <v>14.77</v>
      </c>
      <c r="S75" s="28">
        <v>2.6</v>
      </c>
      <c r="T75" s="28">
        <v>33.03</v>
      </c>
      <c r="U75" s="28">
        <v>6.6600000000000006E-2</v>
      </c>
      <c r="V75" s="28">
        <v>2.81E-2</v>
      </c>
      <c r="W75" s="28">
        <v>3.7000000000000002E-3</v>
      </c>
      <c r="X75" s="28">
        <v>-0.1066</v>
      </c>
      <c r="Y75" s="28">
        <v>6.3600000000000004E-2</v>
      </c>
      <c r="Z75" s="28">
        <v>0.91769999999999996</v>
      </c>
      <c r="AA75" s="28">
        <v>0.91769999999999996</v>
      </c>
      <c r="AB75" s="28">
        <v>7.51E-2</v>
      </c>
    </row>
    <row r="76" spans="1:28" x14ac:dyDescent="0.2">
      <c r="A76" s="23" t="s">
        <v>376</v>
      </c>
      <c r="B76" s="23" t="s">
        <v>377</v>
      </c>
      <c r="C76" s="28">
        <v>26</v>
      </c>
      <c r="D76" s="28">
        <v>2.52E-2</v>
      </c>
      <c r="E76" s="28">
        <v>9.6600000000000005E-2</v>
      </c>
      <c r="F76" s="28">
        <v>0.1225</v>
      </c>
      <c r="G76" s="28">
        <v>0.25380000000000003</v>
      </c>
      <c r="H76" s="28">
        <v>0.68</v>
      </c>
      <c r="I76" s="28">
        <v>0.92</v>
      </c>
      <c r="J76" s="28">
        <v>5.28E-2</v>
      </c>
      <c r="K76" s="28">
        <v>0.29220000000000002</v>
      </c>
      <c r="L76" s="28">
        <v>2.58E-2</v>
      </c>
      <c r="M76" s="28">
        <v>0.3553</v>
      </c>
      <c r="N76" s="28">
        <v>4.07E-2</v>
      </c>
      <c r="O76" s="28">
        <v>1.47</v>
      </c>
      <c r="P76" s="28">
        <v>1.72</v>
      </c>
      <c r="Q76" s="28">
        <v>10.34</v>
      </c>
      <c r="R76" s="28">
        <v>17.48</v>
      </c>
      <c r="S76" s="28">
        <v>3.76</v>
      </c>
      <c r="T76" s="28">
        <v>24.25</v>
      </c>
      <c r="U76" s="28">
        <v>7.2300000000000003E-2</v>
      </c>
      <c r="V76" s="28">
        <v>5.3400000000000003E-2</v>
      </c>
      <c r="W76" s="28">
        <v>2.18E-2</v>
      </c>
      <c r="X76" s="28">
        <v>0.22770000000000001</v>
      </c>
      <c r="Y76" s="28">
        <v>9.7600000000000006E-2</v>
      </c>
      <c r="Z76" s="28">
        <v>0.64939999999999998</v>
      </c>
      <c r="AA76" s="28">
        <v>0.64939999999999998</v>
      </c>
      <c r="AB76" s="28">
        <v>9.8599999999999993E-2</v>
      </c>
    </row>
    <row r="77" spans="1:28" x14ac:dyDescent="0.2">
      <c r="A77" s="23" t="s">
        <v>378</v>
      </c>
      <c r="B77" s="23" t="s">
        <v>379</v>
      </c>
      <c r="C77" s="28">
        <v>86</v>
      </c>
      <c r="D77" s="28">
        <v>7.8799999999999995E-2</v>
      </c>
      <c r="E77" s="28">
        <v>0.1192</v>
      </c>
      <c r="F77" s="28">
        <v>0.19189999999999999</v>
      </c>
      <c r="G77" s="28">
        <v>0.20680000000000001</v>
      </c>
      <c r="H77" s="28">
        <v>0.82</v>
      </c>
      <c r="I77" s="28">
        <v>0.95</v>
      </c>
      <c r="J77" s="28">
        <v>5.4300000000000001E-2</v>
      </c>
      <c r="K77" s="28">
        <v>0.50429999999999997</v>
      </c>
      <c r="L77" s="28">
        <v>0.03</v>
      </c>
      <c r="M77" s="28">
        <v>0.20130000000000001</v>
      </c>
      <c r="N77" s="28">
        <v>4.7800000000000002E-2</v>
      </c>
      <c r="O77" s="28">
        <v>1.63</v>
      </c>
      <c r="P77" s="28">
        <v>3.34</v>
      </c>
      <c r="Q77" s="28">
        <v>14.98</v>
      </c>
      <c r="R77" s="28">
        <v>27.42</v>
      </c>
      <c r="S77" s="28">
        <v>4.68</v>
      </c>
      <c r="T77" s="28">
        <v>549.58000000000004</v>
      </c>
      <c r="U77" s="28">
        <v>9.5600000000000004E-2</v>
      </c>
      <c r="V77" s="28">
        <v>7.4899999999999994E-2</v>
      </c>
      <c r="W77" s="28">
        <v>2.8299999999999999E-2</v>
      </c>
      <c r="X77" s="28">
        <v>0.22500000000000001</v>
      </c>
      <c r="Y77" s="28">
        <v>6.2100000000000002E-2</v>
      </c>
      <c r="Z77" s="28">
        <v>0.9476</v>
      </c>
      <c r="AA77" s="28">
        <v>0.9476</v>
      </c>
      <c r="AB77" s="28">
        <v>0.121</v>
      </c>
    </row>
    <row r="78" spans="1:28" x14ac:dyDescent="0.2">
      <c r="A78" s="23" t="s">
        <v>380</v>
      </c>
      <c r="B78" s="23" t="s">
        <v>381</v>
      </c>
      <c r="C78" s="28">
        <v>61</v>
      </c>
      <c r="D78" s="28">
        <v>2.1000000000000001E-2</v>
      </c>
      <c r="E78" s="28">
        <v>4.1300000000000003E-2</v>
      </c>
      <c r="F78" s="28">
        <v>7.9699999999999993E-2</v>
      </c>
      <c r="G78" s="28">
        <v>0.10489999999999999</v>
      </c>
      <c r="H78" s="28">
        <v>0.76</v>
      </c>
      <c r="I78" s="28">
        <v>0.92</v>
      </c>
      <c r="J78" s="28">
        <v>5.28E-2</v>
      </c>
      <c r="K78" s="28">
        <v>0.34720000000000001</v>
      </c>
      <c r="L78" s="28">
        <v>2.58E-2</v>
      </c>
      <c r="M78" s="28">
        <v>0.28970000000000001</v>
      </c>
      <c r="N78" s="28">
        <v>4.2900000000000001E-2</v>
      </c>
      <c r="O78" s="28">
        <v>2.0499999999999998</v>
      </c>
      <c r="P78" s="28">
        <v>1.56</v>
      </c>
      <c r="Q78" s="28">
        <v>14.82</v>
      </c>
      <c r="R78" s="28">
        <v>32.31</v>
      </c>
      <c r="S78" s="28">
        <v>3.21</v>
      </c>
      <c r="T78" s="28">
        <v>56.83</v>
      </c>
      <c r="U78" s="28">
        <v>0.1401</v>
      </c>
      <c r="V78" s="28">
        <v>1.2200000000000001E-2</v>
      </c>
      <c r="W78" s="28">
        <v>-6.4000000000000003E-3</v>
      </c>
      <c r="X78" s="28">
        <v>-0.93679999999999997</v>
      </c>
      <c r="Y78" s="28">
        <v>4.7100000000000003E-2</v>
      </c>
      <c r="Z78" s="28">
        <v>0.39079999999999998</v>
      </c>
      <c r="AA78" s="28">
        <v>0.39079999999999998</v>
      </c>
      <c r="AB78" s="28">
        <v>4.07E-2</v>
      </c>
    </row>
    <row r="79" spans="1:28" x14ac:dyDescent="0.2">
      <c r="A79" s="23" t="s">
        <v>382</v>
      </c>
      <c r="B79" s="23" t="s">
        <v>383</v>
      </c>
      <c r="C79" s="28">
        <v>29</v>
      </c>
      <c r="D79" s="28">
        <v>3.0999999999999999E-3</v>
      </c>
      <c r="E79" s="28">
        <v>5.6399999999999999E-2</v>
      </c>
      <c r="F79" s="28">
        <v>0.1048</v>
      </c>
      <c r="G79" s="28">
        <v>0.2379</v>
      </c>
      <c r="H79" s="28">
        <v>1.1100000000000001</v>
      </c>
      <c r="I79" s="28">
        <v>1.41</v>
      </c>
      <c r="J79" s="28">
        <v>7.5800000000000006E-2</v>
      </c>
      <c r="K79" s="28">
        <v>0.37469999999999998</v>
      </c>
      <c r="L79" s="28">
        <v>2.58E-2</v>
      </c>
      <c r="M79" s="28">
        <v>0.35070000000000001</v>
      </c>
      <c r="N79" s="28">
        <v>5.5800000000000002E-2</v>
      </c>
      <c r="O79" s="28">
        <v>2.09</v>
      </c>
      <c r="P79" s="28">
        <v>1.17</v>
      </c>
      <c r="Q79" s="28">
        <v>9.77</v>
      </c>
      <c r="R79" s="28">
        <v>21.76</v>
      </c>
      <c r="S79" s="28">
        <v>2.0699999999999998</v>
      </c>
      <c r="T79" s="28">
        <v>48.94</v>
      </c>
      <c r="U79" s="28">
        <v>0.11600000000000001</v>
      </c>
      <c r="V79" s="28">
        <v>2.69E-2</v>
      </c>
      <c r="W79" s="28">
        <v>5.5999999999999999E-3</v>
      </c>
      <c r="X79" s="28">
        <v>-4.9099999999999998E-2</v>
      </c>
      <c r="Y79" s="28">
        <v>-0.14180000000000001</v>
      </c>
      <c r="Z79" s="28">
        <v>5.4000000000000003E-3</v>
      </c>
      <c r="AA79" s="28">
        <v>5.4000000000000003E-3</v>
      </c>
      <c r="AB79" s="28">
        <v>5.3100000000000001E-2</v>
      </c>
    </row>
    <row r="80" spans="1:28" x14ac:dyDescent="0.2">
      <c r="A80" s="23" t="s">
        <v>384</v>
      </c>
      <c r="B80" s="23" t="s">
        <v>385</v>
      </c>
      <c r="C80" s="28">
        <v>6</v>
      </c>
      <c r="D80" s="28">
        <v>-1.47E-2</v>
      </c>
      <c r="E80" s="28">
        <v>0.39129999999999998</v>
      </c>
      <c r="F80" s="28">
        <v>0.12970000000000001</v>
      </c>
      <c r="G80" s="28">
        <v>0.23119999999999999</v>
      </c>
      <c r="H80" s="28">
        <v>0.74</v>
      </c>
      <c r="I80" s="28">
        <v>0.84</v>
      </c>
      <c r="J80" s="28">
        <v>4.9200000000000001E-2</v>
      </c>
      <c r="K80" s="28">
        <v>0.16830000000000001</v>
      </c>
      <c r="L80" s="28">
        <v>1.9199999999999998E-2</v>
      </c>
      <c r="M80" s="28">
        <v>0.18390000000000001</v>
      </c>
      <c r="N80" s="28">
        <v>4.2700000000000002E-2</v>
      </c>
      <c r="O80" s="28">
        <v>0.4</v>
      </c>
      <c r="P80" s="28">
        <v>8.1</v>
      </c>
      <c r="Q80" s="28">
        <v>15.46</v>
      </c>
      <c r="R80" s="28">
        <v>20.93</v>
      </c>
      <c r="S80" s="28">
        <v>5.82</v>
      </c>
      <c r="T80" s="28">
        <v>28.55</v>
      </c>
      <c r="U80" s="28">
        <v>1.6500000000000001E-2</v>
      </c>
      <c r="V80" s="28">
        <v>0.1636</v>
      </c>
      <c r="W80" s="28">
        <v>4.4499999999999998E-2</v>
      </c>
      <c r="X80" s="28">
        <v>0.1283</v>
      </c>
      <c r="Y80" s="28">
        <v>0.2147</v>
      </c>
      <c r="Z80" s="28">
        <v>0.4103</v>
      </c>
      <c r="AA80" s="28">
        <v>0.4103</v>
      </c>
      <c r="AB80" s="28">
        <v>0.38690000000000002</v>
      </c>
    </row>
    <row r="81" spans="1:28" x14ac:dyDescent="0.2">
      <c r="A81" s="23" t="s">
        <v>386</v>
      </c>
      <c r="B81" s="23" t="s">
        <v>387</v>
      </c>
      <c r="C81" s="28">
        <v>11</v>
      </c>
      <c r="D81" s="28">
        <v>9.1999999999999998E-2</v>
      </c>
      <c r="E81" s="28">
        <v>6.93E-2</v>
      </c>
      <c r="F81" s="28">
        <v>1.9599999999999999E-2</v>
      </c>
      <c r="G81" s="28">
        <v>0.185</v>
      </c>
      <c r="H81" s="28">
        <v>0.76</v>
      </c>
      <c r="I81" s="28">
        <v>0.78</v>
      </c>
      <c r="J81" s="28">
        <v>4.6199999999999998E-2</v>
      </c>
      <c r="K81" s="28">
        <v>0.2099</v>
      </c>
      <c r="L81" s="28">
        <v>1.9199999999999998E-2</v>
      </c>
      <c r="M81" s="28">
        <v>0.2261</v>
      </c>
      <c r="N81" s="28">
        <v>3.8899999999999997E-2</v>
      </c>
      <c r="O81" s="28">
        <v>0.33</v>
      </c>
      <c r="P81" s="28">
        <v>6.81</v>
      </c>
      <c r="Q81" s="28">
        <v>25.25</v>
      </c>
      <c r="R81" s="28">
        <v>78.400000000000006</v>
      </c>
      <c r="S81" s="28">
        <v>1.19</v>
      </c>
      <c r="T81" s="28">
        <v>52.41</v>
      </c>
      <c r="U81" s="28">
        <v>3.0101</v>
      </c>
      <c r="V81" s="28">
        <v>2.5700000000000001E-2</v>
      </c>
      <c r="W81" s="28">
        <v>-2.9899999999999999E-2</v>
      </c>
      <c r="X81" s="28">
        <v>4.9744000000000002</v>
      </c>
      <c r="Y81" s="28">
        <v>0.02</v>
      </c>
      <c r="Z81" s="28">
        <v>0.67610000000000003</v>
      </c>
      <c r="AA81" s="28">
        <v>0.67610000000000003</v>
      </c>
      <c r="AB81" s="28">
        <v>6.3700000000000007E-2</v>
      </c>
    </row>
    <row r="82" spans="1:28" x14ac:dyDescent="0.2">
      <c r="A82" s="23" t="s">
        <v>388</v>
      </c>
      <c r="B82" s="23" t="s">
        <v>389</v>
      </c>
      <c r="C82" s="28">
        <v>25</v>
      </c>
      <c r="D82" s="28">
        <v>-0.19919999999999999</v>
      </c>
      <c r="E82" s="28">
        <v>-3.6400000000000002E-2</v>
      </c>
      <c r="F82" s="28">
        <v>-1.41E-2</v>
      </c>
      <c r="G82" s="28">
        <v>0.2732</v>
      </c>
      <c r="H82" s="28">
        <v>0.56000000000000005</v>
      </c>
      <c r="I82" s="28">
        <v>0.85</v>
      </c>
      <c r="J82" s="28">
        <v>4.9399999999999999E-2</v>
      </c>
      <c r="K82" s="28">
        <v>0.60699999999999998</v>
      </c>
      <c r="L82" s="28">
        <v>0.03</v>
      </c>
      <c r="M82" s="28">
        <v>0.4864</v>
      </c>
      <c r="N82" s="28">
        <v>3.5999999999999997E-2</v>
      </c>
      <c r="O82" s="28">
        <v>0.22</v>
      </c>
      <c r="P82" s="28">
        <v>6</v>
      </c>
      <c r="Q82" s="28">
        <v>47.57</v>
      </c>
      <c r="R82" s="28" t="s">
        <v>242</v>
      </c>
      <c r="S82" s="28">
        <v>1.19</v>
      </c>
      <c r="T82" s="28">
        <v>15.96</v>
      </c>
      <c r="U82" s="28">
        <v>-3.4099999999999998E-2</v>
      </c>
      <c r="V82" s="28">
        <v>0.33829999999999999</v>
      </c>
      <c r="W82" s="28">
        <v>0.21690000000000001</v>
      </c>
      <c r="X82" s="28" t="s">
        <v>242</v>
      </c>
      <c r="Y82" s="28">
        <v>-1.2999999999999999E-3</v>
      </c>
      <c r="Z82" s="28">
        <v>0</v>
      </c>
      <c r="AA82" s="28">
        <v>0</v>
      </c>
      <c r="AB82" s="28">
        <v>-6.7000000000000004E-2</v>
      </c>
    </row>
    <row r="83" spans="1:28" x14ac:dyDescent="0.2">
      <c r="A83" s="23" t="s">
        <v>390</v>
      </c>
      <c r="B83" s="23" t="s">
        <v>391</v>
      </c>
      <c r="C83" s="28">
        <v>238</v>
      </c>
      <c r="D83" s="28">
        <v>6.8099999999999994E-2</v>
      </c>
      <c r="E83" s="28">
        <v>0.23230000000000001</v>
      </c>
      <c r="F83" s="28">
        <v>2.0500000000000001E-2</v>
      </c>
      <c r="G83" s="28">
        <v>2.47E-2</v>
      </c>
      <c r="H83" s="28">
        <v>0.79</v>
      </c>
      <c r="I83" s="28">
        <v>1.21</v>
      </c>
      <c r="J83" s="28">
        <v>6.6199999999999995E-2</v>
      </c>
      <c r="K83" s="28">
        <v>0.32400000000000001</v>
      </c>
      <c r="L83" s="28">
        <v>2.58E-2</v>
      </c>
      <c r="M83" s="28">
        <v>0.43419999999999997</v>
      </c>
      <c r="N83" s="28">
        <v>4.5600000000000002E-2</v>
      </c>
      <c r="O83" s="28">
        <v>0.11</v>
      </c>
      <c r="P83" s="28">
        <v>12.85</v>
      </c>
      <c r="Q83" s="28">
        <v>22.72</v>
      </c>
      <c r="R83" s="28">
        <v>61.43</v>
      </c>
      <c r="S83" s="28">
        <v>2.11</v>
      </c>
      <c r="T83" s="28">
        <v>63</v>
      </c>
      <c r="U83" s="28">
        <v>0.89649999999999996</v>
      </c>
      <c r="V83" s="28">
        <v>3.2399999999999998E-2</v>
      </c>
      <c r="W83" s="28">
        <v>-0.15310000000000001</v>
      </c>
      <c r="X83" s="28">
        <v>-0.75129999999999997</v>
      </c>
      <c r="Y83" s="28">
        <v>2.1700000000000001E-2</v>
      </c>
      <c r="Z83" s="28">
        <v>4.3048999999999999</v>
      </c>
      <c r="AA83" s="28">
        <v>4.3048999999999999</v>
      </c>
      <c r="AB83" s="28">
        <v>0.1905</v>
      </c>
    </row>
    <row r="84" spans="1:28" x14ac:dyDescent="0.2">
      <c r="A84" s="23" t="s">
        <v>392</v>
      </c>
      <c r="B84" s="23" t="s">
        <v>392</v>
      </c>
      <c r="C84" s="28">
        <v>79</v>
      </c>
      <c r="D84" s="28">
        <v>8.3999999999999995E-3</v>
      </c>
      <c r="E84" s="28">
        <v>0.11360000000000001</v>
      </c>
      <c r="F84" s="28">
        <v>7.2400000000000006E-2</v>
      </c>
      <c r="G84" s="28">
        <v>0.18690000000000001</v>
      </c>
      <c r="H84" s="28">
        <v>1.1100000000000001</v>
      </c>
      <c r="I84" s="28">
        <v>1.34</v>
      </c>
      <c r="J84" s="28">
        <v>7.2800000000000004E-2</v>
      </c>
      <c r="K84" s="28">
        <v>0.5363</v>
      </c>
      <c r="L84" s="28">
        <v>0.03</v>
      </c>
      <c r="M84" s="28">
        <v>0.25209999999999999</v>
      </c>
      <c r="N84" s="28">
        <v>5.9900000000000002E-2</v>
      </c>
      <c r="O84" s="28">
        <v>1.1399999999999999</v>
      </c>
      <c r="P84" s="28">
        <v>5.27</v>
      </c>
      <c r="Q84" s="28">
        <v>23.53</v>
      </c>
      <c r="R84" s="28">
        <v>80.25</v>
      </c>
      <c r="S84" s="28" t="s">
        <v>242</v>
      </c>
      <c r="T84" s="28">
        <v>58.91</v>
      </c>
      <c r="U84" s="28">
        <v>2.8400000000000002E-2</v>
      </c>
      <c r="V84" s="28">
        <v>5.8200000000000002E-2</v>
      </c>
      <c r="W84" s="28">
        <v>2.47E-2</v>
      </c>
      <c r="X84" s="28">
        <v>0.48720000000000002</v>
      </c>
      <c r="Y84" s="28" t="s">
        <v>242</v>
      </c>
      <c r="Z84" s="28">
        <v>1.1433</v>
      </c>
      <c r="AA84" s="28">
        <v>1.1433</v>
      </c>
      <c r="AB84" s="28">
        <v>6.5500000000000003E-2</v>
      </c>
    </row>
    <row r="85" spans="1:28" x14ac:dyDescent="0.2">
      <c r="A85" s="23" t="s">
        <v>393</v>
      </c>
      <c r="B85" s="23" t="s">
        <v>394</v>
      </c>
      <c r="C85" s="28">
        <v>3</v>
      </c>
      <c r="D85" s="28">
        <v>-4.2099999999999999E-2</v>
      </c>
      <c r="E85" s="28">
        <v>-5.0000000000000001E-3</v>
      </c>
      <c r="F85" s="28">
        <v>1E-4</v>
      </c>
      <c r="G85" s="28">
        <v>0.159</v>
      </c>
      <c r="H85" s="28">
        <v>0.55000000000000004</v>
      </c>
      <c r="I85" s="28">
        <v>1.0900000000000001</v>
      </c>
      <c r="J85" s="28">
        <v>6.0900000000000003E-2</v>
      </c>
      <c r="K85" s="28">
        <v>0.43830000000000002</v>
      </c>
      <c r="L85" s="28">
        <v>0.03</v>
      </c>
      <c r="M85" s="28">
        <v>0.63619999999999999</v>
      </c>
      <c r="N85" s="28">
        <v>3.61E-2</v>
      </c>
      <c r="O85" s="28">
        <v>1.07</v>
      </c>
      <c r="P85" s="28">
        <v>0.74</v>
      </c>
      <c r="Q85" s="28">
        <v>9.84</v>
      </c>
      <c r="R85" s="28" t="s">
        <v>242</v>
      </c>
      <c r="S85" s="28">
        <v>1.04</v>
      </c>
      <c r="T85" s="28">
        <v>24.89</v>
      </c>
      <c r="U85" s="28">
        <v>0.1363</v>
      </c>
      <c r="V85" s="28">
        <v>5.6300000000000003E-2</v>
      </c>
      <c r="W85" s="28">
        <v>-5.3E-3</v>
      </c>
      <c r="X85" s="28" t="s">
        <v>242</v>
      </c>
      <c r="Y85" s="28">
        <v>-0.25690000000000002</v>
      </c>
      <c r="Z85" s="28">
        <v>6.9999999999999999E-4</v>
      </c>
      <c r="AA85" s="28">
        <v>6.9999999999999999E-4</v>
      </c>
      <c r="AB85" s="28">
        <v>1E-4</v>
      </c>
    </row>
    <row r="86" spans="1:28" x14ac:dyDescent="0.2">
      <c r="A86" s="23" t="s">
        <v>395</v>
      </c>
      <c r="B86" s="23" t="s">
        <v>396</v>
      </c>
      <c r="C86" s="28">
        <v>70</v>
      </c>
      <c r="D86" s="28">
        <v>3.7699999999999997E-2</v>
      </c>
      <c r="E86" s="28">
        <v>0.2409</v>
      </c>
      <c r="F86" s="28">
        <v>0.1739</v>
      </c>
      <c r="G86" s="28">
        <v>0.1077</v>
      </c>
      <c r="H86" s="28">
        <v>0.96</v>
      </c>
      <c r="I86" s="28">
        <v>1</v>
      </c>
      <c r="J86" s="28">
        <v>5.6599999999999998E-2</v>
      </c>
      <c r="K86" s="28">
        <v>0.37259999999999999</v>
      </c>
      <c r="L86" s="28">
        <v>2.58E-2</v>
      </c>
      <c r="M86" s="28">
        <v>8.8499999999999995E-2</v>
      </c>
      <c r="N86" s="28">
        <v>5.33E-2</v>
      </c>
      <c r="O86" s="28">
        <v>0.75</v>
      </c>
      <c r="P86" s="28">
        <v>7.16</v>
      </c>
      <c r="Q86" s="28">
        <v>18.04</v>
      </c>
      <c r="R86" s="28">
        <v>29.3</v>
      </c>
      <c r="S86" s="28">
        <v>6.87</v>
      </c>
      <c r="T86" s="28">
        <v>726.52</v>
      </c>
      <c r="U86" s="28">
        <v>0.1744</v>
      </c>
      <c r="V86" s="28">
        <v>0.12759999999999999</v>
      </c>
      <c r="W86" s="28">
        <v>0.16059999999999999</v>
      </c>
      <c r="X86" s="28">
        <v>0.79830000000000001</v>
      </c>
      <c r="Y86" s="28">
        <v>0.2213</v>
      </c>
      <c r="Z86" s="28">
        <v>0.42099999999999999</v>
      </c>
      <c r="AA86" s="28">
        <v>0.42099999999999999</v>
      </c>
      <c r="AB86" s="28">
        <v>0.24790000000000001</v>
      </c>
    </row>
    <row r="87" spans="1:28" x14ac:dyDescent="0.2">
      <c r="A87" s="23" t="s">
        <v>397</v>
      </c>
      <c r="B87" s="23" t="s">
        <v>398</v>
      </c>
      <c r="C87" s="28">
        <v>40</v>
      </c>
      <c r="D87" s="28">
        <v>8.4900000000000003E-2</v>
      </c>
      <c r="E87" s="28">
        <v>0.22209999999999999</v>
      </c>
      <c r="F87" s="28">
        <v>0.27889999999999998</v>
      </c>
      <c r="G87" s="28">
        <v>0.1283</v>
      </c>
      <c r="H87" s="28">
        <v>1.07</v>
      </c>
      <c r="I87" s="28">
        <v>1.07</v>
      </c>
      <c r="J87" s="28">
        <v>5.9799999999999999E-2</v>
      </c>
      <c r="K87" s="28">
        <v>0.35909999999999997</v>
      </c>
      <c r="L87" s="28">
        <v>2.58E-2</v>
      </c>
      <c r="M87" s="28">
        <v>7.4399999999999994E-2</v>
      </c>
      <c r="N87" s="28">
        <v>5.6800000000000003E-2</v>
      </c>
      <c r="O87" s="28">
        <v>1.3</v>
      </c>
      <c r="P87" s="28">
        <v>5.14</v>
      </c>
      <c r="Q87" s="28">
        <v>18.690000000000001</v>
      </c>
      <c r="R87" s="28">
        <v>22.86</v>
      </c>
      <c r="S87" s="28">
        <v>7.87</v>
      </c>
      <c r="T87" s="28">
        <v>55.87</v>
      </c>
      <c r="U87" s="28">
        <v>0.2782</v>
      </c>
      <c r="V87" s="28">
        <v>3.7100000000000001E-2</v>
      </c>
      <c r="W87" s="28">
        <v>1.1599999999999999E-2</v>
      </c>
      <c r="X87" s="28">
        <v>0.28589999999999999</v>
      </c>
      <c r="Y87" s="28">
        <v>0.32229999999999998</v>
      </c>
      <c r="Z87" s="28">
        <v>0.2331</v>
      </c>
      <c r="AA87" s="28">
        <v>0.2331</v>
      </c>
      <c r="AB87" s="28">
        <v>0.23180000000000001</v>
      </c>
    </row>
    <row r="88" spans="1:28" x14ac:dyDescent="0.2">
      <c r="A88" s="23" t="s">
        <v>399</v>
      </c>
      <c r="B88" s="23" t="s">
        <v>400</v>
      </c>
      <c r="C88" s="28">
        <v>15</v>
      </c>
      <c r="D88" s="28">
        <v>6.4199999999999993E-2</v>
      </c>
      <c r="E88" s="28">
        <v>0.12790000000000001</v>
      </c>
      <c r="F88" s="28">
        <v>0.37469999999999998</v>
      </c>
      <c r="G88" s="28">
        <v>0.2394</v>
      </c>
      <c r="H88" s="28">
        <v>1.44</v>
      </c>
      <c r="I88" s="28">
        <v>1.54</v>
      </c>
      <c r="J88" s="28">
        <v>8.2199999999999995E-2</v>
      </c>
      <c r="K88" s="28">
        <v>0.40600000000000003</v>
      </c>
      <c r="L88" s="28">
        <v>0.03</v>
      </c>
      <c r="M88" s="28">
        <v>0.15310000000000001</v>
      </c>
      <c r="N88" s="28">
        <v>7.2999999999999995E-2</v>
      </c>
      <c r="O88" s="28">
        <v>3.46</v>
      </c>
      <c r="P88" s="28">
        <v>2.06</v>
      </c>
      <c r="Q88" s="28">
        <v>12.59</v>
      </c>
      <c r="R88" s="28">
        <v>16.489999999999998</v>
      </c>
      <c r="S88" s="28">
        <v>40.07</v>
      </c>
      <c r="T88" s="28">
        <v>140.11000000000001</v>
      </c>
      <c r="U88" s="28">
        <v>4.4600000000000001E-2</v>
      </c>
      <c r="V88" s="28">
        <v>2.07E-2</v>
      </c>
      <c r="W88" s="28">
        <v>2E-3</v>
      </c>
      <c r="X88" s="28">
        <v>-0.26450000000000001</v>
      </c>
      <c r="Y88" s="28">
        <v>2.7000000000000001E-3</v>
      </c>
      <c r="Z88" s="28">
        <v>0.4551</v>
      </c>
      <c r="AA88" s="28">
        <v>0.4551</v>
      </c>
      <c r="AB88" s="28">
        <v>0.12509999999999999</v>
      </c>
    </row>
    <row r="89" spans="1:28" x14ac:dyDescent="0.2">
      <c r="A89" s="23" t="s">
        <v>401</v>
      </c>
      <c r="B89" s="23" t="s">
        <v>402</v>
      </c>
      <c r="C89" s="28">
        <v>25</v>
      </c>
      <c r="D89" s="28">
        <v>-8.9999999999999998E-4</v>
      </c>
      <c r="E89" s="28">
        <v>0.26119999999999999</v>
      </c>
      <c r="F89" s="28">
        <v>6.8900000000000003E-2</v>
      </c>
      <c r="G89" s="28">
        <v>0.43030000000000002</v>
      </c>
      <c r="H89" s="28">
        <v>0.68</v>
      </c>
      <c r="I89" s="28">
        <v>0.98</v>
      </c>
      <c r="J89" s="28">
        <v>5.5599999999999997E-2</v>
      </c>
      <c r="K89" s="28">
        <v>0.56040000000000001</v>
      </c>
      <c r="L89" s="28">
        <v>0.03</v>
      </c>
      <c r="M89" s="28">
        <v>0.39050000000000001</v>
      </c>
      <c r="N89" s="28">
        <v>4.2500000000000003E-2</v>
      </c>
      <c r="O89" s="28">
        <v>0.27</v>
      </c>
      <c r="P89" s="28">
        <v>13.15</v>
      </c>
      <c r="Q89" s="28">
        <v>22.94</v>
      </c>
      <c r="R89" s="28">
        <v>50.76</v>
      </c>
      <c r="S89" s="28">
        <v>1.68</v>
      </c>
      <c r="T89" s="28">
        <v>40.67</v>
      </c>
      <c r="U89" s="28">
        <v>-1.5825</v>
      </c>
      <c r="V89" s="28">
        <v>0.3569</v>
      </c>
      <c r="W89" s="28">
        <v>0.25819999999999999</v>
      </c>
      <c r="X89" s="28">
        <v>1.1011</v>
      </c>
      <c r="Y89" s="28">
        <v>-0.2059</v>
      </c>
      <c r="Z89" s="28">
        <v>1.5E-3</v>
      </c>
      <c r="AA89" s="28">
        <v>1.5E-3</v>
      </c>
      <c r="AB89" s="28">
        <v>0.25879999999999997</v>
      </c>
    </row>
    <row r="90" spans="1:28" x14ac:dyDescent="0.2">
      <c r="A90" s="23" t="s">
        <v>403</v>
      </c>
      <c r="B90" s="23" t="s">
        <v>404</v>
      </c>
      <c r="C90" s="28">
        <v>32</v>
      </c>
      <c r="D90" s="28">
        <v>4.7000000000000002E-3</v>
      </c>
      <c r="E90" s="28">
        <v>3.5499999999999997E-2</v>
      </c>
      <c r="F90" s="28">
        <v>5.8099999999999999E-2</v>
      </c>
      <c r="G90" s="28">
        <v>0.24529999999999999</v>
      </c>
      <c r="H90" s="28">
        <v>0.78</v>
      </c>
      <c r="I90" s="28">
        <v>0.95</v>
      </c>
      <c r="J90" s="28">
        <v>5.4300000000000001E-2</v>
      </c>
      <c r="K90" s="28">
        <v>0.39319999999999999</v>
      </c>
      <c r="L90" s="28">
        <v>2.58E-2</v>
      </c>
      <c r="M90" s="28">
        <v>0.33439999999999998</v>
      </c>
      <c r="N90" s="28">
        <v>4.24E-2</v>
      </c>
      <c r="O90" s="28">
        <v>1.7</v>
      </c>
      <c r="P90" s="28">
        <v>0.93</v>
      </c>
      <c r="Q90" s="28">
        <v>9.74</v>
      </c>
      <c r="R90" s="28">
        <v>23.06</v>
      </c>
      <c r="S90" s="28">
        <v>1.55</v>
      </c>
      <c r="T90" s="28">
        <v>35.729999999999997</v>
      </c>
      <c r="U90" s="28">
        <v>0.21690000000000001</v>
      </c>
      <c r="V90" s="28">
        <v>6.9599999999999995E-2</v>
      </c>
      <c r="W90" s="28">
        <v>5.57E-2</v>
      </c>
      <c r="X90" s="28">
        <v>0.28489999999999999</v>
      </c>
      <c r="Y90" s="28">
        <v>-2.8400000000000002E-2</v>
      </c>
      <c r="Z90" s="28">
        <v>6.4999999999999997E-3</v>
      </c>
      <c r="AA90" s="28">
        <v>6.4999999999999997E-3</v>
      </c>
      <c r="AB90" s="28">
        <v>3.6299999999999999E-2</v>
      </c>
    </row>
    <row r="91" spans="1:28" x14ac:dyDescent="0.2">
      <c r="A91" s="23" t="s">
        <v>405</v>
      </c>
      <c r="B91" s="23" t="s">
        <v>406</v>
      </c>
      <c r="C91" s="28">
        <v>11</v>
      </c>
      <c r="D91" s="28">
        <v>-1.1000000000000001E-3</v>
      </c>
      <c r="E91" s="28">
        <v>9.2200000000000004E-2</v>
      </c>
      <c r="F91" s="28">
        <v>0.20899999999999999</v>
      </c>
      <c r="G91" s="28">
        <v>0.13439999999999999</v>
      </c>
      <c r="H91" s="28">
        <v>0.98</v>
      </c>
      <c r="I91" s="28">
        <v>0.98</v>
      </c>
      <c r="J91" s="28">
        <v>5.57E-2</v>
      </c>
      <c r="K91" s="28">
        <v>0.315</v>
      </c>
      <c r="L91" s="28">
        <v>2.58E-2</v>
      </c>
      <c r="M91" s="28">
        <v>6.4299999999999996E-2</v>
      </c>
      <c r="N91" s="28">
        <v>5.33E-2</v>
      </c>
      <c r="O91" s="28">
        <v>2.5</v>
      </c>
      <c r="P91" s="28">
        <v>5.05</v>
      </c>
      <c r="Q91" s="28">
        <v>35.83</v>
      </c>
      <c r="R91" s="28">
        <v>56.49</v>
      </c>
      <c r="S91" s="28">
        <v>14.87</v>
      </c>
      <c r="T91" s="28">
        <v>46.18</v>
      </c>
      <c r="U91" s="28">
        <v>0.20380000000000001</v>
      </c>
      <c r="V91" s="28">
        <v>7.6E-3</v>
      </c>
      <c r="W91" s="28">
        <v>-2.1299999999999999E-2</v>
      </c>
      <c r="X91" s="28">
        <v>-0.30659999999999998</v>
      </c>
      <c r="Y91" s="28">
        <v>0.23699999999999999</v>
      </c>
      <c r="Z91" s="28">
        <v>0.48270000000000002</v>
      </c>
      <c r="AA91" s="28">
        <v>0.48270000000000002</v>
      </c>
      <c r="AB91" s="28">
        <v>8.9300000000000004E-2</v>
      </c>
    </row>
    <row r="92" spans="1:28" x14ac:dyDescent="0.2">
      <c r="A92" s="23" t="s">
        <v>407</v>
      </c>
      <c r="B92" s="23" t="s">
        <v>408</v>
      </c>
      <c r="C92" s="28">
        <v>15</v>
      </c>
      <c r="D92" s="28">
        <v>0.5282</v>
      </c>
      <c r="E92" s="28">
        <v>0.42799999999999999</v>
      </c>
      <c r="F92" s="28">
        <v>0.45329999999999998</v>
      </c>
      <c r="G92" s="28">
        <v>0.34670000000000001</v>
      </c>
      <c r="H92" s="28">
        <v>0.61</v>
      </c>
      <c r="I92" s="28">
        <v>0.72</v>
      </c>
      <c r="J92" s="28">
        <v>4.3400000000000001E-2</v>
      </c>
      <c r="K92" s="28">
        <v>0.24490000000000001</v>
      </c>
      <c r="L92" s="28">
        <v>1.9199999999999998E-2</v>
      </c>
      <c r="M92" s="28">
        <v>0.2326</v>
      </c>
      <c r="N92" s="28">
        <v>3.6499999999999998E-2</v>
      </c>
      <c r="O92" s="28">
        <v>1.1599999999999999</v>
      </c>
      <c r="P92" s="28">
        <v>4.82</v>
      </c>
      <c r="Q92" s="28">
        <v>10.48</v>
      </c>
      <c r="R92" s="28">
        <v>11.2</v>
      </c>
      <c r="S92" s="28" t="s">
        <v>242</v>
      </c>
      <c r="T92" s="28">
        <v>54.62</v>
      </c>
      <c r="U92" s="28">
        <v>0.13100000000000001</v>
      </c>
      <c r="V92" s="28">
        <v>1.7500000000000002E-2</v>
      </c>
      <c r="W92" s="28">
        <v>1.24E-2</v>
      </c>
      <c r="X92" s="28">
        <v>6.8999999999999999E-3</v>
      </c>
      <c r="Y92" s="28">
        <v>-2.3E-3</v>
      </c>
      <c r="Z92" s="28">
        <v>1.6495</v>
      </c>
      <c r="AA92" s="28">
        <v>1.6495</v>
      </c>
      <c r="AB92" s="28">
        <v>0.42920000000000003</v>
      </c>
    </row>
    <row r="93" spans="1:28" x14ac:dyDescent="0.2">
      <c r="A93" s="23" t="s">
        <v>409</v>
      </c>
      <c r="B93" s="23" t="s">
        <v>410</v>
      </c>
      <c r="C93" s="28">
        <v>35</v>
      </c>
      <c r="D93" s="28">
        <v>3.0599999999999999E-2</v>
      </c>
      <c r="E93" s="28">
        <v>-2.8799999999999999E-2</v>
      </c>
      <c r="F93" s="28">
        <v>-4.0399999999999998E-2</v>
      </c>
      <c r="G93" s="28">
        <v>0.21679999999999999</v>
      </c>
      <c r="H93" s="28">
        <v>0.95</v>
      </c>
      <c r="I93" s="28">
        <v>1.1100000000000001</v>
      </c>
      <c r="J93" s="28">
        <v>6.1800000000000001E-2</v>
      </c>
      <c r="K93" s="28">
        <v>0.38779999999999998</v>
      </c>
      <c r="L93" s="28">
        <v>2.58E-2</v>
      </c>
      <c r="M93" s="28">
        <v>0.25240000000000001</v>
      </c>
      <c r="N93" s="28">
        <v>5.0900000000000001E-2</v>
      </c>
      <c r="O93" s="28">
        <v>0.84</v>
      </c>
      <c r="P93" s="28">
        <v>2.73</v>
      </c>
      <c r="Q93" s="28">
        <v>10.06</v>
      </c>
      <c r="R93" s="28" t="s">
        <v>242</v>
      </c>
      <c r="S93" s="28">
        <v>4.8099999999999996</v>
      </c>
      <c r="T93" s="28">
        <v>46.74</v>
      </c>
      <c r="U93" s="28">
        <v>6.0699999999999997E-2</v>
      </c>
      <c r="V93" s="28">
        <v>-8.0000000000000002E-3</v>
      </c>
      <c r="W93" s="28">
        <v>-8.6699999999999999E-2</v>
      </c>
      <c r="X93" s="28" t="s">
        <v>242</v>
      </c>
      <c r="Y93" s="28">
        <v>-0.17699999999999999</v>
      </c>
      <c r="Z93" s="28">
        <v>2.7000000000000001E-3</v>
      </c>
      <c r="AA93" s="28">
        <v>2.7000000000000001E-3</v>
      </c>
      <c r="AB93" s="28">
        <v>-5.0700000000000002E-2</v>
      </c>
    </row>
    <row r="94" spans="1:28" x14ac:dyDescent="0.2">
      <c r="A94" s="23" t="s">
        <v>411</v>
      </c>
      <c r="B94" s="23" t="s">
        <v>412</v>
      </c>
      <c r="C94" s="28">
        <v>55</v>
      </c>
      <c r="D94" s="28">
        <v>1.01E-2</v>
      </c>
      <c r="E94" s="28">
        <v>0.19819999999999999</v>
      </c>
      <c r="F94" s="28">
        <v>6.8000000000000005E-2</v>
      </c>
      <c r="G94" s="28">
        <v>0.11020000000000001</v>
      </c>
      <c r="H94" s="28">
        <v>0.43</v>
      </c>
      <c r="I94" s="28">
        <v>0.67</v>
      </c>
      <c r="J94" s="28">
        <v>4.0800000000000003E-2</v>
      </c>
      <c r="K94" s="28">
        <v>0.1986</v>
      </c>
      <c r="L94" s="28">
        <v>1.9199999999999998E-2</v>
      </c>
      <c r="M94" s="28">
        <v>0.4385</v>
      </c>
      <c r="N94" s="28">
        <v>2.9000000000000001E-2</v>
      </c>
      <c r="O94" s="28">
        <v>0.38</v>
      </c>
      <c r="P94" s="28">
        <v>4.37</v>
      </c>
      <c r="Q94" s="28">
        <v>11.89</v>
      </c>
      <c r="R94" s="28">
        <v>22.26</v>
      </c>
      <c r="S94" s="28">
        <v>1.9</v>
      </c>
      <c r="T94" s="28">
        <v>21.95</v>
      </c>
      <c r="U94" s="28">
        <v>2.5700000000000001E-2</v>
      </c>
      <c r="V94" s="28">
        <v>0.35110000000000002</v>
      </c>
      <c r="W94" s="28">
        <v>0.20549999999999999</v>
      </c>
      <c r="X94" s="28">
        <v>1.1953</v>
      </c>
      <c r="Y94" s="28">
        <v>7.6899999999999996E-2</v>
      </c>
      <c r="Z94" s="28">
        <v>0.87590000000000001</v>
      </c>
      <c r="AA94" s="28">
        <v>0.87590000000000001</v>
      </c>
      <c r="AB94" s="28">
        <v>0.1961</v>
      </c>
    </row>
    <row r="95" spans="1:28" x14ac:dyDescent="0.2">
      <c r="A95" s="23" t="s">
        <v>413</v>
      </c>
      <c r="B95" s="23" t="s">
        <v>414</v>
      </c>
      <c r="C95" s="28">
        <v>17</v>
      </c>
      <c r="D95" s="28">
        <v>0.12740000000000001</v>
      </c>
      <c r="E95" s="28">
        <v>0.30459999999999998</v>
      </c>
      <c r="F95" s="28">
        <v>8.0500000000000002E-2</v>
      </c>
      <c r="G95" s="28">
        <v>0.1875</v>
      </c>
      <c r="H95" s="28">
        <v>0.56999999999999995</v>
      </c>
      <c r="I95" s="28">
        <v>0.73</v>
      </c>
      <c r="J95" s="28">
        <v>4.3900000000000002E-2</v>
      </c>
      <c r="K95" s="28">
        <v>0.35959999999999998</v>
      </c>
      <c r="L95" s="28">
        <v>2.58E-2</v>
      </c>
      <c r="M95" s="28">
        <v>0.28810000000000002</v>
      </c>
      <c r="N95" s="28">
        <v>3.6700000000000003E-2</v>
      </c>
      <c r="O95" s="28">
        <v>0.3</v>
      </c>
      <c r="P95" s="28">
        <v>9.7899999999999991</v>
      </c>
      <c r="Q95" s="28">
        <v>20.92</v>
      </c>
      <c r="R95" s="28">
        <v>32.159999999999997</v>
      </c>
      <c r="S95" s="28">
        <v>3.51</v>
      </c>
      <c r="T95" s="28">
        <v>62.39</v>
      </c>
      <c r="U95" s="28">
        <v>0.16950000000000001</v>
      </c>
      <c r="V95" s="28">
        <v>0.4728</v>
      </c>
      <c r="W95" s="28">
        <v>0.96619999999999995</v>
      </c>
      <c r="X95" s="28">
        <v>3.9453999999999998</v>
      </c>
      <c r="Y95" s="28">
        <v>8.2500000000000004E-2</v>
      </c>
      <c r="Z95" s="28">
        <v>0.66369999999999996</v>
      </c>
      <c r="AA95" s="28">
        <v>0.71309999999999996</v>
      </c>
      <c r="AB95" s="28">
        <v>0.30209999999999998</v>
      </c>
    </row>
    <row r="96" spans="1:28" x14ac:dyDescent="0.2">
      <c r="A96" s="23" t="s">
        <v>415</v>
      </c>
      <c r="B96" s="23">
        <v>7582</v>
      </c>
      <c r="C96" s="28">
        <v>8.8599999999999998E-2</v>
      </c>
      <c r="D96" s="28">
        <v>9.6199999999999994E-2</v>
      </c>
      <c r="E96" s="28">
        <v>6.0499999999999998E-2</v>
      </c>
      <c r="F96" s="28">
        <v>0.17760000000000001</v>
      </c>
      <c r="G96" s="28">
        <v>0.75</v>
      </c>
      <c r="H96" s="28">
        <v>0.94</v>
      </c>
      <c r="I96" s="28">
        <v>5.3699999999999998E-2</v>
      </c>
      <c r="J96" s="28">
        <v>0.41210000000000002</v>
      </c>
      <c r="K96" s="28">
        <v>0.03</v>
      </c>
      <c r="L96" s="28">
        <v>0.32579999999999998</v>
      </c>
      <c r="M96" s="28">
        <v>4.3400000000000001E-2</v>
      </c>
      <c r="N96" s="28">
        <v>0.67</v>
      </c>
      <c r="O96" s="28">
        <v>3.65</v>
      </c>
      <c r="P96" s="28">
        <v>20.02</v>
      </c>
      <c r="Q96" s="28">
        <v>36.46</v>
      </c>
      <c r="R96" s="28">
        <v>3.81</v>
      </c>
      <c r="S96" s="28">
        <v>103.25</v>
      </c>
      <c r="T96" s="28">
        <v>-0.36099999999999999</v>
      </c>
      <c r="U96" s="28">
        <v>5.6000000000000001E-2</v>
      </c>
      <c r="V96" s="28">
        <v>2.5700000000000001E-2</v>
      </c>
      <c r="W96" s="28">
        <v>0.33160000000000001</v>
      </c>
      <c r="X96" s="28">
        <v>8.2500000000000004E-2</v>
      </c>
      <c r="Y96" s="28">
        <v>0.71309999999999996</v>
      </c>
      <c r="Z96" s="28">
        <v>0.71309999999999996</v>
      </c>
      <c r="AA96" s="28">
        <v>9.6100000000000005E-2</v>
      </c>
      <c r="AB96" s="28"/>
    </row>
    <row r="97" spans="1:28" x14ac:dyDescent="0.2">
      <c r="A97" s="23" t="s">
        <v>416</v>
      </c>
      <c r="B97" s="23">
        <v>6253</v>
      </c>
      <c r="C97" s="28">
        <v>9.4E-2</v>
      </c>
      <c r="D97" s="28">
        <v>9.9299999999999999E-2</v>
      </c>
      <c r="E97" s="28">
        <v>0.10580000000000001</v>
      </c>
      <c r="F97" s="28">
        <v>0.1774</v>
      </c>
      <c r="G97" s="28">
        <v>0.86</v>
      </c>
      <c r="H97" s="28">
        <v>0.98</v>
      </c>
      <c r="I97" s="28">
        <v>5.5500000000000001E-2</v>
      </c>
      <c r="J97" s="28">
        <v>0.44769999999999999</v>
      </c>
      <c r="K97" s="28">
        <v>0.03</v>
      </c>
      <c r="L97" s="28">
        <v>0.20069999999999999</v>
      </c>
      <c r="M97" s="28">
        <v>4.87E-2</v>
      </c>
      <c r="N97" s="28">
        <v>1.1100000000000001</v>
      </c>
      <c r="O97" s="28">
        <v>3.2</v>
      </c>
      <c r="P97" s="28">
        <v>16.52</v>
      </c>
      <c r="Q97" s="28">
        <v>30.62</v>
      </c>
      <c r="R97" s="28">
        <v>4.75</v>
      </c>
      <c r="S97" s="28">
        <v>87.08</v>
      </c>
      <c r="T97" s="28">
        <v>8.2799999999999999E-2</v>
      </c>
      <c r="U97" s="28">
        <v>5.91E-2</v>
      </c>
      <c r="V97" s="28">
        <v>2.5399999999999999E-2</v>
      </c>
      <c r="W97" s="28">
        <v>0.29399999999999998</v>
      </c>
      <c r="X97" s="28">
        <v>7.7799999999999994E-2</v>
      </c>
      <c r="Y97" s="28">
        <v>0.8397</v>
      </c>
      <c r="Z97" s="28">
        <v>0.8397</v>
      </c>
      <c r="AA97" s="28">
        <v>9.9299999999999999E-2</v>
      </c>
      <c r="AB97" s="2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06C7A8-A066-4E7E-9DF3-7A9D34464A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Financial Statements</vt:lpstr>
      <vt:lpstr>Helper Data</vt:lpstr>
      <vt:lpstr>Industrial Averages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Nils</cp:lastModifiedBy>
  <dcterms:created xsi:type="dcterms:W3CDTF">2022-01-07T10:55:47Z</dcterms:created>
  <dcterms:modified xsi:type="dcterms:W3CDTF">2023-04-04T13:45:23Z</dcterms:modified>
</cp:coreProperties>
</file>