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mon" sheetId="1" r:id="rId4"/>
    <sheet state="visible" name="Forms" sheetId="2" r:id="rId5"/>
    <sheet state="visible" name="Categories" sheetId="3" r:id="rId6"/>
    <sheet state="visible" name="Types" sheetId="4" r:id="rId7"/>
    <sheet state="visible" name="Moves" sheetId="5" r:id="rId8"/>
    <sheet state="visible" name="Abilities" sheetId="6" r:id="rId9"/>
    <sheet state="visible" name="Natures" sheetId="7" r:id="rId10"/>
    <sheet state="visible" name="Characteristics" sheetId="8" r:id="rId11"/>
    <sheet state="visible" name="Items" sheetId="9" r:id="rId12"/>
    <sheet state="visible" name="Trainer Classes" sheetId="10" r:id="rId13"/>
  </sheets>
  <definedNames/>
  <calcPr/>
</workbook>
</file>

<file path=xl/sharedStrings.xml><?xml version="1.0" encoding="utf-8"?>
<sst xmlns="http://schemas.openxmlformats.org/spreadsheetml/2006/main" count="28593" uniqueCount="28145">
  <si>
    <t>keys</t>
  </si>
  <si>
    <t>en</t>
  </si>
  <si>
    <t>ja</t>
  </si>
  <si>
    <t>fr</t>
  </si>
  <si>
    <t>de</t>
  </si>
  <si>
    <t>es</t>
  </si>
  <si>
    <t>it</t>
  </si>
  <si>
    <t>ko</t>
  </si>
  <si>
    <t>zh_HK</t>
  </si>
  <si>
    <t>zh</t>
  </si>
  <si>
    <t>Bulbasaur</t>
  </si>
  <si>
    <t>フシギダネ</t>
  </si>
  <si>
    <t>Bulbizarre</t>
  </si>
  <si>
    <t>Bisasam</t>
  </si>
  <si>
    <t>이상해씨</t>
  </si>
  <si>
    <t>妙蛙种子</t>
  </si>
  <si>
    <t>Ivysaur</t>
  </si>
  <si>
    <t>フシギソウ</t>
  </si>
  <si>
    <t>Herbizarre</t>
  </si>
  <si>
    <t>Bisaknosp</t>
  </si>
  <si>
    <t>이상해풀</t>
  </si>
  <si>
    <t>妙蛙草</t>
  </si>
  <si>
    <t>Venusaur</t>
  </si>
  <si>
    <t>フシギバナ</t>
  </si>
  <si>
    <t>Florizarre</t>
  </si>
  <si>
    <t>Bisaflor</t>
  </si>
  <si>
    <t>이상해꽃</t>
  </si>
  <si>
    <t>妙蛙花</t>
  </si>
  <si>
    <t>Charmander</t>
  </si>
  <si>
    <t>ヒトカゲ</t>
  </si>
  <si>
    <t>Salamèche</t>
  </si>
  <si>
    <t>Glumanda</t>
  </si>
  <si>
    <t>파이리</t>
  </si>
  <si>
    <t>小火龙</t>
  </si>
  <si>
    <t>Charmeleon</t>
  </si>
  <si>
    <t>リザード</t>
  </si>
  <si>
    <t>Reptincel</t>
  </si>
  <si>
    <t>Glutexo</t>
  </si>
  <si>
    <t>리자드</t>
  </si>
  <si>
    <t>火恐龙</t>
  </si>
  <si>
    <t>Charizard</t>
  </si>
  <si>
    <t>リザードン</t>
  </si>
  <si>
    <t>Dracaufeu</t>
  </si>
  <si>
    <t>Glurak</t>
  </si>
  <si>
    <t>리자몽</t>
  </si>
  <si>
    <t>喷火龙</t>
  </si>
  <si>
    <t>Squirtle</t>
  </si>
  <si>
    <t>ゼニガメ</t>
  </si>
  <si>
    <t>Carapuce</t>
  </si>
  <si>
    <t>Schiggy</t>
  </si>
  <si>
    <t>꼬부기</t>
  </si>
  <si>
    <t>杰尼龟</t>
  </si>
  <si>
    <t>Wartortle</t>
  </si>
  <si>
    <t>カメール</t>
  </si>
  <si>
    <t>Carabaffe</t>
  </si>
  <si>
    <t>Schillok</t>
  </si>
  <si>
    <t>어니부기</t>
  </si>
  <si>
    <t>卡咪龟</t>
  </si>
  <si>
    <t>Blastoise</t>
  </si>
  <si>
    <t>カメックス</t>
  </si>
  <si>
    <t>Tortank</t>
  </si>
  <si>
    <t>Turtok</t>
  </si>
  <si>
    <t>거북왕</t>
  </si>
  <si>
    <t>水箭龟</t>
  </si>
  <si>
    <t>Caterpie</t>
  </si>
  <si>
    <t>キャタピー</t>
  </si>
  <si>
    <t>Chenipan</t>
  </si>
  <si>
    <t>Raupy</t>
  </si>
  <si>
    <t>캐터피</t>
  </si>
  <si>
    <t>绿毛虫</t>
  </si>
  <si>
    <t>Metapod</t>
  </si>
  <si>
    <t>トランセル</t>
  </si>
  <si>
    <t>Chrysacier</t>
  </si>
  <si>
    <t>Safcon</t>
  </si>
  <si>
    <t>단데기</t>
  </si>
  <si>
    <t>鐵甲蛹</t>
  </si>
  <si>
    <t>Butterfree</t>
  </si>
  <si>
    <t>バタフリー</t>
  </si>
  <si>
    <t>Papilusion</t>
  </si>
  <si>
    <t>Smettbo</t>
  </si>
  <si>
    <t>버터플</t>
  </si>
  <si>
    <t>巴大蝶</t>
  </si>
  <si>
    <t>Weedle</t>
  </si>
  <si>
    <t>ビードル</t>
  </si>
  <si>
    <t>Aspicot</t>
  </si>
  <si>
    <t>Hornliu</t>
  </si>
  <si>
    <t>뿔충이</t>
  </si>
  <si>
    <t>獨角蟲</t>
  </si>
  <si>
    <t>Kakuna</t>
  </si>
  <si>
    <t>コクーン</t>
  </si>
  <si>
    <t>Coconfort</t>
  </si>
  <si>
    <t>Kokuna</t>
  </si>
  <si>
    <t>딱충이</t>
  </si>
  <si>
    <t>Beedrill</t>
  </si>
  <si>
    <t>スピアー</t>
  </si>
  <si>
    <t>Dardargnan</t>
  </si>
  <si>
    <t>Bibor</t>
  </si>
  <si>
    <t>독침붕</t>
  </si>
  <si>
    <t>大针蜂</t>
  </si>
  <si>
    <t>Pidgey</t>
  </si>
  <si>
    <t>ポッポ</t>
  </si>
  <si>
    <t>Roucool</t>
  </si>
  <si>
    <t>Taubsi</t>
  </si>
  <si>
    <t>구구</t>
  </si>
  <si>
    <t>波波</t>
  </si>
  <si>
    <t>Pidgeotto</t>
  </si>
  <si>
    <t>ピジョン</t>
  </si>
  <si>
    <t>Roucoups</t>
  </si>
  <si>
    <t>Tauboga</t>
  </si>
  <si>
    <t>피죤</t>
  </si>
  <si>
    <t>比比鳥</t>
  </si>
  <si>
    <t>Pidgeot</t>
  </si>
  <si>
    <t>ピジョット</t>
  </si>
  <si>
    <t>Roucarnage</t>
  </si>
  <si>
    <t>Tauboss</t>
  </si>
  <si>
    <t>피죤투</t>
  </si>
  <si>
    <t>大比鸟</t>
  </si>
  <si>
    <t>Ratatta</t>
  </si>
  <si>
    <t>コラッタ</t>
  </si>
  <si>
    <t>Rattfratz</t>
  </si>
  <si>
    <t>꼬렛</t>
  </si>
  <si>
    <t>小拉達</t>
  </si>
  <si>
    <t>Raticate</t>
  </si>
  <si>
    <t>ラッタ</t>
  </si>
  <si>
    <t>Rattatac</t>
  </si>
  <si>
    <t>Rattikarl</t>
  </si>
  <si>
    <t>레트라</t>
  </si>
  <si>
    <t>拉達</t>
  </si>
  <si>
    <t>Spearow</t>
  </si>
  <si>
    <t>オニスズメ</t>
  </si>
  <si>
    <t>Piafabec</t>
  </si>
  <si>
    <t>Habitak</t>
  </si>
  <si>
    <t>깨비참</t>
  </si>
  <si>
    <t>烈雀</t>
  </si>
  <si>
    <t>Fearow</t>
  </si>
  <si>
    <t>オニドリル</t>
  </si>
  <si>
    <t>Rapasdepic</t>
  </si>
  <si>
    <t>Ibitak</t>
  </si>
  <si>
    <t>깨비드릴조</t>
  </si>
  <si>
    <t>大嘴雀</t>
  </si>
  <si>
    <t>Ekans</t>
  </si>
  <si>
    <t>アーボ</t>
  </si>
  <si>
    <t>Abo</t>
  </si>
  <si>
    <t>Rettan</t>
  </si>
  <si>
    <t>아보</t>
  </si>
  <si>
    <t>阿柏蛇</t>
  </si>
  <si>
    <t>Arbok</t>
  </si>
  <si>
    <t>アーボック</t>
  </si>
  <si>
    <t>아보크</t>
  </si>
  <si>
    <t>阿柏怪</t>
  </si>
  <si>
    <t>Pikachu</t>
  </si>
  <si>
    <t>ピカチュウ</t>
  </si>
  <si>
    <t>피카츄</t>
  </si>
  <si>
    <t>皮卡丘</t>
  </si>
  <si>
    <t>Raichu</t>
  </si>
  <si>
    <t>ライチュウ</t>
  </si>
  <si>
    <t>라이츄</t>
  </si>
  <si>
    <t>雷丘</t>
  </si>
  <si>
    <t>Sandshrew</t>
  </si>
  <si>
    <t>サンド</t>
  </si>
  <si>
    <t>Sabelette</t>
  </si>
  <si>
    <t>Sandan</t>
  </si>
  <si>
    <t>모래두지</t>
  </si>
  <si>
    <t>穿山鼠</t>
  </si>
  <si>
    <t>Sandslash</t>
  </si>
  <si>
    <t>サンドパン</t>
  </si>
  <si>
    <t>Sablaireau</t>
  </si>
  <si>
    <t>Sandamer</t>
  </si>
  <si>
    <t>고지</t>
  </si>
  <si>
    <t>穿山王</t>
  </si>
  <si>
    <t>NAME_PkMn_NIDORAN-F</t>
  </si>
  <si>
    <t>ニドラン♀</t>
  </si>
  <si>
    <t>니드런♀</t>
  </si>
  <si>
    <t>尼多蘭</t>
  </si>
  <si>
    <t>Nidorina</t>
  </si>
  <si>
    <t>ニドリーナ</t>
  </si>
  <si>
    <t>니드리나</t>
  </si>
  <si>
    <t>尼多娜</t>
  </si>
  <si>
    <t>Nidoqueen</t>
  </si>
  <si>
    <t>ニドクイン</t>
  </si>
  <si>
    <t>니드퀸</t>
  </si>
  <si>
    <t>尼多后</t>
  </si>
  <si>
    <t>NAME_PkMn_NIDORAN-M</t>
  </si>
  <si>
    <t>ニドラン♂</t>
  </si>
  <si>
    <t>니드런♂</t>
  </si>
  <si>
    <t>尼多朗</t>
  </si>
  <si>
    <t>Nidorino</t>
  </si>
  <si>
    <t>ニドリーノ</t>
  </si>
  <si>
    <t>니드리노</t>
  </si>
  <si>
    <t>尼多力諾</t>
  </si>
  <si>
    <t>Nidoking</t>
  </si>
  <si>
    <t>ニドキング</t>
  </si>
  <si>
    <t>니드킹</t>
  </si>
  <si>
    <t>尼多王</t>
  </si>
  <si>
    <t>Clefairy</t>
  </si>
  <si>
    <t>ピッピ</t>
  </si>
  <si>
    <t>Mélofée</t>
  </si>
  <si>
    <t>Piepi</t>
  </si>
  <si>
    <t>삐삐</t>
  </si>
  <si>
    <t>皮皮</t>
  </si>
  <si>
    <t>Clefable</t>
  </si>
  <si>
    <t>ピクシー</t>
  </si>
  <si>
    <t>Mélodelfe</t>
  </si>
  <si>
    <t>Pixi</t>
  </si>
  <si>
    <t>픽시</t>
  </si>
  <si>
    <t>皮可西</t>
  </si>
  <si>
    <t>Vulpix</t>
  </si>
  <si>
    <t>ロコン</t>
  </si>
  <si>
    <t>Goupix</t>
  </si>
  <si>
    <t>식스테일</t>
  </si>
  <si>
    <t>六尾</t>
  </si>
  <si>
    <t>Ninetales</t>
  </si>
  <si>
    <t>キュウコン</t>
  </si>
  <si>
    <t>Feunard</t>
  </si>
  <si>
    <t>Vulnona</t>
  </si>
  <si>
    <t>나인테일</t>
  </si>
  <si>
    <t>九尾</t>
  </si>
  <si>
    <t>Jigglypuff</t>
  </si>
  <si>
    <t>プリン</t>
  </si>
  <si>
    <t>Rondoudou</t>
  </si>
  <si>
    <t>Pummeluff</t>
  </si>
  <si>
    <t>푸린</t>
  </si>
  <si>
    <t>胖丁</t>
  </si>
  <si>
    <t>Wigglytuff</t>
  </si>
  <si>
    <t>プクリン</t>
  </si>
  <si>
    <t>Grodoudou</t>
  </si>
  <si>
    <t>Knuddeluff</t>
  </si>
  <si>
    <t>푸크린</t>
  </si>
  <si>
    <t>胖可丁</t>
  </si>
  <si>
    <t>Zubat</t>
  </si>
  <si>
    <t>ズバット</t>
  </si>
  <si>
    <t>Nosferapti</t>
  </si>
  <si>
    <t>주뱃</t>
  </si>
  <si>
    <t>超音蝠</t>
  </si>
  <si>
    <t>Golbat</t>
  </si>
  <si>
    <t>ゴルバット</t>
  </si>
  <si>
    <t>Nosferalto</t>
  </si>
  <si>
    <t>골뱃</t>
  </si>
  <si>
    <t>大嘴蝠</t>
  </si>
  <si>
    <t>Oddish</t>
  </si>
  <si>
    <t>ナゾノクサ</t>
  </si>
  <si>
    <t>Mystherbe</t>
  </si>
  <si>
    <t>Myrapla</t>
  </si>
  <si>
    <t>뚜벅쵸</t>
  </si>
  <si>
    <t>走路草</t>
  </si>
  <si>
    <t>Gloom</t>
  </si>
  <si>
    <t>クサイハナ</t>
  </si>
  <si>
    <t>Ortide</t>
  </si>
  <si>
    <t>Duflor</t>
  </si>
  <si>
    <t>냄새꼬</t>
  </si>
  <si>
    <t>臭臭花</t>
  </si>
  <si>
    <t>Vileplume</t>
  </si>
  <si>
    <t>ラフレシア</t>
  </si>
  <si>
    <t>Rafflesia</t>
  </si>
  <si>
    <t>Giflor</t>
  </si>
  <si>
    <t>라플레시아</t>
  </si>
  <si>
    <t>霸王花</t>
  </si>
  <si>
    <t>Paras</t>
  </si>
  <si>
    <t>パラス</t>
  </si>
  <si>
    <t>파라스</t>
  </si>
  <si>
    <t>派拉斯</t>
  </si>
  <si>
    <t>Parasect</t>
  </si>
  <si>
    <t>パラセクト</t>
  </si>
  <si>
    <t>Parasek</t>
  </si>
  <si>
    <t>파라섹트</t>
  </si>
  <si>
    <t>派拉斯特</t>
  </si>
  <si>
    <t>Venonat</t>
  </si>
  <si>
    <t>コンパン</t>
  </si>
  <si>
    <t>Mimitoss</t>
  </si>
  <si>
    <t>Bluzuk</t>
  </si>
  <si>
    <t>콘팡</t>
  </si>
  <si>
    <t>毛球</t>
  </si>
  <si>
    <t>Venomoth</t>
  </si>
  <si>
    <t>モルフォン</t>
  </si>
  <si>
    <t>Aéromite</t>
  </si>
  <si>
    <t>Omot</t>
  </si>
  <si>
    <t>도나리</t>
  </si>
  <si>
    <t>摩魯蛾</t>
  </si>
  <si>
    <t>Diglett</t>
  </si>
  <si>
    <t>ヂィグダ</t>
  </si>
  <si>
    <t>Taupiqueur</t>
  </si>
  <si>
    <t>Digda</t>
  </si>
  <si>
    <t>디그다</t>
  </si>
  <si>
    <t>地鼠</t>
  </si>
  <si>
    <t>Dugtrio</t>
  </si>
  <si>
    <t>ダグトリオ</t>
  </si>
  <si>
    <t>Triopikeur</t>
  </si>
  <si>
    <t>Digdri</t>
  </si>
  <si>
    <t>닥트리오</t>
  </si>
  <si>
    <t>三地鼠</t>
  </si>
  <si>
    <t>Meowth</t>
  </si>
  <si>
    <t>ニャース</t>
  </si>
  <si>
    <t>Miaouss</t>
  </si>
  <si>
    <t>Mauzi</t>
  </si>
  <si>
    <t>나옹</t>
  </si>
  <si>
    <t>喵喵</t>
  </si>
  <si>
    <t>Persian</t>
  </si>
  <si>
    <t>ペルシアン</t>
  </si>
  <si>
    <t>Snobilikat</t>
  </si>
  <si>
    <t>페르시온</t>
  </si>
  <si>
    <t>貓老大</t>
  </si>
  <si>
    <t>Psyduck</t>
  </si>
  <si>
    <t>コダック</t>
  </si>
  <si>
    <t>Psykokwak</t>
  </si>
  <si>
    <t>Enton</t>
  </si>
  <si>
    <t>고라파덕</t>
  </si>
  <si>
    <t>可達鴨</t>
  </si>
  <si>
    <t>Golduck</t>
  </si>
  <si>
    <t>ゴルダック</t>
  </si>
  <si>
    <t>Akwakwak</t>
  </si>
  <si>
    <t>Entoron</t>
  </si>
  <si>
    <t>골덕</t>
  </si>
  <si>
    <t>哥達鴨</t>
  </si>
  <si>
    <t>Mankey</t>
  </si>
  <si>
    <t>マンキー</t>
  </si>
  <si>
    <t>Férosinge</t>
  </si>
  <si>
    <t>망키</t>
  </si>
  <si>
    <t>猴怪</t>
  </si>
  <si>
    <t>Primape</t>
  </si>
  <si>
    <t>オコリザル</t>
  </si>
  <si>
    <t>Colosinge</t>
  </si>
  <si>
    <t>Rasaff</t>
  </si>
  <si>
    <t>성원숭</t>
  </si>
  <si>
    <t>火爆猴</t>
  </si>
  <si>
    <t>Growlithe</t>
  </si>
  <si>
    <t>ガーヂィ</t>
  </si>
  <si>
    <t>Caninos</t>
  </si>
  <si>
    <t>Fuakno</t>
  </si>
  <si>
    <t>가디</t>
  </si>
  <si>
    <t>卡蒂狗</t>
  </si>
  <si>
    <t>Arcanine</t>
  </si>
  <si>
    <t>ウインヂィ</t>
  </si>
  <si>
    <t>Arcanin</t>
  </si>
  <si>
    <t>Arkani</t>
  </si>
  <si>
    <t>윈디</t>
  </si>
  <si>
    <t>風速狗</t>
  </si>
  <si>
    <t>Poliwag</t>
  </si>
  <si>
    <t>ニョロモ</t>
  </si>
  <si>
    <t>Ptitard</t>
  </si>
  <si>
    <t>Quapsel</t>
  </si>
  <si>
    <t>발챙이</t>
  </si>
  <si>
    <t>蚊香蝌蚪</t>
  </si>
  <si>
    <t>Poliwhirl</t>
  </si>
  <si>
    <t>ニョロゾ</t>
  </si>
  <si>
    <t>Têtarte</t>
  </si>
  <si>
    <t>Quaputzi</t>
  </si>
  <si>
    <t>슈륙챙이</t>
  </si>
  <si>
    <t>蚊香君</t>
  </si>
  <si>
    <t>Poliwrath</t>
  </si>
  <si>
    <t>ニョロボン</t>
  </si>
  <si>
    <t>Tartard</t>
  </si>
  <si>
    <t>Quappo</t>
  </si>
  <si>
    <t>강챙이</t>
  </si>
  <si>
    <t>蚊香泳士</t>
  </si>
  <si>
    <t>Abra</t>
  </si>
  <si>
    <t>ケーシィ</t>
  </si>
  <si>
    <t>캐이시</t>
  </si>
  <si>
    <t>凱西</t>
  </si>
  <si>
    <t>Kadabra</t>
  </si>
  <si>
    <t>ユンゲラー</t>
  </si>
  <si>
    <t>윤겔라</t>
  </si>
  <si>
    <t>勇基拉</t>
  </si>
  <si>
    <t>Alakazam</t>
  </si>
  <si>
    <t>フーヂィン</t>
  </si>
  <si>
    <t>Simsala</t>
  </si>
  <si>
    <t>후디</t>
  </si>
  <si>
    <t>胡地</t>
  </si>
  <si>
    <t>Machop</t>
  </si>
  <si>
    <t>ワンリキー</t>
  </si>
  <si>
    <t>Machoc</t>
  </si>
  <si>
    <t>Machollo</t>
  </si>
  <si>
    <t>알통몬</t>
  </si>
  <si>
    <t>腕力</t>
  </si>
  <si>
    <t>Machoke</t>
  </si>
  <si>
    <t>ゴーリキー</t>
  </si>
  <si>
    <t>Machopeur</t>
  </si>
  <si>
    <t>Maschock</t>
  </si>
  <si>
    <t>근육몬</t>
  </si>
  <si>
    <t>豪力</t>
  </si>
  <si>
    <t>Machamp</t>
  </si>
  <si>
    <t>カイリキー</t>
  </si>
  <si>
    <t>Mackogneur</t>
  </si>
  <si>
    <t>Machomei</t>
  </si>
  <si>
    <t>괴력몬</t>
  </si>
  <si>
    <t>怪力</t>
  </si>
  <si>
    <t>Bellsprout</t>
  </si>
  <si>
    <t>マダツボミ</t>
  </si>
  <si>
    <t>Chétiflor</t>
  </si>
  <si>
    <t>Knofensa</t>
  </si>
  <si>
    <t>모다피</t>
  </si>
  <si>
    <t>喇叭芽</t>
  </si>
  <si>
    <t>Weepinbell</t>
  </si>
  <si>
    <t>ウツドン</t>
  </si>
  <si>
    <t>Boustiflor</t>
  </si>
  <si>
    <t>Ultrigaria</t>
  </si>
  <si>
    <t>우츠동</t>
  </si>
  <si>
    <t>口呆花</t>
  </si>
  <si>
    <t>Victreebel</t>
  </si>
  <si>
    <t>ウツボット</t>
  </si>
  <si>
    <t>Empiflor</t>
  </si>
  <si>
    <t>Sarzenia</t>
  </si>
  <si>
    <t>우츠보트</t>
  </si>
  <si>
    <t>大食花</t>
  </si>
  <si>
    <t>Tentacool</t>
  </si>
  <si>
    <t>メノクラゲ</t>
  </si>
  <si>
    <t>Tentacha</t>
  </si>
  <si>
    <t>왕눈해</t>
  </si>
  <si>
    <t>瑪瑙水母</t>
  </si>
  <si>
    <t>Tentacruel</t>
  </si>
  <si>
    <t>ドククラゲ</t>
  </si>
  <si>
    <t>Tentoxa</t>
  </si>
  <si>
    <t>독파리</t>
  </si>
  <si>
    <t>毒刺水母</t>
  </si>
  <si>
    <t>Geodude</t>
  </si>
  <si>
    <t>イシツブテ</t>
  </si>
  <si>
    <t>Racaillou</t>
  </si>
  <si>
    <t>Kleinstein</t>
  </si>
  <si>
    <t>꼬마돌</t>
  </si>
  <si>
    <t>小拳石</t>
  </si>
  <si>
    <t>Graveler</t>
  </si>
  <si>
    <t>ゴローン</t>
  </si>
  <si>
    <t>Gravalanch</t>
  </si>
  <si>
    <t>Georok</t>
  </si>
  <si>
    <t>데구리</t>
  </si>
  <si>
    <t>隆隆石</t>
  </si>
  <si>
    <t>Golem</t>
  </si>
  <si>
    <t>ゴローニャ</t>
  </si>
  <si>
    <t>Grolem</t>
  </si>
  <si>
    <t>Geowaz</t>
  </si>
  <si>
    <t>딱구리</t>
  </si>
  <si>
    <t>隆隆岩</t>
  </si>
  <si>
    <t>Ponyta</t>
  </si>
  <si>
    <t>ポニータ</t>
  </si>
  <si>
    <t>포니타</t>
  </si>
  <si>
    <t>小火馬</t>
  </si>
  <si>
    <t>Rapidash</t>
  </si>
  <si>
    <t>ギャロップ</t>
  </si>
  <si>
    <t>Galopa</t>
  </si>
  <si>
    <t>Gallopa</t>
  </si>
  <si>
    <t>날쌩마</t>
  </si>
  <si>
    <t>烈焰馬</t>
  </si>
  <si>
    <t>Slowpoke</t>
  </si>
  <si>
    <t>ヤドン</t>
  </si>
  <si>
    <t>Ramoloss</t>
  </si>
  <si>
    <t>Flegmon</t>
  </si>
  <si>
    <t>야돈</t>
  </si>
  <si>
    <t>呆呆獸</t>
  </si>
  <si>
    <t>Slowbro</t>
  </si>
  <si>
    <t>ヤドラン</t>
  </si>
  <si>
    <t>Flagadoss</t>
  </si>
  <si>
    <t>Lahmus</t>
  </si>
  <si>
    <t>야도란</t>
  </si>
  <si>
    <t>呆壳兽</t>
  </si>
  <si>
    <t>Magnemite</t>
  </si>
  <si>
    <t>コイル</t>
  </si>
  <si>
    <t>Magnéti</t>
  </si>
  <si>
    <t>Magnetilo</t>
  </si>
  <si>
    <t>코일</t>
  </si>
  <si>
    <t>小磁怪</t>
  </si>
  <si>
    <t>Magneton</t>
  </si>
  <si>
    <t>レアコイル</t>
  </si>
  <si>
    <t>Magnéton</t>
  </si>
  <si>
    <t>레어코일</t>
  </si>
  <si>
    <t>三合一磁怪</t>
  </si>
  <si>
    <t>NAME_PkMn_FARFETCHD</t>
  </si>
  <si>
    <t>Farfetch'd</t>
  </si>
  <si>
    <t>カモネギ</t>
  </si>
  <si>
    <t>Canarticho</t>
  </si>
  <si>
    <t>Porenta</t>
  </si>
  <si>
    <t>파오리</t>
  </si>
  <si>
    <t>大蔥鴨</t>
  </si>
  <si>
    <t>Doduo</t>
  </si>
  <si>
    <t>ドードー</t>
  </si>
  <si>
    <t>Dodu</t>
  </si>
  <si>
    <t>두두</t>
  </si>
  <si>
    <t>嘟嘟</t>
  </si>
  <si>
    <t>Dodrio</t>
  </si>
  <si>
    <t>ドードリオ</t>
  </si>
  <si>
    <t>Dodri</t>
  </si>
  <si>
    <t>두트리오</t>
  </si>
  <si>
    <t>嘟嘟利</t>
  </si>
  <si>
    <t>Seel</t>
  </si>
  <si>
    <t>パウワウ</t>
  </si>
  <si>
    <t>Otaria</t>
  </si>
  <si>
    <t>Jurob</t>
  </si>
  <si>
    <t>쥬쥬</t>
  </si>
  <si>
    <t>小海獅</t>
  </si>
  <si>
    <t>Dewgong</t>
  </si>
  <si>
    <t>ジュゴン</t>
  </si>
  <si>
    <t>Lamantine</t>
  </si>
  <si>
    <t>Jugong</t>
  </si>
  <si>
    <t>쥬레곤</t>
  </si>
  <si>
    <t>白海獅</t>
  </si>
  <si>
    <t>Grimer</t>
  </si>
  <si>
    <t>ベトベター</t>
  </si>
  <si>
    <t>Tadmorv</t>
  </si>
  <si>
    <t>Sleima</t>
  </si>
  <si>
    <t>질퍽이</t>
  </si>
  <si>
    <t>臭泥</t>
  </si>
  <si>
    <t>Muk</t>
  </si>
  <si>
    <t>ベトベトン</t>
  </si>
  <si>
    <t>Grotadmorv</t>
  </si>
  <si>
    <t>Sleimok</t>
  </si>
  <si>
    <t>질뻐기</t>
  </si>
  <si>
    <t>臭臭泥</t>
  </si>
  <si>
    <t>Shellder</t>
  </si>
  <si>
    <t>シェルダー</t>
  </si>
  <si>
    <t>Kokiyas</t>
  </si>
  <si>
    <t>Muschas</t>
  </si>
  <si>
    <t>셀러</t>
  </si>
  <si>
    <t>大舌貝</t>
  </si>
  <si>
    <t>Cloyster</t>
  </si>
  <si>
    <t>パルシェン</t>
  </si>
  <si>
    <t>Crustabri</t>
  </si>
  <si>
    <t>Austos</t>
  </si>
  <si>
    <t>파르셀</t>
  </si>
  <si>
    <t>刺甲貝</t>
  </si>
  <si>
    <t>Gastly</t>
  </si>
  <si>
    <t>ゴース</t>
  </si>
  <si>
    <t>Fantominus</t>
  </si>
  <si>
    <t>Nebulak</t>
  </si>
  <si>
    <t>고오스</t>
  </si>
  <si>
    <t>鬼斯</t>
  </si>
  <si>
    <t>Haunter</t>
  </si>
  <si>
    <t>ゴースト</t>
  </si>
  <si>
    <t>Spectrum</t>
  </si>
  <si>
    <t>Apollo</t>
  </si>
  <si>
    <t>고우스트</t>
  </si>
  <si>
    <t>鬼斯通</t>
  </si>
  <si>
    <t>Gengar</t>
  </si>
  <si>
    <t>ゲンガー</t>
  </si>
  <si>
    <t>Ectoplasma</t>
  </si>
  <si>
    <t>팬텀</t>
  </si>
  <si>
    <t>耿鬼</t>
  </si>
  <si>
    <t>Onix</t>
  </si>
  <si>
    <t>イワーク</t>
  </si>
  <si>
    <t>롱스톤</t>
  </si>
  <si>
    <t>大岩蛇</t>
  </si>
  <si>
    <t>Drowzee</t>
  </si>
  <si>
    <t>スリープ</t>
  </si>
  <si>
    <t>Soporifik</t>
  </si>
  <si>
    <t>Traumato</t>
  </si>
  <si>
    <t>슬리프</t>
  </si>
  <si>
    <t>催眠貘</t>
  </si>
  <si>
    <t>Hypno</t>
  </si>
  <si>
    <t>スリーパー</t>
  </si>
  <si>
    <t>Hypnomade</t>
  </si>
  <si>
    <t>슬리퍼</t>
  </si>
  <si>
    <t>引夢貘人</t>
  </si>
  <si>
    <t>Krabby</t>
  </si>
  <si>
    <t>クラブ</t>
  </si>
  <si>
    <t>크랩</t>
  </si>
  <si>
    <t>大鉗蟹</t>
  </si>
  <si>
    <t>Kingler</t>
  </si>
  <si>
    <t>キングラー</t>
  </si>
  <si>
    <t>Krabboss</t>
  </si>
  <si>
    <t>킹크랩</t>
  </si>
  <si>
    <t>巨鉗蟹</t>
  </si>
  <si>
    <t>Voltorb</t>
  </si>
  <si>
    <t>ビリリダマ</t>
  </si>
  <si>
    <t>Voltorbe</t>
  </si>
  <si>
    <t>Voltobal</t>
  </si>
  <si>
    <t>찌리리공</t>
  </si>
  <si>
    <t>霹靂電球</t>
  </si>
  <si>
    <t>Electrode</t>
  </si>
  <si>
    <t>マルマリン</t>
  </si>
  <si>
    <t>Électrode</t>
  </si>
  <si>
    <t>Lektrobal</t>
  </si>
  <si>
    <t>붐볼</t>
  </si>
  <si>
    <t>頑皮雷彈</t>
  </si>
  <si>
    <t>Exeggcute</t>
  </si>
  <si>
    <t>タマタマ</t>
  </si>
  <si>
    <t>Noeunoeuf</t>
  </si>
  <si>
    <t>Owei</t>
  </si>
  <si>
    <t>아라리</t>
  </si>
  <si>
    <t>蛋蛋</t>
  </si>
  <si>
    <t>Exeggutor</t>
  </si>
  <si>
    <t>ナッシー</t>
  </si>
  <si>
    <t>Noadkoko</t>
  </si>
  <si>
    <t>Kokowei</t>
  </si>
  <si>
    <t>나시</t>
  </si>
  <si>
    <t>椰蛋樹</t>
  </si>
  <si>
    <t>Cubone</t>
  </si>
  <si>
    <t>カラカラ</t>
  </si>
  <si>
    <t>Osselait</t>
  </si>
  <si>
    <t>Tragosso</t>
  </si>
  <si>
    <t>탕구리</t>
  </si>
  <si>
    <t>卡拉卡拉</t>
  </si>
  <si>
    <t>Marowak</t>
  </si>
  <si>
    <t>ガラガラ</t>
  </si>
  <si>
    <t>Ossatueur</t>
  </si>
  <si>
    <t>Knogga</t>
  </si>
  <si>
    <t>텅구리</t>
  </si>
  <si>
    <t>嘎啦嘎啦</t>
  </si>
  <si>
    <t>Hitmonlee</t>
  </si>
  <si>
    <t>サワムラー</t>
  </si>
  <si>
    <t>Kicklee</t>
  </si>
  <si>
    <t>시라소몬</t>
  </si>
  <si>
    <t>飛腿郎</t>
  </si>
  <si>
    <t>Hitmonchan</t>
  </si>
  <si>
    <t>エビワラー</t>
  </si>
  <si>
    <t>Tygnon</t>
  </si>
  <si>
    <t>Nokchan</t>
  </si>
  <si>
    <t>홍수몬</t>
  </si>
  <si>
    <t>快拳郎</t>
  </si>
  <si>
    <t>Lickitung</t>
  </si>
  <si>
    <t>ベロリンガ</t>
  </si>
  <si>
    <t>Excelangue</t>
  </si>
  <si>
    <t>Schlurp</t>
  </si>
  <si>
    <t>내루미</t>
  </si>
  <si>
    <t>大舌頭</t>
  </si>
  <si>
    <t>Koffing</t>
  </si>
  <si>
    <t>ドガース</t>
  </si>
  <si>
    <t>Smogo</t>
  </si>
  <si>
    <t>Smogon</t>
  </si>
  <si>
    <t>또가스</t>
  </si>
  <si>
    <t>瓦斯彈</t>
  </si>
  <si>
    <t>Weezing</t>
  </si>
  <si>
    <t>マタドカース</t>
  </si>
  <si>
    <t>Smogogo</t>
  </si>
  <si>
    <t>Smogmog</t>
  </si>
  <si>
    <t>또도가스</t>
  </si>
  <si>
    <t>雙彈瓦斯</t>
  </si>
  <si>
    <t>Rhyhorn</t>
  </si>
  <si>
    <t>サイホーン</t>
  </si>
  <si>
    <t>Rhinocorne</t>
  </si>
  <si>
    <t>Rihorn</t>
  </si>
  <si>
    <t>뿔카노</t>
  </si>
  <si>
    <t>獨角犀牛</t>
  </si>
  <si>
    <t>Rhydon</t>
  </si>
  <si>
    <t>サイドン</t>
  </si>
  <si>
    <t>Rhinoféros</t>
  </si>
  <si>
    <t>Rizeros</t>
  </si>
  <si>
    <t>코뿌리</t>
  </si>
  <si>
    <t>鑽角犀獸</t>
  </si>
  <si>
    <t>Chansey</t>
  </si>
  <si>
    <t>ラッキ</t>
  </si>
  <si>
    <t>Leveinard</t>
  </si>
  <si>
    <t>Chaneira</t>
  </si>
  <si>
    <t>럭키</t>
  </si>
  <si>
    <t>吉利蛋</t>
  </si>
  <si>
    <t>Tangela</t>
  </si>
  <si>
    <t>モンジャラ</t>
  </si>
  <si>
    <t>Saquedeneu</t>
  </si>
  <si>
    <t>덩구리</t>
  </si>
  <si>
    <t>蔓藤怪</t>
  </si>
  <si>
    <t>Kangaskhan</t>
  </si>
  <si>
    <t>ガルーラ</t>
  </si>
  <si>
    <t>Kangourex</t>
  </si>
  <si>
    <t>Kangama</t>
  </si>
  <si>
    <t>캥카</t>
  </si>
  <si>
    <t>袋兽</t>
  </si>
  <si>
    <t>Horsea</t>
  </si>
  <si>
    <t>タッツー</t>
  </si>
  <si>
    <t>Hypotrempe</t>
  </si>
  <si>
    <t>Seeper</t>
  </si>
  <si>
    <t>쏘드라</t>
  </si>
  <si>
    <t>墨海馬</t>
  </si>
  <si>
    <t>Seadra</t>
  </si>
  <si>
    <t>シードラ</t>
  </si>
  <si>
    <t>Hypocéan</t>
  </si>
  <si>
    <t>Seemon</t>
  </si>
  <si>
    <t>시드라</t>
  </si>
  <si>
    <t>海刺龍</t>
  </si>
  <si>
    <t>Goldeen</t>
  </si>
  <si>
    <t>トサキント</t>
  </si>
  <si>
    <t>Poissirène</t>
  </si>
  <si>
    <t>Goldini</t>
  </si>
  <si>
    <t>콘치</t>
  </si>
  <si>
    <t>角金魚</t>
  </si>
  <si>
    <t>Seaking</t>
  </si>
  <si>
    <t>アズマオウ</t>
  </si>
  <si>
    <t>Poissoroy</t>
  </si>
  <si>
    <t>Golking</t>
  </si>
  <si>
    <t>왕콘치</t>
  </si>
  <si>
    <t>金魚王</t>
  </si>
  <si>
    <t>Staryu</t>
  </si>
  <si>
    <t>ヒトデマン</t>
  </si>
  <si>
    <t>Stari</t>
  </si>
  <si>
    <t>Sterndu</t>
  </si>
  <si>
    <t>별가사리</t>
  </si>
  <si>
    <t>海星星</t>
  </si>
  <si>
    <t>Starmie</t>
  </si>
  <si>
    <t>スターミー</t>
  </si>
  <si>
    <t>Staross</t>
  </si>
  <si>
    <t>아쿠스타</t>
  </si>
  <si>
    <t>寶石海星</t>
  </si>
  <si>
    <t>NAME_PkMn_MRMIME</t>
  </si>
  <si>
    <t>Mr. Mime</t>
  </si>
  <si>
    <t>バリヤード</t>
  </si>
  <si>
    <t>M. Mime</t>
  </si>
  <si>
    <t>Pantimos</t>
  </si>
  <si>
    <t>마임맨</t>
  </si>
  <si>
    <t>魔牆人偶</t>
  </si>
  <si>
    <t>Scyther</t>
  </si>
  <si>
    <t>ストライク</t>
  </si>
  <si>
    <t>Insécateur</t>
  </si>
  <si>
    <t>Sichlor</t>
  </si>
  <si>
    <t>스라크</t>
  </si>
  <si>
    <t>飛天螳螂</t>
  </si>
  <si>
    <t>Jynx</t>
  </si>
  <si>
    <t>ルージュラ</t>
  </si>
  <si>
    <t>Lippoutou</t>
  </si>
  <si>
    <t>Rossana</t>
  </si>
  <si>
    <t>루주라</t>
  </si>
  <si>
    <t>迷唇姐</t>
  </si>
  <si>
    <t>Electabuzz</t>
  </si>
  <si>
    <t>エレブー</t>
  </si>
  <si>
    <t>Élektek</t>
  </si>
  <si>
    <t>Elektek</t>
  </si>
  <si>
    <t>에레브</t>
  </si>
  <si>
    <t>電擊獸</t>
  </si>
  <si>
    <t>Magmar</t>
  </si>
  <si>
    <t>ブーバー</t>
  </si>
  <si>
    <t>마그마</t>
  </si>
  <si>
    <t>鴨嘴火獸</t>
  </si>
  <si>
    <t>Pinisir</t>
  </si>
  <si>
    <t>カイロス</t>
  </si>
  <si>
    <t>Scarabrute</t>
  </si>
  <si>
    <t>쁘사이저</t>
  </si>
  <si>
    <t>凯罗斯</t>
  </si>
  <si>
    <t>Tauros</t>
  </si>
  <si>
    <t>ケンタロス</t>
  </si>
  <si>
    <t>켄타로스</t>
  </si>
  <si>
    <t>肯泰羅</t>
  </si>
  <si>
    <t>Magikarp</t>
  </si>
  <si>
    <t>コイキング</t>
  </si>
  <si>
    <t>Magicarpe</t>
  </si>
  <si>
    <t>잉어킹</t>
  </si>
  <si>
    <t>鯉魚王</t>
  </si>
  <si>
    <t>Gyrados</t>
  </si>
  <si>
    <t>ギャラドス</t>
  </si>
  <si>
    <t>Léviator</t>
  </si>
  <si>
    <t>Garados</t>
  </si>
  <si>
    <t>갸라도스</t>
  </si>
  <si>
    <t>暴鲤龙</t>
  </si>
  <si>
    <t>Lapras</t>
  </si>
  <si>
    <t>ラプラス</t>
  </si>
  <si>
    <t>Lokhlass</t>
  </si>
  <si>
    <t>라프라스</t>
  </si>
  <si>
    <t>拉普拉斯</t>
  </si>
  <si>
    <t>Ditto</t>
  </si>
  <si>
    <t>メタモン</t>
  </si>
  <si>
    <t>Métamorph</t>
  </si>
  <si>
    <t>메타몽</t>
  </si>
  <si>
    <t>百變怪</t>
  </si>
  <si>
    <t>Eevee</t>
  </si>
  <si>
    <t>イーブイ</t>
  </si>
  <si>
    <t>Évoli</t>
  </si>
  <si>
    <t>Evoli</t>
  </si>
  <si>
    <t>이브이</t>
  </si>
  <si>
    <t>伊布</t>
  </si>
  <si>
    <t>Vaporeon</t>
  </si>
  <si>
    <t>シャワーズ</t>
  </si>
  <si>
    <t>Aquali</t>
  </si>
  <si>
    <t>Aquana</t>
  </si>
  <si>
    <t>샤미드</t>
  </si>
  <si>
    <t>水伊布</t>
  </si>
  <si>
    <t>Jolteon</t>
  </si>
  <si>
    <t>サンダース</t>
  </si>
  <si>
    <t>Voltali</t>
  </si>
  <si>
    <t>Blitza</t>
  </si>
  <si>
    <t>쥬피썬더</t>
  </si>
  <si>
    <t>雷伊布</t>
  </si>
  <si>
    <t>Flareon</t>
  </si>
  <si>
    <t>ブースター</t>
  </si>
  <si>
    <t>Pyroli</t>
  </si>
  <si>
    <t>Flamara</t>
  </si>
  <si>
    <t>부스터</t>
  </si>
  <si>
    <t>火伊布</t>
  </si>
  <si>
    <t>Porygon</t>
  </si>
  <si>
    <t>ポリゴン</t>
  </si>
  <si>
    <t>폴리곤</t>
  </si>
  <si>
    <t>多边兽</t>
  </si>
  <si>
    <t>Omanyte</t>
  </si>
  <si>
    <t>オムナイト</t>
  </si>
  <si>
    <t>Amonita</t>
  </si>
  <si>
    <t>Amonitas</t>
  </si>
  <si>
    <t>암나이트</t>
  </si>
  <si>
    <t>菊石獸</t>
  </si>
  <si>
    <t>Omastar</t>
  </si>
  <si>
    <t>オムスター</t>
  </si>
  <si>
    <t>Amonistar</t>
  </si>
  <si>
    <t>Amoroso</t>
  </si>
  <si>
    <t>암스타</t>
  </si>
  <si>
    <t>多刺菊石獸</t>
  </si>
  <si>
    <t>Kabuto</t>
  </si>
  <si>
    <t>カブト</t>
  </si>
  <si>
    <t>투구</t>
  </si>
  <si>
    <t>化石盔</t>
  </si>
  <si>
    <t>Kabutops</t>
  </si>
  <si>
    <t>カブトプス</t>
  </si>
  <si>
    <t>투구푸스</t>
  </si>
  <si>
    <t>鐮刀盔</t>
  </si>
  <si>
    <t>Aerodactyl</t>
  </si>
  <si>
    <t>プテラ</t>
  </si>
  <si>
    <t>Ptéra</t>
  </si>
  <si>
    <t>프테라</t>
  </si>
  <si>
    <t>化石翼龙</t>
  </si>
  <si>
    <t>Snorlax</t>
  </si>
  <si>
    <t>カビゴン</t>
  </si>
  <si>
    <t>Ronflex</t>
  </si>
  <si>
    <t>Relaxo</t>
  </si>
  <si>
    <t>잠만보</t>
  </si>
  <si>
    <t>卡比兽</t>
  </si>
  <si>
    <t>Articuno</t>
  </si>
  <si>
    <t>フリーザー</t>
  </si>
  <si>
    <t>Artikodin</t>
  </si>
  <si>
    <t>Arktos</t>
  </si>
  <si>
    <t>프리져</t>
  </si>
  <si>
    <t>急凍鳥</t>
  </si>
  <si>
    <t>Zapdos</t>
  </si>
  <si>
    <t>サンダー</t>
  </si>
  <si>
    <t>Électhor</t>
  </si>
  <si>
    <t>썬더</t>
  </si>
  <si>
    <t>閃電鳥</t>
  </si>
  <si>
    <t>Moltres</t>
  </si>
  <si>
    <t>ファイヤー</t>
  </si>
  <si>
    <t>Sulfura</t>
  </si>
  <si>
    <t>Lavados</t>
  </si>
  <si>
    <t>파이어</t>
  </si>
  <si>
    <t>火焰鳥</t>
  </si>
  <si>
    <t>Dratini</t>
  </si>
  <si>
    <t>ミニリュウ</t>
  </si>
  <si>
    <t>Minidraco</t>
  </si>
  <si>
    <t>미뇽</t>
  </si>
  <si>
    <t>迷你龍</t>
  </si>
  <si>
    <t>Dragonair</t>
  </si>
  <si>
    <t>ハクリュウ</t>
  </si>
  <si>
    <t>Draco</t>
  </si>
  <si>
    <t>Dragonir</t>
  </si>
  <si>
    <t>신뇽</t>
  </si>
  <si>
    <t>哈克龍</t>
  </si>
  <si>
    <t>Dragonite</t>
  </si>
  <si>
    <t>カイリュウ</t>
  </si>
  <si>
    <t>Dracolosse</t>
  </si>
  <si>
    <t>Dragoran</t>
  </si>
  <si>
    <t>망나뇽</t>
  </si>
  <si>
    <t>快龍</t>
  </si>
  <si>
    <t>Mewtwo</t>
  </si>
  <si>
    <t>ミュウツー</t>
  </si>
  <si>
    <t>Mewtu</t>
  </si>
  <si>
    <t>뮤츠</t>
  </si>
  <si>
    <t>超梦</t>
  </si>
  <si>
    <t>Mew</t>
  </si>
  <si>
    <t>ミュウ</t>
  </si>
  <si>
    <t>뮤</t>
  </si>
  <si>
    <t>梦幻</t>
  </si>
  <si>
    <t>Chikorita</t>
  </si>
  <si>
    <t>チコリータ</t>
  </si>
  <si>
    <t>Germinion</t>
  </si>
  <si>
    <t>Endivie</t>
  </si>
  <si>
    <t>치코리타</t>
  </si>
  <si>
    <t>菊草葉</t>
  </si>
  <si>
    <t>Bayleef</t>
  </si>
  <si>
    <t>ベイリーフ</t>
  </si>
  <si>
    <t>Macronium</t>
  </si>
  <si>
    <t>Lorblatt</t>
  </si>
  <si>
    <t>베이리프</t>
  </si>
  <si>
    <t>月桂葉</t>
  </si>
  <si>
    <t>Meganium</t>
  </si>
  <si>
    <t>メガニウム</t>
  </si>
  <si>
    <t>Méganium</t>
  </si>
  <si>
    <t>Meganie</t>
  </si>
  <si>
    <t>메가니움</t>
  </si>
  <si>
    <t>大竺葵</t>
  </si>
  <si>
    <t>Cyndaquil</t>
  </si>
  <si>
    <t>ヒノアラシ</t>
  </si>
  <si>
    <t>Héricendre</t>
  </si>
  <si>
    <t>Feuriegel</t>
  </si>
  <si>
    <t>브케인</t>
  </si>
  <si>
    <t>火球鼠</t>
  </si>
  <si>
    <t>Quilava</t>
  </si>
  <si>
    <t>マグマラシ</t>
  </si>
  <si>
    <t>Feurisson</t>
  </si>
  <si>
    <t>Igelavar</t>
  </si>
  <si>
    <t>마그케인</t>
  </si>
  <si>
    <t>火岩鼠</t>
  </si>
  <si>
    <t>Typhlosion</t>
  </si>
  <si>
    <t>バクフーン</t>
  </si>
  <si>
    <t>Tornupto</t>
  </si>
  <si>
    <t>블레이범</t>
  </si>
  <si>
    <t>火爆獸</t>
  </si>
  <si>
    <t>Totodile</t>
  </si>
  <si>
    <t>ワニノコ</t>
  </si>
  <si>
    <t>Kaiminus</t>
  </si>
  <si>
    <t>Karnimani</t>
  </si>
  <si>
    <t>리아코</t>
  </si>
  <si>
    <t>小鋸鱷</t>
  </si>
  <si>
    <t>Croconaw</t>
  </si>
  <si>
    <t>アリゲイツ</t>
  </si>
  <si>
    <t>Crocrodil</t>
  </si>
  <si>
    <t>Tyracroc</t>
  </si>
  <si>
    <t>엘리게이</t>
  </si>
  <si>
    <t>藍鱷</t>
  </si>
  <si>
    <t>Feraligatr</t>
  </si>
  <si>
    <t>オーダイル</t>
  </si>
  <si>
    <t>Aligatueur</t>
  </si>
  <si>
    <t>Impergator</t>
  </si>
  <si>
    <t>장크로다일</t>
  </si>
  <si>
    <t>大力鱷</t>
  </si>
  <si>
    <t>Sentret</t>
  </si>
  <si>
    <t>オタチ</t>
  </si>
  <si>
    <t>Fouinette</t>
  </si>
  <si>
    <t>Wiesor</t>
  </si>
  <si>
    <t>꼬리선</t>
  </si>
  <si>
    <t>尾立</t>
  </si>
  <si>
    <t>Furret</t>
  </si>
  <si>
    <t>オオタチ</t>
  </si>
  <si>
    <t>Fouinar</t>
  </si>
  <si>
    <t>Wiesenior</t>
  </si>
  <si>
    <t>다꼬리</t>
  </si>
  <si>
    <t>大尾立</t>
  </si>
  <si>
    <t>Hoothoot</t>
  </si>
  <si>
    <t>ホホーホー</t>
  </si>
  <si>
    <t>부우부</t>
  </si>
  <si>
    <t>咕咕</t>
  </si>
  <si>
    <t>Noctowl</t>
  </si>
  <si>
    <t>ヨルノズク</t>
  </si>
  <si>
    <t>Noarfang</t>
  </si>
  <si>
    <t>Noctuh</t>
  </si>
  <si>
    <t>야부엉</t>
  </si>
  <si>
    <t>貓頭夜鷹</t>
  </si>
  <si>
    <t>Ledyba</t>
  </si>
  <si>
    <t>レヂィバ</t>
  </si>
  <si>
    <t>Coxy</t>
  </si>
  <si>
    <t>레디바</t>
  </si>
  <si>
    <t>芭瓢蟲</t>
  </si>
  <si>
    <t>Ledian</t>
  </si>
  <si>
    <t>レヂィアン</t>
  </si>
  <si>
    <t>Coxyclaque</t>
  </si>
  <si>
    <t>레디안</t>
  </si>
  <si>
    <t>安瓢蟲</t>
  </si>
  <si>
    <t>Spinarak</t>
  </si>
  <si>
    <t>イトマル</t>
  </si>
  <si>
    <t>Mimigal</t>
  </si>
  <si>
    <t>Webarak</t>
  </si>
  <si>
    <t>페이검</t>
  </si>
  <si>
    <t>圓絲蛛</t>
  </si>
  <si>
    <t>Ariados</t>
  </si>
  <si>
    <t>アリアドス</t>
  </si>
  <si>
    <t>Migalos</t>
  </si>
  <si>
    <t>아리아도스</t>
  </si>
  <si>
    <t>阿利多斯</t>
  </si>
  <si>
    <t>Crobat</t>
  </si>
  <si>
    <t>クロバット</t>
  </si>
  <si>
    <t>Nostenfer</t>
  </si>
  <si>
    <t>Iksbat</t>
  </si>
  <si>
    <t>크로뱃</t>
  </si>
  <si>
    <t>叉字蝠</t>
  </si>
  <si>
    <t>Chinchou</t>
  </si>
  <si>
    <t>チョンチー</t>
  </si>
  <si>
    <t>Loupio</t>
  </si>
  <si>
    <t>Lampi</t>
  </si>
  <si>
    <t>초라기</t>
  </si>
  <si>
    <t>燈籠魚</t>
  </si>
  <si>
    <t>Lanturn</t>
  </si>
  <si>
    <t>ランターン</t>
  </si>
  <si>
    <t>랜턴</t>
  </si>
  <si>
    <t>電燈怪</t>
  </si>
  <si>
    <t>Pichu</t>
  </si>
  <si>
    <t>ピチュウ</t>
  </si>
  <si>
    <t>피츄</t>
  </si>
  <si>
    <t>皮丘</t>
  </si>
  <si>
    <t>Cleffa</t>
  </si>
  <si>
    <t>ピィ</t>
  </si>
  <si>
    <t>Mélo</t>
  </si>
  <si>
    <t>Pii</t>
  </si>
  <si>
    <t>삐</t>
  </si>
  <si>
    <t>皮寶寶</t>
  </si>
  <si>
    <t>Igglybuff</t>
  </si>
  <si>
    <t>ププリン</t>
  </si>
  <si>
    <t>Toudoudou</t>
  </si>
  <si>
    <t>Fluffefeluff</t>
  </si>
  <si>
    <t>푸푸린</t>
  </si>
  <si>
    <t>寶寶丁</t>
  </si>
  <si>
    <t>Togepi</t>
  </si>
  <si>
    <t>トゲピー</t>
  </si>
  <si>
    <t>토게피</t>
  </si>
  <si>
    <t>波克比</t>
  </si>
  <si>
    <t>Togetic</t>
  </si>
  <si>
    <t>トゲチック</t>
  </si>
  <si>
    <t>토게틱</t>
  </si>
  <si>
    <t>波克基古</t>
  </si>
  <si>
    <t>Natu</t>
  </si>
  <si>
    <t>ネイチィ</t>
  </si>
  <si>
    <t>네이티</t>
  </si>
  <si>
    <t>天然雀</t>
  </si>
  <si>
    <t>Xatu</t>
  </si>
  <si>
    <t>ネイチィオ</t>
  </si>
  <si>
    <t>네이티오</t>
  </si>
  <si>
    <t>天然鳥</t>
  </si>
  <si>
    <t>Mareep</t>
  </si>
  <si>
    <t>メリープ</t>
  </si>
  <si>
    <t>Wattouat</t>
  </si>
  <si>
    <t>Voltilamm</t>
  </si>
  <si>
    <t>메리프</t>
  </si>
  <si>
    <t>咩利羊</t>
  </si>
  <si>
    <t>Flaaffy</t>
  </si>
  <si>
    <t>モココ</t>
  </si>
  <si>
    <t>Lainergie</t>
  </si>
  <si>
    <t>Waaty</t>
  </si>
  <si>
    <t>보송송</t>
  </si>
  <si>
    <t>茸茸羊</t>
  </si>
  <si>
    <t>Ampharos</t>
  </si>
  <si>
    <t>デンリュウ</t>
  </si>
  <si>
    <t>Pharamp</t>
  </si>
  <si>
    <t>mpharos</t>
  </si>
  <si>
    <t>전룡</t>
  </si>
  <si>
    <t>电龙</t>
  </si>
  <si>
    <t>Bellossom</t>
  </si>
  <si>
    <t>キレイハナ</t>
  </si>
  <si>
    <t>Joliflor</t>
  </si>
  <si>
    <t>Blubella</t>
  </si>
  <si>
    <t>아르코</t>
  </si>
  <si>
    <t>美麗花</t>
  </si>
  <si>
    <t>Marill</t>
  </si>
  <si>
    <t>マリル</t>
  </si>
  <si>
    <t>마릴</t>
  </si>
  <si>
    <t>瑪力露</t>
  </si>
  <si>
    <t>Azumarill</t>
  </si>
  <si>
    <t>マリルリ</t>
  </si>
  <si>
    <t>마릴리</t>
  </si>
  <si>
    <t>瑪力露麗</t>
  </si>
  <si>
    <t>Sudowoodo</t>
  </si>
  <si>
    <t>ウソッキー</t>
  </si>
  <si>
    <t>Simularbre</t>
  </si>
  <si>
    <t>Mogelbaum</t>
  </si>
  <si>
    <t>꼬지모</t>
  </si>
  <si>
    <t>樹才怪</t>
  </si>
  <si>
    <t>Politoed</t>
  </si>
  <si>
    <t>ニョロトノ</t>
  </si>
  <si>
    <t>Tarpaud</t>
  </si>
  <si>
    <t>Quaxo</t>
  </si>
  <si>
    <t>왕구리</t>
  </si>
  <si>
    <t>蚊香蛙皇</t>
  </si>
  <si>
    <t>Hoppip</t>
  </si>
  <si>
    <t>ハネッコ</t>
  </si>
  <si>
    <t>Granivol</t>
  </si>
  <si>
    <t>Hoppspross</t>
  </si>
  <si>
    <t>통통코</t>
  </si>
  <si>
    <t>毽子草</t>
  </si>
  <si>
    <t>Skiploom</t>
  </si>
  <si>
    <t>ポポッコ</t>
  </si>
  <si>
    <t>Floravol</t>
  </si>
  <si>
    <t>Hubelupf</t>
  </si>
  <si>
    <t>두코</t>
  </si>
  <si>
    <t>毽子花</t>
  </si>
  <si>
    <t>Jumpluff</t>
  </si>
  <si>
    <t>ワタッコ</t>
  </si>
  <si>
    <t>Cotovol</t>
  </si>
  <si>
    <t>Papungha</t>
  </si>
  <si>
    <t>솜솜코</t>
  </si>
  <si>
    <t>毽子棉</t>
  </si>
  <si>
    <t>Aipom</t>
  </si>
  <si>
    <t>エイパム</t>
  </si>
  <si>
    <t>Capumain</t>
  </si>
  <si>
    <t>Griffel</t>
  </si>
  <si>
    <t>에이팜</t>
  </si>
  <si>
    <t>長尾怪手</t>
  </si>
  <si>
    <t>Sunkern</t>
  </si>
  <si>
    <t>ヒマナッツ</t>
  </si>
  <si>
    <t>Tournegrain</t>
  </si>
  <si>
    <t>Sonnkern</t>
  </si>
  <si>
    <t>해너츠</t>
  </si>
  <si>
    <t>向日種子</t>
  </si>
  <si>
    <t>Sunflora</t>
  </si>
  <si>
    <t>キミワリ</t>
  </si>
  <si>
    <t>Héliatronc</t>
  </si>
  <si>
    <t>Sonflora</t>
  </si>
  <si>
    <t>해루미</t>
  </si>
  <si>
    <t>向日花怪</t>
  </si>
  <si>
    <t>Yanma</t>
  </si>
  <si>
    <t>ヤンヤンマ</t>
  </si>
  <si>
    <t>왕자리</t>
  </si>
  <si>
    <t>蜻蜻蜓</t>
  </si>
  <si>
    <t>Wooper</t>
  </si>
  <si>
    <t>ウパー</t>
  </si>
  <si>
    <t>Axoloto</t>
  </si>
  <si>
    <t>Felino</t>
  </si>
  <si>
    <t>우파</t>
  </si>
  <si>
    <t>烏波</t>
  </si>
  <si>
    <t>Quagsire</t>
  </si>
  <si>
    <t>ヌオー</t>
  </si>
  <si>
    <t>Maraiste</t>
  </si>
  <si>
    <t>Morlord</t>
  </si>
  <si>
    <t>누오</t>
  </si>
  <si>
    <t>沼王</t>
  </si>
  <si>
    <t>Espeon</t>
  </si>
  <si>
    <t>エーフィ</t>
  </si>
  <si>
    <t>Mentali</t>
  </si>
  <si>
    <t>Psiana</t>
  </si>
  <si>
    <t>에브이</t>
  </si>
  <si>
    <t>太陽伊布</t>
  </si>
  <si>
    <t>Umbreon</t>
  </si>
  <si>
    <t>ブラッキー</t>
  </si>
  <si>
    <t>Noctali</t>
  </si>
  <si>
    <t>Nachtara</t>
  </si>
  <si>
    <t>블래키</t>
  </si>
  <si>
    <t>月亮伊布</t>
  </si>
  <si>
    <t>Murkrow</t>
  </si>
  <si>
    <t>ヤミカラス</t>
  </si>
  <si>
    <t>Cornèbre</t>
  </si>
  <si>
    <t>Kramurx</t>
  </si>
  <si>
    <t>니로우</t>
  </si>
  <si>
    <t>黑暗鴉</t>
  </si>
  <si>
    <t>Slowking</t>
  </si>
  <si>
    <t>ヤドキング</t>
  </si>
  <si>
    <t>Roigada</t>
  </si>
  <si>
    <t>Laschoking</t>
  </si>
  <si>
    <t>야도킹</t>
  </si>
  <si>
    <t>呆呆王</t>
  </si>
  <si>
    <t>Misdreavus</t>
  </si>
  <si>
    <t>ムウマ</t>
  </si>
  <si>
    <t>Feuforève</t>
  </si>
  <si>
    <t>Traunmagil</t>
  </si>
  <si>
    <t>무우마</t>
  </si>
  <si>
    <t>夢妖</t>
  </si>
  <si>
    <t>Unown</t>
  </si>
  <si>
    <t>アンノーン</t>
  </si>
  <si>
    <t>Zarbi</t>
  </si>
  <si>
    <t>Icognito</t>
  </si>
  <si>
    <t>안농</t>
  </si>
  <si>
    <t>未知圖騰</t>
  </si>
  <si>
    <t>Wobbuffet</t>
  </si>
  <si>
    <t>ソーナンス</t>
  </si>
  <si>
    <t>Qulbutoké</t>
  </si>
  <si>
    <t>Woingenau</t>
  </si>
  <si>
    <t>마자용</t>
  </si>
  <si>
    <t>果然翁</t>
  </si>
  <si>
    <t>Girafarig</t>
  </si>
  <si>
    <t>キリンリキ</t>
  </si>
  <si>
    <t>키링키</t>
  </si>
  <si>
    <t>麒麟奇</t>
  </si>
  <si>
    <t>Pineco</t>
  </si>
  <si>
    <t>クヌギダマ</t>
  </si>
  <si>
    <t>Pomdepik</t>
  </si>
  <si>
    <t>Tanza</t>
  </si>
  <si>
    <t>피콘</t>
  </si>
  <si>
    <t>榛果球</t>
  </si>
  <si>
    <t>Forretress</t>
  </si>
  <si>
    <t>フォレトス</t>
  </si>
  <si>
    <t>Foretress</t>
  </si>
  <si>
    <t>Forstellka</t>
  </si>
  <si>
    <t>쏘콘</t>
  </si>
  <si>
    <t>佛烈托斯</t>
  </si>
  <si>
    <t>Dunsparce</t>
  </si>
  <si>
    <t>ノコッチ</t>
  </si>
  <si>
    <t>Insolourdo</t>
  </si>
  <si>
    <t>Dummisel</t>
  </si>
  <si>
    <t>노고치</t>
  </si>
  <si>
    <t>土龍弟弟</t>
  </si>
  <si>
    <t>Gligar</t>
  </si>
  <si>
    <t>グライガー</t>
  </si>
  <si>
    <t>Scorplane</t>
  </si>
  <si>
    <t>Skorgla</t>
  </si>
  <si>
    <t>글라이거</t>
  </si>
  <si>
    <t>天蠍</t>
  </si>
  <si>
    <t>Steelix</t>
  </si>
  <si>
    <t>ハガネール</t>
  </si>
  <si>
    <t>Stahlos</t>
  </si>
  <si>
    <t>강철톤</t>
  </si>
  <si>
    <t>大钢蛇</t>
  </si>
  <si>
    <t>Snubbull</t>
  </si>
  <si>
    <t>ブルー</t>
  </si>
  <si>
    <t>블루</t>
  </si>
  <si>
    <t>布魯</t>
  </si>
  <si>
    <t>Granbull</t>
  </si>
  <si>
    <t>グランブル</t>
  </si>
  <si>
    <t>그랑블루</t>
  </si>
  <si>
    <t>布魯皇</t>
  </si>
  <si>
    <t>Qwilfish</t>
  </si>
  <si>
    <t>ハリーセン</t>
  </si>
  <si>
    <t>Baldorfish</t>
  </si>
  <si>
    <t>침바루</t>
  </si>
  <si>
    <t>千針魚</t>
  </si>
  <si>
    <t>Scizor</t>
  </si>
  <si>
    <t>ハッサム</t>
  </si>
  <si>
    <t>Cizayox</t>
  </si>
  <si>
    <t>Scherox</t>
  </si>
  <si>
    <t>핫삼나</t>
  </si>
  <si>
    <t>巨钳螳螂</t>
  </si>
  <si>
    <t>Shuckle</t>
  </si>
  <si>
    <t>ツボツボ</t>
  </si>
  <si>
    <t>Caratroc</t>
  </si>
  <si>
    <t>Pottrott</t>
  </si>
  <si>
    <t>단단지</t>
  </si>
  <si>
    <t>壺壺</t>
  </si>
  <si>
    <t>Heracross</t>
  </si>
  <si>
    <t>ヘラクロス</t>
  </si>
  <si>
    <t>Scarhino</t>
  </si>
  <si>
    <t>Skarabon</t>
  </si>
  <si>
    <t>헤라크로스</t>
  </si>
  <si>
    <t>赫拉克罗斯</t>
  </si>
  <si>
    <t>Sneasel</t>
  </si>
  <si>
    <t>ニューラ</t>
  </si>
  <si>
    <t>Farfuret</t>
  </si>
  <si>
    <t>Sniebel</t>
  </si>
  <si>
    <t>포푸니</t>
  </si>
  <si>
    <t>狃拉</t>
  </si>
  <si>
    <t>Teddiursa</t>
  </si>
  <si>
    <t>ヒメグマ</t>
  </si>
  <si>
    <t>깜지곰</t>
  </si>
  <si>
    <t>熊寶寶</t>
  </si>
  <si>
    <t>Ursaring</t>
  </si>
  <si>
    <t>リングマ</t>
  </si>
  <si>
    <t>링곰</t>
  </si>
  <si>
    <t>圈圈熊</t>
  </si>
  <si>
    <t>Slugma</t>
  </si>
  <si>
    <t>マグマッグ</t>
  </si>
  <si>
    <t>Limagma</t>
  </si>
  <si>
    <t>Schneckmag</t>
  </si>
  <si>
    <t>마그마그</t>
  </si>
  <si>
    <t>熔岩蟲</t>
  </si>
  <si>
    <t>Magcargo</t>
  </si>
  <si>
    <t>マグカルゴ</t>
  </si>
  <si>
    <t>Volcaropod</t>
  </si>
  <si>
    <t>마그카르고</t>
  </si>
  <si>
    <t>熔岩蝸牛</t>
  </si>
  <si>
    <t>Swinub</t>
  </si>
  <si>
    <t>ウリムー</t>
  </si>
  <si>
    <t>Marcacrin</t>
  </si>
  <si>
    <t>Quiekel</t>
  </si>
  <si>
    <t>꾸꾸리</t>
  </si>
  <si>
    <t>小山豬</t>
  </si>
  <si>
    <t>Piloswine</t>
  </si>
  <si>
    <t>イノムー</t>
  </si>
  <si>
    <t>Cochignon</t>
  </si>
  <si>
    <t>Keifel</t>
  </si>
  <si>
    <t>메꾸리</t>
  </si>
  <si>
    <t>長毛豬</t>
  </si>
  <si>
    <t>Corsola</t>
  </si>
  <si>
    <t>サニーゴ</t>
  </si>
  <si>
    <t>Corayon</t>
  </si>
  <si>
    <t>Corasonn</t>
  </si>
  <si>
    <t>코산호</t>
  </si>
  <si>
    <t>太陽珊瑚</t>
  </si>
  <si>
    <t>Remoraid</t>
  </si>
  <si>
    <t>テッポウオ</t>
  </si>
  <si>
    <t>Rémoraid</t>
  </si>
  <si>
    <t>총어</t>
  </si>
  <si>
    <t>鐵炮魚</t>
  </si>
  <si>
    <t>Octillery</t>
  </si>
  <si>
    <t>オクタン</t>
  </si>
  <si>
    <t>대포무노</t>
  </si>
  <si>
    <t>章魚桶</t>
  </si>
  <si>
    <t>Delibird</t>
  </si>
  <si>
    <t>デリバード</t>
  </si>
  <si>
    <t>Cadoizo</t>
  </si>
  <si>
    <t>Botogel</t>
  </si>
  <si>
    <t>딜리버드</t>
  </si>
  <si>
    <t>信使鳥</t>
  </si>
  <si>
    <t>Mantine</t>
  </si>
  <si>
    <t>マンタイン</t>
  </si>
  <si>
    <t>Démanta</t>
  </si>
  <si>
    <t>mantax</t>
  </si>
  <si>
    <t>만타인</t>
  </si>
  <si>
    <t>巨翅飛魚</t>
  </si>
  <si>
    <t>Skarmory</t>
  </si>
  <si>
    <t>エアームド</t>
  </si>
  <si>
    <t>Airmure</t>
  </si>
  <si>
    <t>Panzaeron</t>
  </si>
  <si>
    <t>무장조</t>
  </si>
  <si>
    <t>盔甲鳥</t>
  </si>
  <si>
    <t>Houndoor</t>
  </si>
  <si>
    <t>デルビル</t>
  </si>
  <si>
    <t>Malosse</t>
  </si>
  <si>
    <t>Hunduster</t>
  </si>
  <si>
    <t>델빌</t>
  </si>
  <si>
    <t>戴魯比</t>
  </si>
  <si>
    <t>Houndoom</t>
  </si>
  <si>
    <t>ヘルガー</t>
  </si>
  <si>
    <t>Démolosse</t>
  </si>
  <si>
    <t>Hundemon</t>
  </si>
  <si>
    <t>헬가</t>
  </si>
  <si>
    <t>黑鲁加</t>
  </si>
  <si>
    <t>Kingdra</t>
  </si>
  <si>
    <t>キングドラ</t>
  </si>
  <si>
    <t>Hyporoi</t>
  </si>
  <si>
    <t>Seedraking</t>
  </si>
  <si>
    <t>킹드라</t>
  </si>
  <si>
    <t>刺龍王</t>
  </si>
  <si>
    <t>Phanpy</t>
  </si>
  <si>
    <t>ゴマゾウ</t>
  </si>
  <si>
    <t>코코리</t>
  </si>
  <si>
    <t>小小象</t>
  </si>
  <si>
    <t>Donphan</t>
  </si>
  <si>
    <t>ドンファン</t>
  </si>
  <si>
    <t>코리갑</t>
  </si>
  <si>
    <t>頓甲</t>
  </si>
  <si>
    <t>Porygon2</t>
  </si>
  <si>
    <t>ポリゴン２</t>
  </si>
  <si>
    <t>Stantler</t>
  </si>
  <si>
    <t>オドシシ</t>
  </si>
  <si>
    <t>Cerfrousse</t>
  </si>
  <si>
    <t>Damhirplex</t>
  </si>
  <si>
    <t>노라키</t>
  </si>
  <si>
    <t>驚角鹿</t>
  </si>
  <si>
    <t>Smeargle</t>
  </si>
  <si>
    <t>ドーブル</t>
  </si>
  <si>
    <t>Queulorior</t>
  </si>
  <si>
    <t>Farbeagle</t>
  </si>
  <si>
    <t>루브도</t>
  </si>
  <si>
    <t>圖圖犬</t>
  </si>
  <si>
    <t>Tyrogue</t>
  </si>
  <si>
    <t>バルキー</t>
  </si>
  <si>
    <t>Debugant</t>
  </si>
  <si>
    <t>Rabauz</t>
  </si>
  <si>
    <t>배루키</t>
  </si>
  <si>
    <t>無畏小子</t>
  </si>
  <si>
    <t>Hitmontop</t>
  </si>
  <si>
    <t>カポエラー</t>
  </si>
  <si>
    <t>Kapoera</t>
  </si>
  <si>
    <t>카포에라</t>
  </si>
  <si>
    <t>戰舞郎</t>
  </si>
  <si>
    <t>Smoochum</t>
  </si>
  <si>
    <t>ムチュール</t>
  </si>
  <si>
    <t>Lippouti</t>
  </si>
  <si>
    <t>Kussilla</t>
  </si>
  <si>
    <t>뽀뽀라</t>
  </si>
  <si>
    <t>迷唇娃</t>
  </si>
  <si>
    <t>Elekid</t>
  </si>
  <si>
    <t>エレキッド</t>
  </si>
  <si>
    <t>Élékid</t>
  </si>
  <si>
    <t>에레키드</t>
  </si>
  <si>
    <t>電擊怪</t>
  </si>
  <si>
    <t>Magby</t>
  </si>
  <si>
    <t>ブビィ</t>
  </si>
  <si>
    <t>마그비</t>
  </si>
  <si>
    <t>鴨嘴寶寶</t>
  </si>
  <si>
    <t>Miltank</t>
  </si>
  <si>
    <t>ミルタンク</t>
  </si>
  <si>
    <t>Écrémeuh</t>
  </si>
  <si>
    <t>밀탱크</t>
  </si>
  <si>
    <t>大奶罐</t>
  </si>
  <si>
    <t>Blissey</t>
  </si>
  <si>
    <t>ハピナス</t>
  </si>
  <si>
    <t>Leuphorie</t>
  </si>
  <si>
    <t>Heiteira</t>
  </si>
  <si>
    <t>해피너스</t>
  </si>
  <si>
    <t>幸福蛋</t>
  </si>
  <si>
    <t>Raikou</t>
  </si>
  <si>
    <t>ライコウ</t>
  </si>
  <si>
    <t>라이코</t>
  </si>
  <si>
    <t>雷公</t>
  </si>
  <si>
    <t>Entei</t>
  </si>
  <si>
    <t>エンテイ</t>
  </si>
  <si>
    <t>앤테이</t>
  </si>
  <si>
    <t>炎帝</t>
  </si>
  <si>
    <t>Suicune</t>
  </si>
  <si>
    <t>スイクン</t>
  </si>
  <si>
    <t>水君</t>
  </si>
  <si>
    <t>Larvitar</t>
  </si>
  <si>
    <t>ヨーギラス</t>
  </si>
  <si>
    <t>Embrylex</t>
  </si>
  <si>
    <t>애버라스</t>
  </si>
  <si>
    <t>幼基拉斯</t>
  </si>
  <si>
    <t>Pupitar</t>
  </si>
  <si>
    <t>サナギラス</t>
  </si>
  <si>
    <t>Ymphect</t>
  </si>
  <si>
    <t>데기라스</t>
  </si>
  <si>
    <t>沙基拉斯</t>
  </si>
  <si>
    <t>Tyranitar</t>
  </si>
  <si>
    <t>バンギラス</t>
  </si>
  <si>
    <t>Tyranocif</t>
  </si>
  <si>
    <t>Despotar</t>
  </si>
  <si>
    <t>마기라스</t>
  </si>
  <si>
    <t>班基拉斯</t>
  </si>
  <si>
    <t>Lugia</t>
  </si>
  <si>
    <t>ルギア</t>
  </si>
  <si>
    <t>루기아</t>
  </si>
  <si>
    <t>洛奇亞</t>
  </si>
  <si>
    <t>NAME_PkMn_HOOH</t>
  </si>
  <si>
    <t>Ho-Oh</t>
  </si>
  <si>
    <t>ホウオウ</t>
  </si>
  <si>
    <t>칠색조</t>
  </si>
  <si>
    <t>鳳王</t>
  </si>
  <si>
    <t>Celebi</t>
  </si>
  <si>
    <t>セリビィ</t>
  </si>
  <si>
    <t>세레비</t>
  </si>
  <si>
    <t>時拉比</t>
  </si>
  <si>
    <t>Treecko</t>
  </si>
  <si>
    <t>キモリ</t>
  </si>
  <si>
    <t>Arcko</t>
  </si>
  <si>
    <t>Geckabor</t>
  </si>
  <si>
    <t>나무지기</t>
  </si>
  <si>
    <t>木守宮</t>
  </si>
  <si>
    <t>Grovyle</t>
  </si>
  <si>
    <t>ジュプトル</t>
  </si>
  <si>
    <t>Massko</t>
  </si>
  <si>
    <t>Reptain</t>
  </si>
  <si>
    <t>나무돌이</t>
  </si>
  <si>
    <t>森林蜥蜴</t>
  </si>
  <si>
    <t>Sceptile</t>
  </si>
  <si>
    <t>ジュカイン</t>
  </si>
  <si>
    <t>Jungko</t>
  </si>
  <si>
    <t>Gewaldro</t>
  </si>
  <si>
    <t>나무킹</t>
  </si>
  <si>
    <t>蜥蜴王</t>
  </si>
  <si>
    <t>Torchic</t>
  </si>
  <si>
    <t>アチャモ</t>
  </si>
  <si>
    <t>Poussifeu</t>
  </si>
  <si>
    <t>Flemmli</t>
  </si>
  <si>
    <t>아차모</t>
  </si>
  <si>
    <t>火稚雞</t>
  </si>
  <si>
    <t>Combusken</t>
  </si>
  <si>
    <t>ワカシャモ</t>
  </si>
  <si>
    <t>Galifeu</t>
  </si>
  <si>
    <t>Jungglut</t>
  </si>
  <si>
    <t>영치코</t>
  </si>
  <si>
    <t>力壯雞</t>
  </si>
  <si>
    <t>Blaziken</t>
  </si>
  <si>
    <t>バシャーモ</t>
  </si>
  <si>
    <t>Braségali</t>
  </si>
  <si>
    <t>Lohgock</t>
  </si>
  <si>
    <t>번치코</t>
  </si>
  <si>
    <t>火焰鸡</t>
  </si>
  <si>
    <t>Mudkip</t>
  </si>
  <si>
    <t>ミズゴロウ</t>
  </si>
  <si>
    <t>Gobou</t>
  </si>
  <si>
    <t>Hydropi</t>
  </si>
  <si>
    <t>물짱이</t>
  </si>
  <si>
    <t>水躍魚</t>
  </si>
  <si>
    <t>Marshtomp</t>
  </si>
  <si>
    <t>ヌマクロー</t>
  </si>
  <si>
    <t>Flobio</t>
  </si>
  <si>
    <t>Moorabble</t>
  </si>
  <si>
    <t>늪짱이</t>
  </si>
  <si>
    <t>沼躍魚</t>
  </si>
  <si>
    <t>Swampert</t>
  </si>
  <si>
    <t>ラグラージ</t>
  </si>
  <si>
    <t>Laggron</t>
  </si>
  <si>
    <t>Sumpex</t>
  </si>
  <si>
    <t>대짱이</t>
  </si>
  <si>
    <t>巨沼怪</t>
  </si>
  <si>
    <t>Poochyena</t>
  </si>
  <si>
    <t>ポチエナ</t>
  </si>
  <si>
    <t>Medhyèna</t>
  </si>
  <si>
    <t>Fiffyen</t>
  </si>
  <si>
    <t>포챠나</t>
  </si>
  <si>
    <t>土狼犬</t>
  </si>
  <si>
    <t>Mightyena</t>
  </si>
  <si>
    <t>グラエナ</t>
  </si>
  <si>
    <t>Grahyèna</t>
  </si>
  <si>
    <t>Magnayen</t>
  </si>
  <si>
    <t>그라에나</t>
  </si>
  <si>
    <t>大狼犬</t>
  </si>
  <si>
    <t>Zigzagoon</t>
  </si>
  <si>
    <t>ジグザグマ</t>
  </si>
  <si>
    <t>Zigzaton</t>
  </si>
  <si>
    <t>Zigzachs</t>
  </si>
  <si>
    <t>지그제구리</t>
  </si>
  <si>
    <t>蛇紋熊</t>
  </si>
  <si>
    <t>Linoone</t>
  </si>
  <si>
    <t>マッスグマ</t>
  </si>
  <si>
    <t>Linéon</t>
  </si>
  <si>
    <t>Geradaks</t>
  </si>
  <si>
    <t>직구리</t>
  </si>
  <si>
    <t>直衝熊</t>
  </si>
  <si>
    <t>Wurmple</t>
  </si>
  <si>
    <t>ケムッソ</t>
  </si>
  <si>
    <t>Chenipotte</t>
  </si>
  <si>
    <t>Waumpel</t>
  </si>
  <si>
    <t>개무소</t>
  </si>
  <si>
    <t>刺尾蟲</t>
  </si>
  <si>
    <t>Silcoon</t>
  </si>
  <si>
    <t>カラサリス</t>
  </si>
  <si>
    <t>Armulys</t>
  </si>
  <si>
    <t>Schaloko</t>
  </si>
  <si>
    <t>실쿤</t>
  </si>
  <si>
    <t>甲殼繭</t>
  </si>
  <si>
    <t>Beautifly</t>
  </si>
  <si>
    <t>アゲハント</t>
  </si>
  <si>
    <t>Charmillon</t>
  </si>
  <si>
    <t>Papinella</t>
  </si>
  <si>
    <t>뷰티플라이</t>
  </si>
  <si>
    <t>狩獵鳳蝶</t>
  </si>
  <si>
    <t>Cascoon</t>
  </si>
  <si>
    <t>マユルド</t>
  </si>
  <si>
    <t>Blindalys</t>
  </si>
  <si>
    <t>Panekon</t>
  </si>
  <si>
    <t>카스쿤</t>
  </si>
  <si>
    <t>盾甲繭</t>
  </si>
  <si>
    <t>Dustox</t>
  </si>
  <si>
    <t>ドクケイル</t>
  </si>
  <si>
    <t>Papinox</t>
  </si>
  <si>
    <t>Pudox</t>
  </si>
  <si>
    <t>독케일</t>
  </si>
  <si>
    <t>毒粉蛾</t>
  </si>
  <si>
    <t>Lotad</t>
  </si>
  <si>
    <t>ハスボー</t>
  </si>
  <si>
    <t>Nénupiot</t>
  </si>
  <si>
    <t>Loturzel</t>
  </si>
  <si>
    <t>연꽃몬</t>
  </si>
  <si>
    <t>蓮葉童子</t>
  </si>
  <si>
    <t>Lombre</t>
  </si>
  <si>
    <t>ハスブレロ</t>
  </si>
  <si>
    <t>Lombrero</t>
  </si>
  <si>
    <t>로토스</t>
  </si>
  <si>
    <t>蓮帽小童</t>
  </si>
  <si>
    <t>Ludicolo</t>
  </si>
  <si>
    <t>ルンパッパ</t>
  </si>
  <si>
    <t>Kappalores</t>
  </si>
  <si>
    <t>로파파</t>
  </si>
  <si>
    <t>樂天河童</t>
  </si>
  <si>
    <t>Seedot</t>
  </si>
  <si>
    <t>タネボー</t>
  </si>
  <si>
    <t>Grainipiot</t>
  </si>
  <si>
    <t>Samurzel</t>
  </si>
  <si>
    <t>도토링</t>
  </si>
  <si>
    <t>橡實果</t>
  </si>
  <si>
    <t>Nuzleaf</t>
  </si>
  <si>
    <t>コノハナ</t>
  </si>
  <si>
    <t>Pifeuil</t>
  </si>
  <si>
    <t>Blanas</t>
  </si>
  <si>
    <t>잎새코</t>
  </si>
  <si>
    <t>長鼻葉</t>
  </si>
  <si>
    <t>Shiftry</t>
  </si>
  <si>
    <t>ダーテング</t>
  </si>
  <si>
    <t>Tengalice</t>
  </si>
  <si>
    <t>Tengulist</t>
  </si>
  <si>
    <t>다탱구</t>
  </si>
  <si>
    <t>狡猾天狗</t>
  </si>
  <si>
    <t>Tailow</t>
  </si>
  <si>
    <t>スバメ</t>
  </si>
  <si>
    <t>Nirondelle</t>
  </si>
  <si>
    <t>Schwalbini</t>
  </si>
  <si>
    <t>테일로</t>
  </si>
  <si>
    <t>傲骨燕</t>
  </si>
  <si>
    <t>Swellow</t>
  </si>
  <si>
    <t>オオスバメ</t>
  </si>
  <si>
    <t>Hélédelle</t>
  </si>
  <si>
    <t>Schwalboss</t>
  </si>
  <si>
    <t>스왈로</t>
  </si>
  <si>
    <t>大王燕</t>
  </si>
  <si>
    <t>Wingull</t>
  </si>
  <si>
    <t>キャモメ</t>
  </si>
  <si>
    <t>Goélise</t>
  </si>
  <si>
    <t>갈모매</t>
  </si>
  <si>
    <t>長翅鷗</t>
  </si>
  <si>
    <t>Pelipper</t>
  </si>
  <si>
    <t>ペリッパー</t>
  </si>
  <si>
    <t>Bekipan</t>
  </si>
  <si>
    <t>패리퍼</t>
  </si>
  <si>
    <t>大嘴鷗</t>
  </si>
  <si>
    <t>Ralts</t>
  </si>
  <si>
    <t>ラルトス</t>
  </si>
  <si>
    <t>Tarsal</t>
  </si>
  <si>
    <t>Trasla</t>
  </si>
  <si>
    <t>랄토스</t>
  </si>
  <si>
    <t>拉魯拉絲</t>
  </si>
  <si>
    <t>Kirlia</t>
  </si>
  <si>
    <t>キルリア</t>
  </si>
  <si>
    <t>킬리아</t>
  </si>
  <si>
    <t>奇魯莉安</t>
  </si>
  <si>
    <t>Gardevoir</t>
  </si>
  <si>
    <t>サーナイト</t>
  </si>
  <si>
    <t>Guardevoir</t>
  </si>
  <si>
    <t>가디안</t>
  </si>
  <si>
    <t>沙奈朵</t>
  </si>
  <si>
    <t>Surskit</t>
  </si>
  <si>
    <t>アメタマ</t>
  </si>
  <si>
    <t>Arakdo</t>
  </si>
  <si>
    <t>Gehweiher</t>
  </si>
  <si>
    <t>비구술</t>
  </si>
  <si>
    <t>溜溜糖球</t>
  </si>
  <si>
    <t>Masquerain</t>
  </si>
  <si>
    <t>アメモース</t>
  </si>
  <si>
    <t>Maskadra</t>
  </si>
  <si>
    <t>Maskeregen</t>
  </si>
  <si>
    <t>비나방</t>
  </si>
  <si>
    <t>雨翅蛾</t>
  </si>
  <si>
    <t>Shroomish</t>
  </si>
  <si>
    <t>キノココ</t>
  </si>
  <si>
    <t>Balignon</t>
  </si>
  <si>
    <t>Knilz</t>
  </si>
  <si>
    <t>버섯꼬</t>
  </si>
  <si>
    <t>蘑蘑菇</t>
  </si>
  <si>
    <t>Breloom</t>
  </si>
  <si>
    <t>キノガッサ</t>
  </si>
  <si>
    <t>Chapignon</t>
  </si>
  <si>
    <t>Kapilz</t>
  </si>
  <si>
    <t>버섯모</t>
  </si>
  <si>
    <t>斗笠菇</t>
  </si>
  <si>
    <t>Slakoth</t>
  </si>
  <si>
    <t>ナマケロ</t>
  </si>
  <si>
    <t>Parecool</t>
  </si>
  <si>
    <t>Bummelz</t>
  </si>
  <si>
    <t>게을로</t>
  </si>
  <si>
    <t>懶人獺</t>
  </si>
  <si>
    <t>Vigoroth</t>
  </si>
  <si>
    <t>ヤルキモノ</t>
  </si>
  <si>
    <t>Muntier</t>
  </si>
  <si>
    <t>발바로</t>
  </si>
  <si>
    <t>過動猿</t>
  </si>
  <si>
    <t>Slaking</t>
  </si>
  <si>
    <t>ケッキング</t>
  </si>
  <si>
    <t>Monaflèmit</t>
  </si>
  <si>
    <t>Letarking</t>
  </si>
  <si>
    <t>게을킹</t>
  </si>
  <si>
    <t>請假王</t>
  </si>
  <si>
    <t>Nincada</t>
  </si>
  <si>
    <t>ツチニン</t>
  </si>
  <si>
    <t>Ningale</t>
  </si>
  <si>
    <t>토중몬</t>
  </si>
  <si>
    <t>土居忍士</t>
  </si>
  <si>
    <t>Ninjask</t>
  </si>
  <si>
    <t>テッカニン</t>
  </si>
  <si>
    <t>아이스크</t>
  </si>
  <si>
    <t>鐵面忍者</t>
  </si>
  <si>
    <t>Shedinja</t>
  </si>
  <si>
    <t>ヌケニン</t>
  </si>
  <si>
    <t>Munja</t>
  </si>
  <si>
    <t>Ninjatom</t>
  </si>
  <si>
    <t>껍질몬</t>
  </si>
  <si>
    <t>脫殼忍者</t>
  </si>
  <si>
    <t>Whismur</t>
  </si>
  <si>
    <t>ゴニョニョ</t>
  </si>
  <si>
    <t>Chuchmur</t>
  </si>
  <si>
    <t>Flurmel</t>
  </si>
  <si>
    <t>소곤룡</t>
  </si>
  <si>
    <t>咕妞妞</t>
  </si>
  <si>
    <t>Loudred</t>
  </si>
  <si>
    <t>ドゴーム</t>
  </si>
  <si>
    <t>Ramboum</t>
  </si>
  <si>
    <t>Krakeelo</t>
  </si>
  <si>
    <t>노공룡</t>
  </si>
  <si>
    <t>吼爆彈</t>
  </si>
  <si>
    <t>Exploud</t>
  </si>
  <si>
    <t>バクオング</t>
  </si>
  <si>
    <t>Brouhabam</t>
  </si>
  <si>
    <t>Krawumms</t>
  </si>
  <si>
    <t>폭음룡</t>
  </si>
  <si>
    <t>爆音怪</t>
  </si>
  <si>
    <t>Makuhita</t>
  </si>
  <si>
    <t>マクノシタ</t>
  </si>
  <si>
    <t>마크탕</t>
  </si>
  <si>
    <t>幕下力士</t>
  </si>
  <si>
    <t>Hariyama</t>
  </si>
  <si>
    <t>ハリテヤマ</t>
  </si>
  <si>
    <t>하리뭉</t>
  </si>
  <si>
    <t>鐵掌力士</t>
  </si>
  <si>
    <t>Azurill</t>
  </si>
  <si>
    <t>ルリリ</t>
  </si>
  <si>
    <t>루리리</t>
  </si>
  <si>
    <t>露力麗</t>
  </si>
  <si>
    <t>Nosepass</t>
  </si>
  <si>
    <t>ノズパス</t>
  </si>
  <si>
    <t>Tarinor</t>
  </si>
  <si>
    <t>Nasgnet</t>
  </si>
  <si>
    <t>코코파스</t>
  </si>
  <si>
    <t>朝北鼻</t>
  </si>
  <si>
    <t>Skitty</t>
  </si>
  <si>
    <t>エネコ</t>
  </si>
  <si>
    <t>Eneco</t>
  </si>
  <si>
    <t>에나비</t>
  </si>
  <si>
    <t>向尾喵</t>
  </si>
  <si>
    <t>Delcatty</t>
  </si>
  <si>
    <t>エネコロロ</t>
  </si>
  <si>
    <t>Enekoro</t>
  </si>
  <si>
    <t>델케티</t>
  </si>
  <si>
    <t>優雅貓</t>
  </si>
  <si>
    <t>Sableye</t>
  </si>
  <si>
    <t>ヤミラミ</t>
  </si>
  <si>
    <t>Ténéfix</t>
  </si>
  <si>
    <t>Zobiris</t>
  </si>
  <si>
    <t>깜까미</t>
  </si>
  <si>
    <t>勾魂眼</t>
  </si>
  <si>
    <t>Mawile</t>
  </si>
  <si>
    <t>クチート</t>
  </si>
  <si>
    <t>Mysdibule</t>
  </si>
  <si>
    <t>Flunkifer</t>
  </si>
  <si>
    <t>입치트</t>
  </si>
  <si>
    <t>大嘴娃</t>
  </si>
  <si>
    <t>Aron</t>
  </si>
  <si>
    <t>ココドラ</t>
  </si>
  <si>
    <t>Galekid</t>
  </si>
  <si>
    <t>Stollunior</t>
  </si>
  <si>
    <t>가보리</t>
  </si>
  <si>
    <t>可可多拉</t>
  </si>
  <si>
    <t>Lairon</t>
  </si>
  <si>
    <t>コドラ</t>
  </si>
  <si>
    <t>Galegon</t>
  </si>
  <si>
    <t>Stollrak</t>
  </si>
  <si>
    <t>갱도라</t>
  </si>
  <si>
    <t>可多拉</t>
  </si>
  <si>
    <t>Aggron</t>
  </si>
  <si>
    <t>バスゴドラ</t>
  </si>
  <si>
    <t>Galeking</t>
  </si>
  <si>
    <t>Stolloss</t>
  </si>
  <si>
    <t>보스로라</t>
  </si>
  <si>
    <t>波士可多拉</t>
  </si>
  <si>
    <t>Meditite</t>
  </si>
  <si>
    <t>アサナン</t>
  </si>
  <si>
    <t>Méditikka</t>
  </si>
  <si>
    <t>Meditie</t>
  </si>
  <si>
    <t>요가랑</t>
  </si>
  <si>
    <t>瑪沙那</t>
  </si>
  <si>
    <t>Medicham</t>
  </si>
  <si>
    <t>チャーレム</t>
  </si>
  <si>
    <t>Charmina</t>
  </si>
  <si>
    <t>Meditalis</t>
  </si>
  <si>
    <t>요가램</t>
  </si>
  <si>
    <t>恰雷姆</t>
  </si>
  <si>
    <t>Electrike</t>
  </si>
  <si>
    <t>ラクライ</t>
  </si>
  <si>
    <t>Dynavolt</t>
  </si>
  <si>
    <t>Frizelbliz</t>
  </si>
  <si>
    <t>썬더라이</t>
  </si>
  <si>
    <t>落雷獸</t>
  </si>
  <si>
    <t>Manectric</t>
  </si>
  <si>
    <t>ライボルト</t>
  </si>
  <si>
    <t>Élecsprint</t>
  </si>
  <si>
    <t>Voltenso</t>
  </si>
  <si>
    <t>썬더볼트</t>
  </si>
  <si>
    <t>雷电兽</t>
  </si>
  <si>
    <t>Plusle</t>
  </si>
  <si>
    <t>プラスル</t>
  </si>
  <si>
    <t>Posipi</t>
  </si>
  <si>
    <t>플러시</t>
  </si>
  <si>
    <t>正電拍拍</t>
  </si>
  <si>
    <t>Minum</t>
  </si>
  <si>
    <t>マイナン</t>
  </si>
  <si>
    <t>Négapi</t>
  </si>
  <si>
    <t>Minun</t>
  </si>
  <si>
    <t>마이농</t>
  </si>
  <si>
    <t>負電拍拍</t>
  </si>
  <si>
    <t>Volbeat</t>
  </si>
  <si>
    <t>バルビート</t>
  </si>
  <si>
    <t>Muciole</t>
  </si>
  <si>
    <t>볼비트</t>
  </si>
  <si>
    <t>電螢蟲</t>
  </si>
  <si>
    <t>Illumise</t>
  </si>
  <si>
    <t>イルミーゼ</t>
  </si>
  <si>
    <t>Lumivole</t>
  </si>
  <si>
    <t>네오비트</t>
  </si>
  <si>
    <t>甜甜螢</t>
  </si>
  <si>
    <t>Roselia</t>
  </si>
  <si>
    <t>ロゼリア</t>
  </si>
  <si>
    <t>Rosélia</t>
  </si>
  <si>
    <t>로젤리아</t>
  </si>
  <si>
    <t>毒薔薇</t>
  </si>
  <si>
    <t>Gulpin</t>
  </si>
  <si>
    <t>ゴクリン</t>
  </si>
  <si>
    <t>Gloupti</t>
  </si>
  <si>
    <t>Schluppuck</t>
  </si>
  <si>
    <t>꼴깍몬</t>
  </si>
  <si>
    <t>溶食獸</t>
  </si>
  <si>
    <t>Swalot</t>
  </si>
  <si>
    <t>マルノーム</t>
  </si>
  <si>
    <t>Avaltout</t>
  </si>
  <si>
    <t>Schluckwech</t>
  </si>
  <si>
    <t>꿀꺽몬</t>
  </si>
  <si>
    <t>吞食獸</t>
  </si>
  <si>
    <t>Carvanha</t>
  </si>
  <si>
    <t>キバニア</t>
  </si>
  <si>
    <t>kanivanha</t>
  </si>
  <si>
    <t>샤프니아</t>
  </si>
  <si>
    <t>Sharpedo</t>
  </si>
  <si>
    <t>サメハダー</t>
  </si>
  <si>
    <t>Tohaido</t>
  </si>
  <si>
    <t>샤크니아</t>
  </si>
  <si>
    <t>巨牙鲨</t>
  </si>
  <si>
    <t>Wailmer</t>
  </si>
  <si>
    <t>ホエルコ</t>
  </si>
  <si>
    <t>고래왕자</t>
  </si>
  <si>
    <t>吼吼鯨</t>
  </si>
  <si>
    <t>Wailord</t>
  </si>
  <si>
    <t>ホエルオー</t>
  </si>
  <si>
    <t>吼鯨王</t>
  </si>
  <si>
    <t>Numel</t>
  </si>
  <si>
    <t>ドンメル</t>
  </si>
  <si>
    <t>Chamallot</t>
  </si>
  <si>
    <t>Camaub</t>
  </si>
  <si>
    <t>둔타</t>
  </si>
  <si>
    <t>呆火駝</t>
  </si>
  <si>
    <t>Camerupt</t>
  </si>
  <si>
    <t>バクーダ</t>
  </si>
  <si>
    <t>폭타</t>
  </si>
  <si>
    <t>喷火驼</t>
  </si>
  <si>
    <t>Torkoal</t>
  </si>
  <si>
    <t>コータス</t>
  </si>
  <si>
    <t>Chartor</t>
  </si>
  <si>
    <t>Qurtel</t>
  </si>
  <si>
    <t>코터스</t>
  </si>
  <si>
    <t>煤炭龜</t>
  </si>
  <si>
    <t>Spoink</t>
  </si>
  <si>
    <t>バネブー</t>
  </si>
  <si>
    <t>피그점프</t>
  </si>
  <si>
    <t>跳跳豬</t>
  </si>
  <si>
    <t>Grumpig</t>
  </si>
  <si>
    <t>ブーピッグ</t>
  </si>
  <si>
    <t>Groret</t>
  </si>
  <si>
    <t>Groink</t>
  </si>
  <si>
    <t>피그킹</t>
  </si>
  <si>
    <t>噗噗豬</t>
  </si>
  <si>
    <t>Spinda</t>
  </si>
  <si>
    <t>パッチール</t>
  </si>
  <si>
    <t>Pandir</t>
  </si>
  <si>
    <t>얼루기</t>
  </si>
  <si>
    <t>晃晃斑</t>
  </si>
  <si>
    <t>Trapinch</t>
  </si>
  <si>
    <t>ナックラー</t>
  </si>
  <si>
    <t>Kraknoix</t>
  </si>
  <si>
    <t>Knacklion</t>
  </si>
  <si>
    <t>톱치</t>
  </si>
  <si>
    <t>大顎蟻</t>
  </si>
  <si>
    <t>Vibrava</t>
  </si>
  <si>
    <t>ビブラーバ</t>
  </si>
  <si>
    <t>Vibraninf</t>
  </si>
  <si>
    <t>Vibrara</t>
  </si>
  <si>
    <t>비브라바</t>
  </si>
  <si>
    <t>超音波幼蟲</t>
  </si>
  <si>
    <t>Flygon</t>
  </si>
  <si>
    <t>フライゴン</t>
  </si>
  <si>
    <t>Libégon</t>
  </si>
  <si>
    <t>Libelldra</t>
  </si>
  <si>
    <t>플라이곤</t>
  </si>
  <si>
    <t>沙漠蜻蜓</t>
  </si>
  <si>
    <t>Cacnea</t>
  </si>
  <si>
    <t>サボネア</t>
  </si>
  <si>
    <t>Cacnéa</t>
  </si>
  <si>
    <t>Tuska</t>
  </si>
  <si>
    <t>선인왕</t>
  </si>
  <si>
    <t>刺球仙人掌</t>
  </si>
  <si>
    <t>Cacturne</t>
  </si>
  <si>
    <t>ノクタス</t>
  </si>
  <si>
    <t>Noktuska</t>
  </si>
  <si>
    <t>밤선인</t>
  </si>
  <si>
    <t>夢歌仙人掌</t>
  </si>
  <si>
    <t>Swablu</t>
  </si>
  <si>
    <t>チルット</t>
  </si>
  <si>
    <t>Tylton</t>
  </si>
  <si>
    <t>Wablu</t>
  </si>
  <si>
    <t>파비코</t>
  </si>
  <si>
    <t>青綿鳥</t>
  </si>
  <si>
    <t>Altaria</t>
  </si>
  <si>
    <t>チルタリス</t>
  </si>
  <si>
    <t>파비코리</t>
  </si>
  <si>
    <t>七夕青鸟</t>
  </si>
  <si>
    <t>Zangoose</t>
  </si>
  <si>
    <t>ザングース</t>
  </si>
  <si>
    <t>Mangriff</t>
  </si>
  <si>
    <t>Sengo</t>
  </si>
  <si>
    <t>쟝고</t>
  </si>
  <si>
    <t>貓鼬斬</t>
  </si>
  <si>
    <t>Seviper</t>
  </si>
  <si>
    <t>ハブネーク</t>
  </si>
  <si>
    <t>Séviper</t>
  </si>
  <si>
    <t>Vipitis</t>
  </si>
  <si>
    <t>세비퍼</t>
  </si>
  <si>
    <t>飯匙蛇</t>
  </si>
  <si>
    <t>Lunatone</t>
  </si>
  <si>
    <t>ルナトーン</t>
  </si>
  <si>
    <t>Séléroc</t>
  </si>
  <si>
    <t>Lunastein</t>
  </si>
  <si>
    <t>루나톤</t>
  </si>
  <si>
    <t>月石</t>
  </si>
  <si>
    <t>Solrock</t>
  </si>
  <si>
    <t>ソルロック</t>
  </si>
  <si>
    <t>Solaroc</t>
  </si>
  <si>
    <t>Sonnfel</t>
  </si>
  <si>
    <t>솔록</t>
  </si>
  <si>
    <t>太陽岩</t>
  </si>
  <si>
    <t>Barboach</t>
  </si>
  <si>
    <t>ドジョッチ</t>
  </si>
  <si>
    <t>Barloche</t>
  </si>
  <si>
    <t>Schmerbe</t>
  </si>
  <si>
    <t>미꾸리</t>
  </si>
  <si>
    <t>泥泥鰍</t>
  </si>
  <si>
    <t>Whiscash</t>
  </si>
  <si>
    <t>ナマズン</t>
  </si>
  <si>
    <t>Barbicha</t>
  </si>
  <si>
    <t>Welsar</t>
  </si>
  <si>
    <t>메깅</t>
  </si>
  <si>
    <t>鯰魚王</t>
  </si>
  <si>
    <t>Corphish</t>
  </si>
  <si>
    <t>ヘイガニ</t>
  </si>
  <si>
    <t>Écrapince</t>
  </si>
  <si>
    <t>Krebscorps</t>
  </si>
  <si>
    <t>가재군</t>
  </si>
  <si>
    <t>龍蝦小兵</t>
  </si>
  <si>
    <t>Crawdaunt</t>
  </si>
  <si>
    <t>シザリガー</t>
  </si>
  <si>
    <t>Colhomard</t>
  </si>
  <si>
    <t>Krebutack</t>
  </si>
  <si>
    <t>가재장군</t>
  </si>
  <si>
    <t>鐵螯龍蝦</t>
  </si>
  <si>
    <t>Baltoy</t>
  </si>
  <si>
    <t>ヤジロン</t>
  </si>
  <si>
    <t>Balbuto</t>
  </si>
  <si>
    <t>Puppance</t>
  </si>
  <si>
    <t>오뚝군</t>
  </si>
  <si>
    <t>天秤偶</t>
  </si>
  <si>
    <t>Claydol</t>
  </si>
  <si>
    <t>ネンドール</t>
  </si>
  <si>
    <t>Kaorine</t>
  </si>
  <si>
    <t>Lepumentas</t>
  </si>
  <si>
    <t>점토도리</t>
  </si>
  <si>
    <t>念力土偶</t>
  </si>
  <si>
    <t>Lileep</t>
  </si>
  <si>
    <t>リリーヤ</t>
  </si>
  <si>
    <t>Lilia</t>
  </si>
  <si>
    <t>Liliep</t>
  </si>
  <si>
    <t>릴링</t>
  </si>
  <si>
    <t>觸手百合</t>
  </si>
  <si>
    <t>Cradily</t>
  </si>
  <si>
    <t>ユレイドル</t>
  </si>
  <si>
    <t>Vacilys</t>
  </si>
  <si>
    <t>Wielie</t>
  </si>
  <si>
    <t>릴리요</t>
  </si>
  <si>
    <t>搖籃百合</t>
  </si>
  <si>
    <t>Anorith</t>
  </si>
  <si>
    <t>アノプス</t>
  </si>
  <si>
    <t>아노딥스</t>
  </si>
  <si>
    <t>太古羽蟲</t>
  </si>
  <si>
    <t>Armaldo</t>
  </si>
  <si>
    <t>アーマルド</t>
  </si>
  <si>
    <t>아말도</t>
  </si>
  <si>
    <t>太古盔甲</t>
  </si>
  <si>
    <t>Feebas</t>
  </si>
  <si>
    <t>ヒンバス</t>
  </si>
  <si>
    <t>Barpau</t>
  </si>
  <si>
    <t>Barschwa</t>
  </si>
  <si>
    <t>빈티나</t>
  </si>
  <si>
    <t>醜醜魚</t>
  </si>
  <si>
    <t>Milotic</t>
  </si>
  <si>
    <t>ミロカロス</t>
  </si>
  <si>
    <t>Milobellus</t>
  </si>
  <si>
    <t>밀로틱</t>
  </si>
  <si>
    <t>美納斯</t>
  </si>
  <si>
    <t>Castform</t>
  </si>
  <si>
    <t>ポワルン</t>
  </si>
  <si>
    <t>Morphéo</t>
  </si>
  <si>
    <t>Formeo</t>
  </si>
  <si>
    <t>캐스퐁</t>
  </si>
  <si>
    <t>飄浮泡泡</t>
  </si>
  <si>
    <t>Kecleon</t>
  </si>
  <si>
    <t>カクレオン</t>
  </si>
  <si>
    <t>켈리몬</t>
  </si>
  <si>
    <t>變隱龍</t>
  </si>
  <si>
    <t>Shuppet</t>
  </si>
  <si>
    <t>カゲボオズ</t>
  </si>
  <si>
    <t>Polichombr</t>
  </si>
  <si>
    <t>Bannette</t>
  </si>
  <si>
    <t>어둠대신</t>
  </si>
  <si>
    <t>怨影娃娃</t>
  </si>
  <si>
    <t>Banette</t>
  </si>
  <si>
    <t>ジュペッタ</t>
  </si>
  <si>
    <t>Branette</t>
  </si>
  <si>
    <t>Zwirllicht</t>
  </si>
  <si>
    <t>다크펫</t>
  </si>
  <si>
    <t>诅咒娃娃</t>
  </si>
  <si>
    <t>Duskull</t>
  </si>
  <si>
    <t>ヨマワル</t>
  </si>
  <si>
    <t>Skelénox</t>
  </si>
  <si>
    <t>Zwirrklop</t>
  </si>
  <si>
    <t>해골몽</t>
  </si>
  <si>
    <t>夜巡靈</t>
  </si>
  <si>
    <t>Dusclops</t>
  </si>
  <si>
    <t>サマヨール</t>
  </si>
  <si>
    <t>Téraclope</t>
  </si>
  <si>
    <t>Zwirrfinst</t>
  </si>
  <si>
    <t>미라몽</t>
  </si>
  <si>
    <t>彷徨夜靈</t>
  </si>
  <si>
    <t>Tropius</t>
  </si>
  <si>
    <t>トロピウス</t>
  </si>
  <si>
    <t>트로피우스</t>
  </si>
  <si>
    <t>熱帶龍</t>
  </si>
  <si>
    <t>Chimecho</t>
  </si>
  <si>
    <t>チリーン</t>
  </si>
  <si>
    <t>Éoko</t>
  </si>
  <si>
    <t>Palimpalim</t>
  </si>
  <si>
    <t>치렁</t>
  </si>
  <si>
    <t>風鈴鈴</t>
  </si>
  <si>
    <t>Absol</t>
  </si>
  <si>
    <t>アブソル</t>
  </si>
  <si>
    <t>앱솔</t>
  </si>
  <si>
    <t>阿勃梭鲁</t>
  </si>
  <si>
    <t>Wynaut</t>
  </si>
  <si>
    <t>ソーナノ</t>
  </si>
  <si>
    <t>Okéoké</t>
  </si>
  <si>
    <t>Isso</t>
  </si>
  <si>
    <t>마자</t>
  </si>
  <si>
    <t>小果然</t>
  </si>
  <si>
    <t>Snorunt</t>
  </si>
  <si>
    <t>ユキワラシ</t>
  </si>
  <si>
    <t>Stalgamin</t>
  </si>
  <si>
    <t>Schneppke</t>
  </si>
  <si>
    <t>눈꼬마</t>
  </si>
  <si>
    <t>雪童子</t>
  </si>
  <si>
    <t>Glalie</t>
  </si>
  <si>
    <t>オニゴーリ</t>
  </si>
  <si>
    <t>Oniglali</t>
  </si>
  <si>
    <t>Fimontor</t>
  </si>
  <si>
    <t>얼음귀신</t>
  </si>
  <si>
    <t>冰鬼护</t>
  </si>
  <si>
    <t>Spheal</t>
  </si>
  <si>
    <t>タマザラシ</t>
  </si>
  <si>
    <t>Obalie</t>
  </si>
  <si>
    <t>Seemops</t>
  </si>
  <si>
    <t>대굴레오</t>
  </si>
  <si>
    <t>海豹球</t>
  </si>
  <si>
    <t>Sealeo</t>
  </si>
  <si>
    <t>トドグラ</t>
  </si>
  <si>
    <t>Phogleur</t>
  </si>
  <si>
    <t>Seejong</t>
  </si>
  <si>
    <t>씨레오</t>
  </si>
  <si>
    <t>海魔獅</t>
  </si>
  <si>
    <t>Walrein</t>
  </si>
  <si>
    <t>トドゼルガ</t>
  </si>
  <si>
    <t>Kaimorse</t>
  </si>
  <si>
    <t>Walraisa</t>
  </si>
  <si>
    <t>씨카이저</t>
  </si>
  <si>
    <t>帝牙海獅</t>
  </si>
  <si>
    <t>Clamperl</t>
  </si>
  <si>
    <t>パールル</t>
  </si>
  <si>
    <t>Coquiperl</t>
  </si>
  <si>
    <t>Perlu</t>
  </si>
  <si>
    <t>진주몽</t>
  </si>
  <si>
    <t>珍珠貝</t>
  </si>
  <si>
    <t>Huntail</t>
  </si>
  <si>
    <t>ハンテール</t>
  </si>
  <si>
    <t>Serpang</t>
  </si>
  <si>
    <t>Aalabyss</t>
  </si>
  <si>
    <t>헌테일</t>
  </si>
  <si>
    <t>獵斑魚</t>
  </si>
  <si>
    <t>Gorebyss</t>
  </si>
  <si>
    <t>サクラビス</t>
  </si>
  <si>
    <t>Rosabyss</t>
  </si>
  <si>
    <t>Saganbyss</t>
  </si>
  <si>
    <t>분홍장이</t>
  </si>
  <si>
    <t>櫻花魚</t>
  </si>
  <si>
    <t>Relicanth</t>
  </si>
  <si>
    <t>ジーランス</t>
  </si>
  <si>
    <t>시라칸</t>
  </si>
  <si>
    <t>古空棘魚</t>
  </si>
  <si>
    <t>Luvdisc</t>
  </si>
  <si>
    <t>ラブカス</t>
  </si>
  <si>
    <t>Lovdisc</t>
  </si>
  <si>
    <t>Liebiskuss</t>
  </si>
  <si>
    <t>사랑동이</t>
  </si>
  <si>
    <t>愛心魚</t>
  </si>
  <si>
    <t>Bagon</t>
  </si>
  <si>
    <t>タツベイ</t>
  </si>
  <si>
    <t>Draby</t>
  </si>
  <si>
    <t>Kindwurm</t>
  </si>
  <si>
    <t>아공이</t>
  </si>
  <si>
    <t>寶貝龍</t>
  </si>
  <si>
    <t>Shelgon</t>
  </si>
  <si>
    <t>コモルー</t>
  </si>
  <si>
    <t>Drackhaus</t>
  </si>
  <si>
    <t>Draschel</t>
  </si>
  <si>
    <t>쉘곤</t>
  </si>
  <si>
    <t>甲殼龍</t>
  </si>
  <si>
    <t>Salamence</t>
  </si>
  <si>
    <t>ボーマンダ</t>
  </si>
  <si>
    <t>Drattak</t>
  </si>
  <si>
    <t>Brutalanda</t>
  </si>
  <si>
    <t>보만다</t>
  </si>
  <si>
    <t>暴飞龙</t>
  </si>
  <si>
    <t>Beldum</t>
  </si>
  <si>
    <t>ダンバル</t>
  </si>
  <si>
    <t>Terhal</t>
  </si>
  <si>
    <t>Tanhel</t>
  </si>
  <si>
    <t>메탕</t>
  </si>
  <si>
    <t>鐵啞鈴</t>
  </si>
  <si>
    <t>Metang</t>
  </si>
  <si>
    <t>メタング</t>
  </si>
  <si>
    <t>Métang</t>
  </si>
  <si>
    <t>메탕구</t>
  </si>
  <si>
    <t>金屬怪</t>
  </si>
  <si>
    <t>Metagross</t>
  </si>
  <si>
    <t>メタグロス</t>
  </si>
  <si>
    <t>Métalosse</t>
  </si>
  <si>
    <t>메타그로스</t>
  </si>
  <si>
    <t>巨金怪</t>
  </si>
  <si>
    <t>Regirock</t>
  </si>
  <si>
    <t>レジロック</t>
  </si>
  <si>
    <t>레지락</t>
  </si>
  <si>
    <t>雷吉洛克</t>
  </si>
  <si>
    <t>Regice</t>
  </si>
  <si>
    <t>レジアイス</t>
  </si>
  <si>
    <t>레지아이스</t>
  </si>
  <si>
    <t>雷吉艾斯</t>
  </si>
  <si>
    <t>Registeel</t>
  </si>
  <si>
    <t>レジスチル</t>
  </si>
  <si>
    <t>레지스틸</t>
  </si>
  <si>
    <t>雷吉斯奇魯</t>
  </si>
  <si>
    <t>Latias</t>
  </si>
  <si>
    <t>ラティアス</t>
  </si>
  <si>
    <t>라티아스</t>
  </si>
  <si>
    <t>拉帝亚斯</t>
  </si>
  <si>
    <t>Latios</t>
  </si>
  <si>
    <t>ラティオス</t>
  </si>
  <si>
    <t>라티오스</t>
  </si>
  <si>
    <t>拉帝欧斯</t>
  </si>
  <si>
    <t>Kyogre</t>
  </si>
  <si>
    <t>カイオーガ</t>
  </si>
  <si>
    <t>가이오가</t>
  </si>
  <si>
    <t>蓋歐卡</t>
  </si>
  <si>
    <t>Groudon</t>
  </si>
  <si>
    <t>グラードン</t>
  </si>
  <si>
    <t>그란돈</t>
  </si>
  <si>
    <t>固拉多</t>
  </si>
  <si>
    <t>Rayquaza</t>
  </si>
  <si>
    <t>レックウザ</t>
  </si>
  <si>
    <t>레쿠쟈</t>
  </si>
  <si>
    <t>烈空坐</t>
  </si>
  <si>
    <t>Jirachi</t>
  </si>
  <si>
    <t>ジラーチ</t>
  </si>
  <si>
    <t>지라치</t>
  </si>
  <si>
    <t>基拉祈</t>
  </si>
  <si>
    <t>Deoxys</t>
  </si>
  <si>
    <t>ヂオキシス</t>
  </si>
  <si>
    <t>테오키스</t>
  </si>
  <si>
    <t>代歐奇希斯</t>
  </si>
  <si>
    <t>Turtwig</t>
  </si>
  <si>
    <t>ナエトル</t>
  </si>
  <si>
    <t>Tortipouss</t>
  </si>
  <si>
    <t>Chelast</t>
  </si>
  <si>
    <t>모부기</t>
  </si>
  <si>
    <t>草苗龜</t>
  </si>
  <si>
    <t>Grotle</t>
  </si>
  <si>
    <t>ハヤシガメ</t>
  </si>
  <si>
    <t>Boskara</t>
  </si>
  <si>
    <t>Chelcarain</t>
  </si>
  <si>
    <t>수풀부기</t>
  </si>
  <si>
    <t>樹林龜</t>
  </si>
  <si>
    <t>Torterra</t>
  </si>
  <si>
    <t>ドダイトス</t>
  </si>
  <si>
    <t>Chelterrar</t>
  </si>
  <si>
    <t>토대부기</t>
  </si>
  <si>
    <t>土台龜</t>
  </si>
  <si>
    <t>Chimchar</t>
  </si>
  <si>
    <t>ヒコザル</t>
  </si>
  <si>
    <t>Ouisticram</t>
  </si>
  <si>
    <t>Panflam</t>
  </si>
  <si>
    <t>불꽃숭이</t>
  </si>
  <si>
    <t>小火焰猴</t>
  </si>
  <si>
    <t>Monferno</t>
  </si>
  <si>
    <t>モウカザル</t>
  </si>
  <si>
    <t>Chimpenfeu</t>
  </si>
  <si>
    <t>Panpyro</t>
  </si>
  <si>
    <t>파이숭이</t>
  </si>
  <si>
    <t>猛火猴</t>
  </si>
  <si>
    <t>Infernape</t>
  </si>
  <si>
    <t>ゴウカザル</t>
  </si>
  <si>
    <t>Simiabraz</t>
  </si>
  <si>
    <t>Panferno</t>
  </si>
  <si>
    <t>초염몽</t>
  </si>
  <si>
    <t>烈焰猴</t>
  </si>
  <si>
    <t>Piplup</t>
  </si>
  <si>
    <t>ポッチャマ</t>
  </si>
  <si>
    <t>Tiplouf</t>
  </si>
  <si>
    <t>Plinfa</t>
  </si>
  <si>
    <t>팽도리</t>
  </si>
  <si>
    <t>波加曼</t>
  </si>
  <si>
    <t>Prinplup</t>
  </si>
  <si>
    <t>ポッタイシ</t>
  </si>
  <si>
    <t>Prinplouf</t>
  </si>
  <si>
    <t>Pliprin</t>
  </si>
  <si>
    <t>팽태자</t>
  </si>
  <si>
    <t>波皇子</t>
  </si>
  <si>
    <t>Empoleon</t>
  </si>
  <si>
    <t>エンペルト</t>
  </si>
  <si>
    <t>Pingoléon</t>
  </si>
  <si>
    <t>Impoleon</t>
  </si>
  <si>
    <t>엠페르트</t>
  </si>
  <si>
    <t>帝王拿波</t>
  </si>
  <si>
    <t>Starly</t>
  </si>
  <si>
    <t>ムックル</t>
  </si>
  <si>
    <t>Étourmi</t>
  </si>
  <si>
    <t>Staralili</t>
  </si>
  <si>
    <t>찌르꼬</t>
  </si>
  <si>
    <t>姆克兒</t>
  </si>
  <si>
    <t>Staravia</t>
  </si>
  <si>
    <t>ムクバード</t>
  </si>
  <si>
    <t>Étourvol</t>
  </si>
  <si>
    <t>찌르버드</t>
  </si>
  <si>
    <t>姆克鳥</t>
  </si>
  <si>
    <t>Staraptor</t>
  </si>
  <si>
    <t>ムクホーク</t>
  </si>
  <si>
    <t>Étouraptor</t>
  </si>
  <si>
    <t>찌르호크</t>
  </si>
  <si>
    <t>姆克鷹</t>
  </si>
  <si>
    <t>Bidoof</t>
  </si>
  <si>
    <t>ビッパ</t>
  </si>
  <si>
    <t>Keunotor</t>
  </si>
  <si>
    <t>Bidiza</t>
  </si>
  <si>
    <t>비버니</t>
  </si>
  <si>
    <t>大牙狸</t>
  </si>
  <si>
    <t>Bibarel</t>
  </si>
  <si>
    <t>ビーダル</t>
  </si>
  <si>
    <t>Castorno</t>
  </si>
  <si>
    <t>Bidifas</t>
  </si>
  <si>
    <t>비버통</t>
  </si>
  <si>
    <t>大尾狸</t>
  </si>
  <si>
    <t>Kricketot</t>
  </si>
  <si>
    <t>コロボーシ</t>
  </si>
  <si>
    <t>Crikzik</t>
  </si>
  <si>
    <t>Zirpurze</t>
  </si>
  <si>
    <t>귀뚤뚜기</t>
  </si>
  <si>
    <t>圓法師</t>
  </si>
  <si>
    <t>Kricketune</t>
  </si>
  <si>
    <t>コロトック</t>
  </si>
  <si>
    <t>Mélokrik</t>
  </si>
  <si>
    <t>Zirpeise</t>
  </si>
  <si>
    <t>귀뚤톡크</t>
  </si>
  <si>
    <t>音箱蟀</t>
  </si>
  <si>
    <t>Shinx</t>
  </si>
  <si>
    <t>コリンク</t>
  </si>
  <si>
    <t>Lixy</t>
  </si>
  <si>
    <t>Sheinux</t>
  </si>
  <si>
    <t>꼬링크</t>
  </si>
  <si>
    <t>小貓怪</t>
  </si>
  <si>
    <t>Luxio</t>
  </si>
  <si>
    <t>ルクシオ</t>
  </si>
  <si>
    <t>럭시오</t>
  </si>
  <si>
    <t>勒克貓</t>
  </si>
  <si>
    <t>Luxray</t>
  </si>
  <si>
    <t>レントラー</t>
  </si>
  <si>
    <t>Luxtra</t>
  </si>
  <si>
    <t>렌트라</t>
  </si>
  <si>
    <t>倫琴貓</t>
  </si>
  <si>
    <t>Budew</t>
  </si>
  <si>
    <t>スボミー</t>
  </si>
  <si>
    <t>Rozbouton</t>
  </si>
  <si>
    <t>Knospi</t>
  </si>
  <si>
    <t>꼬몽울</t>
  </si>
  <si>
    <t>含羞苞</t>
  </si>
  <si>
    <t>Roserade</t>
  </si>
  <si>
    <t>ロズレイド</t>
  </si>
  <si>
    <t>로즈레이드</t>
  </si>
  <si>
    <t>羅絲雷朵</t>
  </si>
  <si>
    <t>Cranidos</t>
  </si>
  <si>
    <t>ズガイドス</t>
  </si>
  <si>
    <t>Kranidos</t>
  </si>
  <si>
    <t>Koknodon</t>
  </si>
  <si>
    <t>두개도스</t>
  </si>
  <si>
    <t>頭蓋龍</t>
  </si>
  <si>
    <t>Rampardos</t>
  </si>
  <si>
    <t>ラムパルド</t>
  </si>
  <si>
    <t>Charkos</t>
  </si>
  <si>
    <t>Rameidon</t>
  </si>
  <si>
    <t>램펄드</t>
  </si>
  <si>
    <t>戰槌龍</t>
  </si>
  <si>
    <t>Shieldon</t>
  </si>
  <si>
    <t>タテトプス</t>
  </si>
  <si>
    <t>Dinoclier</t>
  </si>
  <si>
    <t>Schilterus</t>
  </si>
  <si>
    <t>방패톱스</t>
  </si>
  <si>
    <t>盾甲龍</t>
  </si>
  <si>
    <t>Bastiodon</t>
  </si>
  <si>
    <t>トリデプス</t>
  </si>
  <si>
    <t>Bollterus</t>
  </si>
  <si>
    <t>바리톱스</t>
  </si>
  <si>
    <t>護城龍</t>
  </si>
  <si>
    <t>Burmy</t>
  </si>
  <si>
    <t>ミノムッチ</t>
  </si>
  <si>
    <t>Cheniti</t>
  </si>
  <si>
    <t>도롱충이</t>
  </si>
  <si>
    <t>結草兒</t>
  </si>
  <si>
    <t>Wormadam</t>
  </si>
  <si>
    <t>ミノマダム</t>
  </si>
  <si>
    <t>Cheniselle</t>
  </si>
  <si>
    <t>Burmadame</t>
  </si>
  <si>
    <t>도롱마담</t>
  </si>
  <si>
    <t>結草貴婦</t>
  </si>
  <si>
    <t>Mothim</t>
  </si>
  <si>
    <t>ガーメイル</t>
  </si>
  <si>
    <t>Papilord</t>
  </si>
  <si>
    <t>Moterpel</t>
  </si>
  <si>
    <t>나메일</t>
  </si>
  <si>
    <t>紳士蛾</t>
  </si>
  <si>
    <t>Combee</t>
  </si>
  <si>
    <t>ミツハニー</t>
  </si>
  <si>
    <t>Apitrini</t>
  </si>
  <si>
    <t>Wadribie</t>
  </si>
  <si>
    <t>세꿀버리</t>
  </si>
  <si>
    <t>三蜜蜂</t>
  </si>
  <si>
    <t>Vespiquen</t>
  </si>
  <si>
    <t>ビークイン</t>
  </si>
  <si>
    <t>Apireine</t>
  </si>
  <si>
    <t>Honweisel</t>
  </si>
  <si>
    <t>비퀸</t>
  </si>
  <si>
    <t>蜂女王</t>
  </si>
  <si>
    <t>Pachirisu</t>
  </si>
  <si>
    <t>パチリス</t>
  </si>
  <si>
    <t>파치리스</t>
  </si>
  <si>
    <t>帕奇利茲</t>
  </si>
  <si>
    <t>Buizel</t>
  </si>
  <si>
    <t>ブイゼル</t>
  </si>
  <si>
    <t>Mustébouée</t>
  </si>
  <si>
    <t>Bamelin</t>
  </si>
  <si>
    <t>브이젤</t>
  </si>
  <si>
    <t>泳圈鼬</t>
  </si>
  <si>
    <t>Floatzel</t>
  </si>
  <si>
    <t>フローゼル</t>
  </si>
  <si>
    <t>Mustéflott</t>
  </si>
  <si>
    <t>Bojelin</t>
  </si>
  <si>
    <t>플로젤</t>
  </si>
  <si>
    <t>浮潛鼬</t>
  </si>
  <si>
    <t>Cherubi</t>
  </si>
  <si>
    <t>チェリンボ</t>
  </si>
  <si>
    <t>Ceribou</t>
  </si>
  <si>
    <t>Kikugi</t>
  </si>
  <si>
    <t>체리버</t>
  </si>
  <si>
    <t>櫻花寶</t>
  </si>
  <si>
    <t>Cherrim</t>
  </si>
  <si>
    <t>チェリム</t>
  </si>
  <si>
    <t>Ceriflor</t>
  </si>
  <si>
    <t>Kinoso</t>
  </si>
  <si>
    <t>체리꼬</t>
  </si>
  <si>
    <t>櫻花兒</t>
  </si>
  <si>
    <t>Shellos</t>
  </si>
  <si>
    <t>カラナクシ</t>
  </si>
  <si>
    <t>Sancoki</t>
  </si>
  <si>
    <t>Schalellos</t>
  </si>
  <si>
    <t>깝질무</t>
  </si>
  <si>
    <t>無殼海兔</t>
  </si>
  <si>
    <t>Gastrodon</t>
  </si>
  <si>
    <t>トリトソン</t>
  </si>
  <si>
    <t>Tritosor</t>
  </si>
  <si>
    <t>트리토돈</t>
  </si>
  <si>
    <t>海兔獸</t>
  </si>
  <si>
    <t>Ambipom</t>
  </si>
  <si>
    <t>エテボース</t>
  </si>
  <si>
    <t>Capidextre</t>
  </si>
  <si>
    <t>Ambidiffel</t>
  </si>
  <si>
    <t>겟핸보숭</t>
  </si>
  <si>
    <t>雙尾怪手</t>
  </si>
  <si>
    <t>Drifloon</t>
  </si>
  <si>
    <t>フワンテ</t>
  </si>
  <si>
    <t>Baudrive</t>
  </si>
  <si>
    <t>Driftlon</t>
  </si>
  <si>
    <t>흔들풍손</t>
  </si>
  <si>
    <t>飄飄球</t>
  </si>
  <si>
    <t>Drifblim</t>
  </si>
  <si>
    <t>フワライド</t>
  </si>
  <si>
    <t>Grodrive</t>
  </si>
  <si>
    <t>Drifzepeli</t>
  </si>
  <si>
    <t>둥실라이드</t>
  </si>
  <si>
    <t>隨風球</t>
  </si>
  <si>
    <t>Buneary</t>
  </si>
  <si>
    <t>ミミロル</t>
  </si>
  <si>
    <t>Laporeille</t>
  </si>
  <si>
    <t>Haspiror</t>
  </si>
  <si>
    <t>이어롤</t>
  </si>
  <si>
    <t>捲捲耳</t>
  </si>
  <si>
    <t>Lopunny</t>
  </si>
  <si>
    <t>ミミロップ</t>
  </si>
  <si>
    <t>Lockpin</t>
  </si>
  <si>
    <t>Schlapor</t>
  </si>
  <si>
    <t>이어롭</t>
  </si>
  <si>
    <t>长耳兔</t>
  </si>
  <si>
    <t>Mismagius</t>
  </si>
  <si>
    <t>ムウマージ</t>
  </si>
  <si>
    <t>Magirêve</t>
  </si>
  <si>
    <t>무우마직</t>
  </si>
  <si>
    <t>夢妖魔</t>
  </si>
  <si>
    <t>Honchkrow</t>
  </si>
  <si>
    <t>ドンカラス</t>
  </si>
  <si>
    <t>Corboss</t>
  </si>
  <si>
    <t>Kramshef</t>
  </si>
  <si>
    <t>돈크로우</t>
  </si>
  <si>
    <t>烏鴉頭頭</t>
  </si>
  <si>
    <t>Glameow</t>
  </si>
  <si>
    <t>ミャルマー</t>
  </si>
  <si>
    <t>Chaglam</t>
  </si>
  <si>
    <t>Charmian</t>
  </si>
  <si>
    <t>나옹마</t>
  </si>
  <si>
    <t>魅力喵</t>
  </si>
  <si>
    <t>Purugly</t>
  </si>
  <si>
    <t>ブニャット</t>
  </si>
  <si>
    <t>Chaffreux</t>
  </si>
  <si>
    <t>Shnurgarst</t>
  </si>
  <si>
    <t>몬냥이</t>
  </si>
  <si>
    <t>東施喵</t>
  </si>
  <si>
    <t>Chingling</t>
  </si>
  <si>
    <t>リーシャン</t>
  </si>
  <si>
    <t>Korillon</t>
  </si>
  <si>
    <t>Klingplim</t>
  </si>
  <si>
    <t>랑딸랑</t>
  </si>
  <si>
    <t>鈴鐺響</t>
  </si>
  <si>
    <t>Stunky</t>
  </si>
  <si>
    <t>スカンプー</t>
  </si>
  <si>
    <t>Moufouette</t>
  </si>
  <si>
    <t>Skunkapuh</t>
  </si>
  <si>
    <t>스컹뿡</t>
  </si>
  <si>
    <t>臭鼬噗</t>
  </si>
  <si>
    <t>Skuntank</t>
  </si>
  <si>
    <t>スカタンク</t>
  </si>
  <si>
    <t>Moufflair</t>
  </si>
  <si>
    <t>스컹탱크</t>
  </si>
  <si>
    <t>坦克臭鼬</t>
  </si>
  <si>
    <t>Bronzor</t>
  </si>
  <si>
    <t>ドーミラー</t>
  </si>
  <si>
    <t>Archéomire</t>
  </si>
  <si>
    <t>Bronzel</t>
  </si>
  <si>
    <t>동미러</t>
  </si>
  <si>
    <t>銅鏡怪</t>
  </si>
  <si>
    <t>Bronzong</t>
  </si>
  <si>
    <t>ドータクン</t>
  </si>
  <si>
    <t>Archéodong</t>
  </si>
  <si>
    <t>동탁군</t>
  </si>
  <si>
    <t>青銅鐘</t>
  </si>
  <si>
    <t>Bonsly</t>
  </si>
  <si>
    <t>ウソハチ</t>
  </si>
  <si>
    <t>Manzaï</t>
  </si>
  <si>
    <t>Mobai</t>
  </si>
  <si>
    <t>꼬지지</t>
  </si>
  <si>
    <t>盆才怪</t>
  </si>
  <si>
    <t>NAME_PkMn_MIMEJR</t>
  </si>
  <si>
    <t>Mime Jr.</t>
  </si>
  <si>
    <t>マネネ</t>
  </si>
  <si>
    <t>Pantimimi</t>
  </si>
  <si>
    <t>흉내내</t>
  </si>
  <si>
    <t>魔尼尼</t>
  </si>
  <si>
    <t>Happiny</t>
  </si>
  <si>
    <t>ピンプク</t>
  </si>
  <si>
    <t>Ptiravi</t>
  </si>
  <si>
    <t>Wonneira</t>
  </si>
  <si>
    <t>핑복</t>
  </si>
  <si>
    <t>小福蛋</t>
  </si>
  <si>
    <t>Chatot</t>
  </si>
  <si>
    <t>ペラップ</t>
  </si>
  <si>
    <t>Pijako</t>
  </si>
  <si>
    <t>Plaudagei</t>
  </si>
  <si>
    <t>페라페</t>
  </si>
  <si>
    <t>聒噪鳥</t>
  </si>
  <si>
    <t>Spiritomb</t>
  </si>
  <si>
    <t>ミカルゲ</t>
  </si>
  <si>
    <t>Kryppuk</t>
  </si>
  <si>
    <t>화강돌</t>
  </si>
  <si>
    <t>花岩怪</t>
  </si>
  <si>
    <t>Gible</t>
  </si>
  <si>
    <t>フカマル</t>
  </si>
  <si>
    <t>Griknot</t>
  </si>
  <si>
    <t>Kaumalat</t>
  </si>
  <si>
    <t>딥상어동</t>
  </si>
  <si>
    <t>圓陸鯊</t>
  </si>
  <si>
    <t>Gabite</t>
  </si>
  <si>
    <t>ガバイト</t>
  </si>
  <si>
    <t>Carmache</t>
  </si>
  <si>
    <t>Knarksel</t>
  </si>
  <si>
    <t>한바이트</t>
  </si>
  <si>
    <t>尖牙陸鯊</t>
  </si>
  <si>
    <t>Garchomp</t>
  </si>
  <si>
    <t>ガブリアス</t>
  </si>
  <si>
    <t>Carchacrok</t>
  </si>
  <si>
    <t>Knakrack</t>
  </si>
  <si>
    <t>한카리아스</t>
  </si>
  <si>
    <t>烈咬陆鲨</t>
  </si>
  <si>
    <t>Munchlax</t>
  </si>
  <si>
    <t>ゴンベ</t>
  </si>
  <si>
    <t>Goinfrex</t>
  </si>
  <si>
    <t>Mampfaxo</t>
  </si>
  <si>
    <t>먹고자</t>
  </si>
  <si>
    <t>小卡比獸</t>
  </si>
  <si>
    <t>Riolu</t>
  </si>
  <si>
    <t>リオル</t>
  </si>
  <si>
    <t>리오르</t>
  </si>
  <si>
    <t>利歐路</t>
  </si>
  <si>
    <t>Lucario</t>
  </si>
  <si>
    <t>ルカリオ</t>
  </si>
  <si>
    <t>루카리오</t>
  </si>
  <si>
    <t>路卡利欧</t>
  </si>
  <si>
    <t>Hippopotas</t>
  </si>
  <si>
    <t>ヒポポタス</t>
  </si>
  <si>
    <t>히포포타스</t>
  </si>
  <si>
    <t>沙河馬</t>
  </si>
  <si>
    <t>Hippowdon</t>
  </si>
  <si>
    <t>カバルドン</t>
  </si>
  <si>
    <t>Hippodocus</t>
  </si>
  <si>
    <t>Hippoterus</t>
  </si>
  <si>
    <t>하마돈</t>
  </si>
  <si>
    <t>河馬獸</t>
  </si>
  <si>
    <t>Skorupi</t>
  </si>
  <si>
    <t>スコルピ</t>
  </si>
  <si>
    <t>Rapion</t>
  </si>
  <si>
    <t>Pionskora</t>
  </si>
  <si>
    <t>스콜피</t>
  </si>
  <si>
    <t>鉗尾蠍</t>
  </si>
  <si>
    <t>Drapion</t>
  </si>
  <si>
    <t>ドラピオン</t>
  </si>
  <si>
    <t>Drascore</t>
  </si>
  <si>
    <t>Piondragi</t>
  </si>
  <si>
    <t>드래피온</t>
  </si>
  <si>
    <t>龍王蠍</t>
  </si>
  <si>
    <t>Croagunk</t>
  </si>
  <si>
    <t>グレッグル</t>
  </si>
  <si>
    <t>Cradopaud</t>
  </si>
  <si>
    <t>Glibunkel</t>
  </si>
  <si>
    <t>삐딱구리</t>
  </si>
  <si>
    <t>不良蛙</t>
  </si>
  <si>
    <t>Toxicroak</t>
  </si>
  <si>
    <t>ドクロッグ</t>
  </si>
  <si>
    <t>Coatox</t>
  </si>
  <si>
    <t>Toxiquak</t>
  </si>
  <si>
    <t>독개굴</t>
  </si>
  <si>
    <t>毒骷蛙</t>
  </si>
  <si>
    <t>Carnivine</t>
  </si>
  <si>
    <t>マスキッパ</t>
  </si>
  <si>
    <t>Vortente</t>
  </si>
  <si>
    <t>Venuflibis</t>
  </si>
  <si>
    <t>무스틈니</t>
  </si>
  <si>
    <t>尖牙籠</t>
  </si>
  <si>
    <t>Finneon</t>
  </si>
  <si>
    <t>ケイコウオ</t>
  </si>
  <si>
    <t>Écayon</t>
  </si>
  <si>
    <t>형광어</t>
  </si>
  <si>
    <t>螢光魚</t>
  </si>
  <si>
    <t>Lumineon</t>
  </si>
  <si>
    <t>ネオラント</t>
  </si>
  <si>
    <t>Luminéon</t>
  </si>
  <si>
    <t>네오라이트</t>
  </si>
  <si>
    <t>霓虹魚</t>
  </si>
  <si>
    <t>Mantyke</t>
  </si>
  <si>
    <t>タマンタ</t>
  </si>
  <si>
    <t>Babimanta</t>
  </si>
  <si>
    <t>Mantirps</t>
  </si>
  <si>
    <t>타만타</t>
  </si>
  <si>
    <t>小球飛魚</t>
  </si>
  <si>
    <t>Snover</t>
  </si>
  <si>
    <t>ユキカブリ</t>
  </si>
  <si>
    <t>Blizzi</t>
  </si>
  <si>
    <t>Shnebedeck</t>
  </si>
  <si>
    <t>눈쓰개</t>
  </si>
  <si>
    <t>雪笠怪</t>
  </si>
  <si>
    <t>Abomasnow</t>
  </si>
  <si>
    <t>ユキノオー</t>
  </si>
  <si>
    <t>Blizzaroi</t>
  </si>
  <si>
    <t>Rexblisar</t>
  </si>
  <si>
    <t>눈설왕</t>
  </si>
  <si>
    <t>暴雪王</t>
  </si>
  <si>
    <t>Weavile</t>
  </si>
  <si>
    <t>マニューラ</t>
  </si>
  <si>
    <t>Dimoret</t>
  </si>
  <si>
    <t>Snibunna</t>
  </si>
  <si>
    <t>포푸니라</t>
  </si>
  <si>
    <t>瑪狃拉</t>
  </si>
  <si>
    <t>Magnezone</t>
  </si>
  <si>
    <t>ジバコイル</t>
  </si>
  <si>
    <t>Magnézone</t>
  </si>
  <si>
    <t>자포코일</t>
  </si>
  <si>
    <t>自爆磁怪</t>
  </si>
  <si>
    <t>Lickilicky</t>
  </si>
  <si>
    <t>ベロベルト</t>
  </si>
  <si>
    <t>Coudlangue</t>
  </si>
  <si>
    <t>Schlurplek</t>
  </si>
  <si>
    <t>내룸벨트</t>
  </si>
  <si>
    <t>大舌舔</t>
  </si>
  <si>
    <t>Rhyperior</t>
  </si>
  <si>
    <t>ドサイドン</t>
  </si>
  <si>
    <t>Rhinastoc</t>
  </si>
  <si>
    <t>Rihornior</t>
  </si>
  <si>
    <t>거대코뿌리</t>
  </si>
  <si>
    <t>超甲狂犀</t>
  </si>
  <si>
    <t>Tangrowth</t>
  </si>
  <si>
    <t>モジャンボ</t>
  </si>
  <si>
    <t>Bouldeneu</t>
  </si>
  <si>
    <t>Tangoloss</t>
  </si>
  <si>
    <t>덩쿠림보</t>
  </si>
  <si>
    <t>巨蔓藤</t>
  </si>
  <si>
    <t>Electivire</t>
  </si>
  <si>
    <t>エレキブル</t>
  </si>
  <si>
    <t>Élékable</t>
  </si>
  <si>
    <t>Elevoltek</t>
  </si>
  <si>
    <t>에레키블</t>
  </si>
  <si>
    <t>電擊魔獸</t>
  </si>
  <si>
    <t>Magmortar</t>
  </si>
  <si>
    <t>ブーバーン</t>
  </si>
  <si>
    <t>Maganon</t>
  </si>
  <si>
    <t>Magbrant</t>
  </si>
  <si>
    <t>마그마번</t>
  </si>
  <si>
    <t>鴨嘴炎獸</t>
  </si>
  <si>
    <t>Togekiss</t>
  </si>
  <si>
    <t>トゲキッス</t>
  </si>
  <si>
    <t>토게키스</t>
  </si>
  <si>
    <t>波克基斯</t>
  </si>
  <si>
    <t>Yanmega</t>
  </si>
  <si>
    <t>メガヤンマ</t>
  </si>
  <si>
    <t>메가자리</t>
  </si>
  <si>
    <t>遠古巨蜓</t>
  </si>
  <si>
    <t>Leafeon</t>
  </si>
  <si>
    <t>リーフィア</t>
  </si>
  <si>
    <t>Phyllali</t>
  </si>
  <si>
    <t>Folipurba</t>
  </si>
  <si>
    <t>리피아</t>
  </si>
  <si>
    <t>葉伊布</t>
  </si>
  <si>
    <t>Glaceon</t>
  </si>
  <si>
    <t>グレイシア</t>
  </si>
  <si>
    <t>Givrali</t>
  </si>
  <si>
    <t>Glaziola</t>
  </si>
  <si>
    <t>글레이시아</t>
  </si>
  <si>
    <t>冰伊布</t>
  </si>
  <si>
    <t>Gliscor</t>
  </si>
  <si>
    <t>グライオン</t>
  </si>
  <si>
    <t>Scorvol</t>
  </si>
  <si>
    <t>Skorgro</t>
  </si>
  <si>
    <t>글라이온</t>
  </si>
  <si>
    <t>天蠍王</t>
  </si>
  <si>
    <t>Mamoswine</t>
  </si>
  <si>
    <t>マンムー</t>
  </si>
  <si>
    <t>Mammochon</t>
  </si>
  <si>
    <t>Mamutel</t>
  </si>
  <si>
    <t>맘모꾸리</t>
  </si>
  <si>
    <t>象牙豬</t>
  </si>
  <si>
    <t>NAME_PkMn_PORYGONZ</t>
  </si>
  <si>
    <t>Porygon-Z</t>
  </si>
  <si>
    <t>ポリゴンＺ</t>
  </si>
  <si>
    <t>多边兽乙型</t>
  </si>
  <si>
    <t>Gallade</t>
  </si>
  <si>
    <t>エルレイド</t>
  </si>
  <si>
    <t>Gallame</t>
  </si>
  <si>
    <t>Galagladi</t>
  </si>
  <si>
    <t>엘레이드</t>
  </si>
  <si>
    <t>艾路雷朵</t>
  </si>
  <si>
    <t>Probopass</t>
  </si>
  <si>
    <t>ダイノーズ</t>
  </si>
  <si>
    <t>Tarinorme</t>
  </si>
  <si>
    <t>Voluminas</t>
  </si>
  <si>
    <t>대코파스</t>
  </si>
  <si>
    <t>大朝北鼻</t>
  </si>
  <si>
    <t>Dusknoir</t>
  </si>
  <si>
    <t>ヨノワール</t>
  </si>
  <si>
    <t>Noctunoir</t>
  </si>
  <si>
    <t>야느와르몽</t>
  </si>
  <si>
    <t>黑夜魔靈</t>
  </si>
  <si>
    <t>Froslass</t>
  </si>
  <si>
    <t>ユキメノコ</t>
  </si>
  <si>
    <t>Momartik</t>
  </si>
  <si>
    <t>Frosdedje</t>
  </si>
  <si>
    <t>눈여아</t>
  </si>
  <si>
    <t>雪妖女</t>
  </si>
  <si>
    <t>Rotom</t>
  </si>
  <si>
    <t>ロトム</t>
  </si>
  <si>
    <t>Motisma</t>
  </si>
  <si>
    <t>로토무</t>
  </si>
  <si>
    <t>洛托姆</t>
  </si>
  <si>
    <t>Uxie</t>
  </si>
  <si>
    <t>ユクシー</t>
  </si>
  <si>
    <t>Créhelf</t>
  </si>
  <si>
    <t>Selfe</t>
  </si>
  <si>
    <t>유크시</t>
  </si>
  <si>
    <t>由克希</t>
  </si>
  <si>
    <t>Mesprit</t>
  </si>
  <si>
    <t>エムリット</t>
  </si>
  <si>
    <t>Créfollet</t>
  </si>
  <si>
    <t>Vesprit</t>
  </si>
  <si>
    <t>엠라이트</t>
  </si>
  <si>
    <t>艾姆利多</t>
  </si>
  <si>
    <t>Azelf</t>
  </si>
  <si>
    <t>アグノム</t>
  </si>
  <si>
    <t>Créfadet</t>
  </si>
  <si>
    <t>Tobutz</t>
  </si>
  <si>
    <t>아그놈</t>
  </si>
  <si>
    <t>亞克諾姆</t>
  </si>
  <si>
    <t>Dialga</t>
  </si>
  <si>
    <t>ヂィアルガ</t>
  </si>
  <si>
    <t>디아루가</t>
  </si>
  <si>
    <t>帝牙盧卡</t>
  </si>
  <si>
    <t>Palkia</t>
  </si>
  <si>
    <t>パルキア</t>
  </si>
  <si>
    <t>펄기아</t>
  </si>
  <si>
    <t>帕路奇亞</t>
  </si>
  <si>
    <t>Heatran</t>
  </si>
  <si>
    <t>ヒードラン</t>
  </si>
  <si>
    <t>히드런</t>
  </si>
  <si>
    <t>席多藍恩</t>
  </si>
  <si>
    <t>Regigigas</t>
  </si>
  <si>
    <t>レジギガス</t>
  </si>
  <si>
    <t>레지기가스</t>
  </si>
  <si>
    <t>雷吉奇卡斯</t>
  </si>
  <si>
    <t>Giratina</t>
  </si>
  <si>
    <t>ギラティナ</t>
  </si>
  <si>
    <t>기라티나</t>
  </si>
  <si>
    <t>騎拉帝納</t>
  </si>
  <si>
    <t>Cresselia</t>
  </si>
  <si>
    <t>クレセリア</t>
  </si>
  <si>
    <t>크레세리아</t>
  </si>
  <si>
    <t>克雷色利亞</t>
  </si>
  <si>
    <t>Phione</t>
  </si>
  <si>
    <t>フィオネ</t>
  </si>
  <si>
    <t>피오네</t>
  </si>
  <si>
    <t>霏歐納</t>
  </si>
  <si>
    <t>Manaphy</t>
  </si>
  <si>
    <t>マナフィ</t>
  </si>
  <si>
    <t>마나피</t>
  </si>
  <si>
    <t>瑪納霏</t>
  </si>
  <si>
    <t>Darkrai</t>
  </si>
  <si>
    <t>ダークライ</t>
  </si>
  <si>
    <t>다크라이</t>
  </si>
  <si>
    <t>達克萊伊</t>
  </si>
  <si>
    <t>Shaymin</t>
  </si>
  <si>
    <t>シェイミ</t>
  </si>
  <si>
    <t>쉐이미</t>
  </si>
  <si>
    <t>謝米</t>
  </si>
  <si>
    <t>Arceus</t>
  </si>
  <si>
    <t>アルセウス</t>
  </si>
  <si>
    <t>아르세우스</t>
  </si>
  <si>
    <t>阿爾宙斯</t>
  </si>
  <si>
    <t>Victini</t>
  </si>
  <si>
    <t>ビクチイニ</t>
  </si>
  <si>
    <t>比克提尼</t>
  </si>
  <si>
    <t>Snivy</t>
  </si>
  <si>
    <t>ツタージャ</t>
  </si>
  <si>
    <t>Vipélierre</t>
  </si>
  <si>
    <t>Serpifeu</t>
  </si>
  <si>
    <t>주리비얀</t>
  </si>
  <si>
    <t>藤藤蛇</t>
  </si>
  <si>
    <t>Servine</t>
  </si>
  <si>
    <t>ジャノビー</t>
  </si>
  <si>
    <t>Lianaja</t>
  </si>
  <si>
    <t>Efoserp</t>
  </si>
  <si>
    <t>샤비</t>
  </si>
  <si>
    <t>青藤蛇</t>
  </si>
  <si>
    <t>Serperior</t>
  </si>
  <si>
    <t>ジャローダ</t>
  </si>
  <si>
    <t>Majaspic</t>
  </si>
  <si>
    <t>Serpiroyal</t>
  </si>
  <si>
    <t>샤로다</t>
  </si>
  <si>
    <t>君主蛇</t>
  </si>
  <si>
    <t>Tepig</t>
  </si>
  <si>
    <t>ポカブ</t>
  </si>
  <si>
    <t>Gruikui</t>
  </si>
  <si>
    <t>Floink</t>
  </si>
  <si>
    <t>뚜꾸리</t>
  </si>
  <si>
    <t>暖暖豬</t>
  </si>
  <si>
    <t>Pignite</t>
  </si>
  <si>
    <t>チャオブー</t>
  </si>
  <si>
    <t>Grotichon</t>
  </si>
  <si>
    <t>Ferkokel</t>
  </si>
  <si>
    <t>챠오꿀</t>
  </si>
  <si>
    <t>炒炒豬</t>
  </si>
  <si>
    <t>Emboar</t>
  </si>
  <si>
    <t>エンブオー</t>
  </si>
  <si>
    <t>Roitiflam</t>
  </si>
  <si>
    <t>Flambirex</t>
  </si>
  <si>
    <t>염무왕</t>
  </si>
  <si>
    <t>炎武王</t>
  </si>
  <si>
    <t>Oshawott</t>
  </si>
  <si>
    <t>ミジュマル</t>
  </si>
  <si>
    <t>Moustillon</t>
  </si>
  <si>
    <t>Ottaro</t>
  </si>
  <si>
    <t>수댕이</t>
  </si>
  <si>
    <t>水水獺</t>
  </si>
  <si>
    <t>Dewott</t>
  </si>
  <si>
    <t>フタチマル</t>
  </si>
  <si>
    <t>Mateloutre</t>
  </si>
  <si>
    <t>Zwottronin</t>
  </si>
  <si>
    <t>쌍검자비</t>
  </si>
  <si>
    <t>雙刃丸</t>
  </si>
  <si>
    <t>Samurott</t>
  </si>
  <si>
    <t>ダイケンキ</t>
  </si>
  <si>
    <t>Clamiral</t>
  </si>
  <si>
    <t>Admurai</t>
  </si>
  <si>
    <t>대검귀</t>
  </si>
  <si>
    <t>大劍鬼</t>
  </si>
  <si>
    <t>Patrat</t>
  </si>
  <si>
    <t>ミネズミ</t>
  </si>
  <si>
    <t>Ratentif</t>
  </si>
  <si>
    <t>Nagelotz</t>
  </si>
  <si>
    <t>보르쥐</t>
  </si>
  <si>
    <t>探探鼠</t>
  </si>
  <si>
    <t>Watchog</t>
  </si>
  <si>
    <t>ミルホッグ</t>
  </si>
  <si>
    <t>Miradar</t>
  </si>
  <si>
    <t>Kukmarda</t>
  </si>
  <si>
    <t>보르그</t>
  </si>
  <si>
    <t>步哨鼠</t>
  </si>
  <si>
    <t>Lillipup</t>
  </si>
  <si>
    <t>ヨーテリー</t>
  </si>
  <si>
    <t>Ponchiot</t>
  </si>
  <si>
    <t>Yorkleff</t>
  </si>
  <si>
    <t>요테리</t>
  </si>
  <si>
    <t>小約克</t>
  </si>
  <si>
    <t>Herdier</t>
  </si>
  <si>
    <t>ハーヂリア</t>
  </si>
  <si>
    <t>Ponchien</t>
  </si>
  <si>
    <t>Terribark</t>
  </si>
  <si>
    <t>하데리어</t>
  </si>
  <si>
    <t>哈約克</t>
  </si>
  <si>
    <t>Stoutland</t>
  </si>
  <si>
    <t>ムーランド</t>
  </si>
  <si>
    <t>Mastouffe</t>
  </si>
  <si>
    <t>Bissbark</t>
  </si>
  <si>
    <t>바랜드</t>
  </si>
  <si>
    <t>長毛狗</t>
  </si>
  <si>
    <t>Purrloin</t>
  </si>
  <si>
    <t>チョロネコ</t>
  </si>
  <si>
    <t>Chacripan</t>
  </si>
  <si>
    <t>Felilou</t>
  </si>
  <si>
    <t>쌔비냥</t>
  </si>
  <si>
    <t>扒手貓</t>
  </si>
  <si>
    <t>Liepard</t>
  </si>
  <si>
    <t>レパルダス</t>
  </si>
  <si>
    <t>Léopardus</t>
  </si>
  <si>
    <t>Kleoparda</t>
  </si>
  <si>
    <t>레파르다스</t>
  </si>
  <si>
    <t>酷豹</t>
  </si>
  <si>
    <t>Pansage</t>
  </si>
  <si>
    <t>ヤナップ</t>
  </si>
  <si>
    <t>Feuillajou</t>
  </si>
  <si>
    <t>Vegimak</t>
  </si>
  <si>
    <t>야나프</t>
  </si>
  <si>
    <t>花椰猴</t>
  </si>
  <si>
    <t>Simisage</t>
  </si>
  <si>
    <t>ヤナッキー</t>
  </si>
  <si>
    <t>Feuiloutan</t>
  </si>
  <si>
    <t>Vegichita</t>
  </si>
  <si>
    <t>야나키</t>
  </si>
  <si>
    <t>花椰猿</t>
  </si>
  <si>
    <t>Pansear</t>
  </si>
  <si>
    <t>バオップ</t>
  </si>
  <si>
    <t>Flamajou</t>
  </si>
  <si>
    <t>Grillmak</t>
  </si>
  <si>
    <t>바오프</t>
  </si>
  <si>
    <t>爆香猴</t>
  </si>
  <si>
    <t>Simisear</t>
  </si>
  <si>
    <t>バオッキー</t>
  </si>
  <si>
    <t>Flamoutan</t>
  </si>
  <si>
    <t>Grillchita</t>
  </si>
  <si>
    <t>바오키</t>
  </si>
  <si>
    <t>爆香猿</t>
  </si>
  <si>
    <t>Panpour</t>
  </si>
  <si>
    <t>ヒヤップ</t>
  </si>
  <si>
    <t>Flotajou</t>
  </si>
  <si>
    <t>Sodamak</t>
  </si>
  <si>
    <t>앗차프</t>
  </si>
  <si>
    <t>冷水猴</t>
  </si>
  <si>
    <t>Simipour</t>
  </si>
  <si>
    <t>ヒヤッキー</t>
  </si>
  <si>
    <t>Flotoutan</t>
  </si>
  <si>
    <t>Sodachita</t>
  </si>
  <si>
    <t>앗차키</t>
  </si>
  <si>
    <t>冷水猿</t>
  </si>
  <si>
    <t>Munna</t>
  </si>
  <si>
    <t>ムンナ</t>
  </si>
  <si>
    <t>Somniam</t>
  </si>
  <si>
    <t>몽나</t>
  </si>
  <si>
    <t>食夢夢</t>
  </si>
  <si>
    <t>Musharna</t>
  </si>
  <si>
    <t>ムシャーナ</t>
  </si>
  <si>
    <t>Mushana</t>
  </si>
  <si>
    <t>Somnivora</t>
  </si>
  <si>
    <t>몽얌나</t>
  </si>
  <si>
    <t>夢夢蝕</t>
  </si>
  <si>
    <t>Pidove</t>
  </si>
  <si>
    <t>マメパト</t>
  </si>
  <si>
    <t>Poichigeon</t>
  </si>
  <si>
    <t>Dusselgurr</t>
  </si>
  <si>
    <t>콩둘기</t>
  </si>
  <si>
    <t>豆豆鴿</t>
  </si>
  <si>
    <t>Tranquill</t>
  </si>
  <si>
    <t>ハトーポー</t>
  </si>
  <si>
    <t>Colombeau</t>
  </si>
  <si>
    <t>Navitaub</t>
  </si>
  <si>
    <t>유토브</t>
  </si>
  <si>
    <t>咕咕鴿</t>
  </si>
  <si>
    <t>Unfezant</t>
  </si>
  <si>
    <t>ケンホロウ</t>
  </si>
  <si>
    <t>Déflaisan</t>
  </si>
  <si>
    <t>Fasasnob</t>
  </si>
  <si>
    <t>켄호로우</t>
  </si>
  <si>
    <t>高傲雉雞</t>
  </si>
  <si>
    <t>Blitzle</t>
  </si>
  <si>
    <t>シママ</t>
  </si>
  <si>
    <t>Zébibron</t>
  </si>
  <si>
    <t>Elezeba</t>
  </si>
  <si>
    <t>줄뮤마</t>
  </si>
  <si>
    <t>斑斑馬</t>
  </si>
  <si>
    <t>Zebstrika</t>
  </si>
  <si>
    <t>ゼブライカ</t>
  </si>
  <si>
    <t>Zéblitz</t>
  </si>
  <si>
    <t>Zebritz</t>
  </si>
  <si>
    <t>제브라이카</t>
  </si>
  <si>
    <t>雷電斑馬</t>
  </si>
  <si>
    <t>Roggenrola</t>
  </si>
  <si>
    <t>ダンゴロ</t>
  </si>
  <si>
    <t>Nodulithe</t>
  </si>
  <si>
    <t>Kiesling</t>
  </si>
  <si>
    <t>단굴</t>
  </si>
  <si>
    <t>石丸子</t>
  </si>
  <si>
    <t>Boldore</t>
  </si>
  <si>
    <t>ガントル</t>
  </si>
  <si>
    <t>Géolithe</t>
  </si>
  <si>
    <t>Sedimantur</t>
  </si>
  <si>
    <t>암트르</t>
  </si>
  <si>
    <t>地幔岩</t>
  </si>
  <si>
    <t>Gigalith</t>
  </si>
  <si>
    <t>ギガイアス</t>
  </si>
  <si>
    <t>Gigalithe</t>
  </si>
  <si>
    <t>Brockoloss</t>
  </si>
  <si>
    <t>기가이어스</t>
  </si>
  <si>
    <t>龐岩怪</t>
  </si>
  <si>
    <t>Woobat</t>
  </si>
  <si>
    <t>コロモリ</t>
  </si>
  <si>
    <t>Chovsourir</t>
  </si>
  <si>
    <t>Fleknoil</t>
  </si>
  <si>
    <t>또르박쥐</t>
  </si>
  <si>
    <t>滾滾蝙蝠</t>
  </si>
  <si>
    <t>Swoobat</t>
  </si>
  <si>
    <t>ココロモリ</t>
  </si>
  <si>
    <t>Rhinolove</t>
  </si>
  <si>
    <t>Fletiano</t>
  </si>
  <si>
    <t>맘박쥐</t>
  </si>
  <si>
    <t>心蝙蝠</t>
  </si>
  <si>
    <t>Drilbur</t>
  </si>
  <si>
    <t>モグリュー</t>
  </si>
  <si>
    <t>Rototaupe</t>
  </si>
  <si>
    <t>Rotomurf</t>
  </si>
  <si>
    <t>두더류</t>
  </si>
  <si>
    <t>螺釘地鼠</t>
  </si>
  <si>
    <t>Excadrill</t>
  </si>
  <si>
    <t>ドリュウズ</t>
  </si>
  <si>
    <t>Minotaupe</t>
  </si>
  <si>
    <t>Stalobor</t>
  </si>
  <si>
    <t>몰드류</t>
  </si>
  <si>
    <t>龍頭地鼠</t>
  </si>
  <si>
    <t>Audino</t>
  </si>
  <si>
    <t>タブンネ</t>
  </si>
  <si>
    <t>Nanméouïe</t>
  </si>
  <si>
    <t>Ohrdoch</t>
  </si>
  <si>
    <t>다부니</t>
  </si>
  <si>
    <t>差不多娃娃</t>
  </si>
  <si>
    <t>Timburr</t>
  </si>
  <si>
    <t>ドッコラー</t>
  </si>
  <si>
    <t>Charpenti</t>
  </si>
  <si>
    <t>Praktibalk</t>
  </si>
  <si>
    <t>으랏차</t>
  </si>
  <si>
    <t>搬運小匠</t>
  </si>
  <si>
    <t>Gurdurr</t>
  </si>
  <si>
    <t>ドテッコツ</t>
  </si>
  <si>
    <t>Ouvrifier</t>
  </si>
  <si>
    <t>Strepoli</t>
  </si>
  <si>
    <t>토쇠골</t>
  </si>
  <si>
    <t>鐵骨土人</t>
  </si>
  <si>
    <t>Conkeldurr</t>
  </si>
  <si>
    <t>ローブシン</t>
  </si>
  <si>
    <t>Bétochef</t>
  </si>
  <si>
    <t>Meistagrif</t>
  </si>
  <si>
    <t>노보청</t>
  </si>
  <si>
    <t>修建老匠</t>
  </si>
  <si>
    <t>Tympole</t>
  </si>
  <si>
    <t>オタマロ</t>
  </si>
  <si>
    <t>Tritonde</t>
  </si>
  <si>
    <t>Schallquap</t>
  </si>
  <si>
    <t>동챙이</t>
  </si>
  <si>
    <t>圓蝌蚪</t>
  </si>
  <si>
    <t>Palpitoad</t>
  </si>
  <si>
    <t>ガマガル</t>
  </si>
  <si>
    <t>Batracné</t>
  </si>
  <si>
    <t>Mebrana</t>
  </si>
  <si>
    <t>두까비</t>
  </si>
  <si>
    <t>藍蟾蜍</t>
  </si>
  <si>
    <t>Seismitoad</t>
  </si>
  <si>
    <t>ガマゲロゲ</t>
  </si>
  <si>
    <t>Crapustule</t>
  </si>
  <si>
    <t>Branawarz</t>
  </si>
  <si>
    <t>두빅굴</t>
  </si>
  <si>
    <t>蟾蜍王</t>
  </si>
  <si>
    <t>Throh</t>
  </si>
  <si>
    <t>ナゲキ</t>
  </si>
  <si>
    <t>Judokrak</t>
  </si>
  <si>
    <t>Jiutesto</t>
  </si>
  <si>
    <t>던지미</t>
  </si>
  <si>
    <t>投摔鬼</t>
  </si>
  <si>
    <t>Sawk</t>
  </si>
  <si>
    <t>ダゲキ</t>
  </si>
  <si>
    <t>Karaclée</t>
  </si>
  <si>
    <t>Karadonis</t>
  </si>
  <si>
    <t>타격귀</t>
  </si>
  <si>
    <t>打擊鬼</t>
  </si>
  <si>
    <t>Sewaddle</t>
  </si>
  <si>
    <t>クルミル</t>
  </si>
  <si>
    <t>Larvayette</t>
  </si>
  <si>
    <t>Strawickl</t>
  </si>
  <si>
    <t>두르보</t>
  </si>
  <si>
    <t>蟲寶包</t>
  </si>
  <si>
    <t>Swadloon</t>
  </si>
  <si>
    <t>クルマユ</t>
  </si>
  <si>
    <t>Couverdure</t>
  </si>
  <si>
    <t>Folikon</t>
  </si>
  <si>
    <t>두르쿤</t>
  </si>
  <si>
    <t>寶包繭</t>
  </si>
  <si>
    <t>Leavanny</t>
  </si>
  <si>
    <t>ハハコモリ</t>
  </si>
  <si>
    <t>Manternel</t>
  </si>
  <si>
    <t>Matrifol</t>
  </si>
  <si>
    <t>모아머</t>
  </si>
  <si>
    <t>保母蟲</t>
  </si>
  <si>
    <t>Venipede</t>
  </si>
  <si>
    <t>フシデ</t>
  </si>
  <si>
    <t>Venipatte</t>
  </si>
  <si>
    <t>Toxiped</t>
  </si>
  <si>
    <t>마디네</t>
  </si>
  <si>
    <t>百足蜈蚣</t>
  </si>
  <si>
    <t>Whirlipede</t>
  </si>
  <si>
    <t>ホイーガ</t>
  </si>
  <si>
    <t>Scobolide</t>
  </si>
  <si>
    <t>Rollum</t>
  </si>
  <si>
    <t>휠구</t>
  </si>
  <si>
    <t>車輪毬</t>
  </si>
  <si>
    <t>Scoliopede</t>
  </si>
  <si>
    <t>ペンドラー</t>
  </si>
  <si>
    <t>Brutapode</t>
  </si>
  <si>
    <t>Cerapendra</t>
  </si>
  <si>
    <t>펜드라</t>
  </si>
  <si>
    <t>蜈蚣王</t>
  </si>
  <si>
    <t>Cottonee</t>
  </si>
  <si>
    <t>モンメン</t>
  </si>
  <si>
    <t>Doudouvet</t>
  </si>
  <si>
    <t>Waumboll</t>
  </si>
  <si>
    <t>소미안</t>
  </si>
  <si>
    <t>木棉球</t>
  </si>
  <si>
    <t>Whimsicott</t>
  </si>
  <si>
    <t>エルフーン</t>
  </si>
  <si>
    <t>Farfaduvet</t>
  </si>
  <si>
    <t>Elfun</t>
  </si>
  <si>
    <t>엘풍</t>
  </si>
  <si>
    <t>風妖精</t>
  </si>
  <si>
    <t>Petilil</t>
  </si>
  <si>
    <t>チュリネ</t>
  </si>
  <si>
    <t>Chlorobule</t>
  </si>
  <si>
    <t>Lilminip</t>
  </si>
  <si>
    <t>치릴리</t>
  </si>
  <si>
    <t>百合根娃娃</t>
  </si>
  <si>
    <t>Lilligant</t>
  </si>
  <si>
    <t>ドレヂィア</t>
  </si>
  <si>
    <t>Fragilady</t>
  </si>
  <si>
    <t>Dressella</t>
  </si>
  <si>
    <t>드레디어</t>
  </si>
  <si>
    <t>裙兒小姐</t>
  </si>
  <si>
    <t>Basculin</t>
  </si>
  <si>
    <t>バスラオ</t>
  </si>
  <si>
    <t>Bargantua</t>
  </si>
  <si>
    <t>Barschuft</t>
  </si>
  <si>
    <t>배쓰나이</t>
  </si>
  <si>
    <t>野蠻鱸魚</t>
  </si>
  <si>
    <t>Sandile</t>
  </si>
  <si>
    <t>メグロコ</t>
  </si>
  <si>
    <t>Mascaïman</t>
  </si>
  <si>
    <t>Ganovil</t>
  </si>
  <si>
    <t>깜눈크</t>
  </si>
  <si>
    <t>黑眼鱷</t>
  </si>
  <si>
    <t>Krokorok</t>
  </si>
  <si>
    <t>ワルビル</t>
  </si>
  <si>
    <t>Escroco</t>
  </si>
  <si>
    <t>Rokkaiman</t>
  </si>
  <si>
    <t>악비르</t>
  </si>
  <si>
    <t>混混鱷</t>
  </si>
  <si>
    <t>Krookodile</t>
  </si>
  <si>
    <t>ワルビアル</t>
  </si>
  <si>
    <t>Crocorible</t>
  </si>
  <si>
    <t>Rabigator</t>
  </si>
  <si>
    <t>악비아르</t>
  </si>
  <si>
    <t>流氓鱷</t>
  </si>
  <si>
    <t>Darumaka</t>
  </si>
  <si>
    <t>ダルマッカ</t>
  </si>
  <si>
    <t>Darumarond</t>
  </si>
  <si>
    <t>Flampion</t>
  </si>
  <si>
    <t>달막화</t>
  </si>
  <si>
    <t>火紅不倒翁</t>
  </si>
  <si>
    <t>Darmanitan</t>
  </si>
  <si>
    <t>ヒヒダルマ</t>
  </si>
  <si>
    <t>Darumacho</t>
  </si>
  <si>
    <t>Flampivian</t>
  </si>
  <si>
    <t>불비달마</t>
  </si>
  <si>
    <t>達摩狒狒</t>
  </si>
  <si>
    <t>Maractus</t>
  </si>
  <si>
    <t>マラカッチ</t>
  </si>
  <si>
    <t>Maracachi</t>
  </si>
  <si>
    <t>Maracamba</t>
  </si>
  <si>
    <t>마라카치</t>
  </si>
  <si>
    <t>沙鈴仙人掌</t>
  </si>
  <si>
    <t>Dwebble</t>
  </si>
  <si>
    <t>イシズマイ</t>
  </si>
  <si>
    <t>Crabicoque</t>
  </si>
  <si>
    <t>Lithomith</t>
  </si>
  <si>
    <t>돌살이</t>
  </si>
  <si>
    <t>石居蟹</t>
  </si>
  <si>
    <t>Crustle</t>
  </si>
  <si>
    <t>イワパレス</t>
  </si>
  <si>
    <t>Crabaraque</t>
  </si>
  <si>
    <t>Castellith</t>
  </si>
  <si>
    <t>암팰리스</t>
  </si>
  <si>
    <t>岩殿居蟹</t>
  </si>
  <si>
    <t>Scraggy</t>
  </si>
  <si>
    <t>ズルッグ</t>
  </si>
  <si>
    <t>Baggiguane</t>
  </si>
  <si>
    <t>Zurrokex</t>
  </si>
  <si>
    <t>곤율랭</t>
  </si>
  <si>
    <t>滑滑小子</t>
  </si>
  <si>
    <t>Scrafty</t>
  </si>
  <si>
    <t>ズルズキン</t>
  </si>
  <si>
    <t>Baggaïd</t>
  </si>
  <si>
    <t>Irokex</t>
  </si>
  <si>
    <t>곤율거니</t>
  </si>
  <si>
    <t>頭巾混混</t>
  </si>
  <si>
    <t>Sigilyph</t>
  </si>
  <si>
    <t>シンボラー</t>
  </si>
  <si>
    <t>Cryptéro</t>
  </si>
  <si>
    <t>Symvolara</t>
  </si>
  <si>
    <t>심보러</t>
  </si>
  <si>
    <t>象徵鳥</t>
  </si>
  <si>
    <t>Yamask</t>
  </si>
  <si>
    <t>デスマス</t>
  </si>
  <si>
    <t>Tutafeh</t>
  </si>
  <si>
    <t>Makabaja</t>
  </si>
  <si>
    <t>데스마스</t>
  </si>
  <si>
    <t>哭哭面具</t>
  </si>
  <si>
    <t>Cofagrigus</t>
  </si>
  <si>
    <t>デスカーン</t>
  </si>
  <si>
    <t>Tutankafer</t>
  </si>
  <si>
    <t>Echnatoll</t>
  </si>
  <si>
    <t>데스니칸</t>
  </si>
  <si>
    <t>死神棺</t>
  </si>
  <si>
    <t>迭失棺</t>
  </si>
  <si>
    <t>Tirtouga</t>
  </si>
  <si>
    <t>プロトーガ</t>
  </si>
  <si>
    <t>Carapagos</t>
  </si>
  <si>
    <t>Galapaflos</t>
  </si>
  <si>
    <t>프로토가</t>
  </si>
  <si>
    <t>原蓋海龜</t>
  </si>
  <si>
    <t>Carracosta</t>
  </si>
  <si>
    <t>アバゴーラ</t>
  </si>
  <si>
    <t>Mégapagos</t>
  </si>
  <si>
    <t>Karippas</t>
  </si>
  <si>
    <t>늑골라</t>
  </si>
  <si>
    <t>肋骨海龜</t>
  </si>
  <si>
    <t>Archen</t>
  </si>
  <si>
    <t>アーケン</t>
  </si>
  <si>
    <t>Arkéapti</t>
  </si>
  <si>
    <t>Flapteryx</t>
  </si>
  <si>
    <t>아켄</t>
  </si>
  <si>
    <t>始祖小鳥</t>
  </si>
  <si>
    <t>Archeops</t>
  </si>
  <si>
    <t>アーケオス</t>
  </si>
  <si>
    <t>Aéroptéryx</t>
  </si>
  <si>
    <t>Aeropteryx</t>
  </si>
  <si>
    <t>아케오스</t>
  </si>
  <si>
    <t>始祖大鳥</t>
  </si>
  <si>
    <t>Trubbish</t>
  </si>
  <si>
    <t>ヤブクロン</t>
  </si>
  <si>
    <t>Miamiasme</t>
  </si>
  <si>
    <t>Unratütox</t>
  </si>
  <si>
    <t>깨봉이</t>
  </si>
  <si>
    <t>破破袋</t>
  </si>
  <si>
    <t>Garbodor</t>
  </si>
  <si>
    <t>ダストダス</t>
  </si>
  <si>
    <t>Miasmax</t>
  </si>
  <si>
    <t>Deponitox</t>
  </si>
  <si>
    <t>더스트나</t>
  </si>
  <si>
    <t>灰塵山</t>
  </si>
  <si>
    <t>Zorua</t>
  </si>
  <si>
    <t>ゾロア</t>
  </si>
  <si>
    <t>조로아</t>
  </si>
  <si>
    <t>索羅亞</t>
  </si>
  <si>
    <t>Zoroark</t>
  </si>
  <si>
    <t>ゾロアーク</t>
  </si>
  <si>
    <t>조로아크</t>
  </si>
  <si>
    <t>索羅亞克</t>
  </si>
  <si>
    <t>Minccino</t>
  </si>
  <si>
    <t>チラーミィ</t>
  </si>
  <si>
    <t>Chinchidou</t>
  </si>
  <si>
    <t>Picochilla</t>
  </si>
  <si>
    <t>치라미</t>
  </si>
  <si>
    <t>泡沫栗鼠</t>
  </si>
  <si>
    <t>Cinccino</t>
  </si>
  <si>
    <t>チラチーノ</t>
  </si>
  <si>
    <t>Pashmilla</t>
  </si>
  <si>
    <t>Chillabell</t>
  </si>
  <si>
    <t>치라치노</t>
  </si>
  <si>
    <t>奇諾栗鼠</t>
  </si>
  <si>
    <t>Gothita</t>
  </si>
  <si>
    <t>ゴチム</t>
  </si>
  <si>
    <t>Scrutella</t>
  </si>
  <si>
    <t>Mollimorba</t>
  </si>
  <si>
    <t>고디탱</t>
  </si>
  <si>
    <t>哥德寶寶</t>
  </si>
  <si>
    <t>Gothorita</t>
  </si>
  <si>
    <t>ゴチミル</t>
  </si>
  <si>
    <t>Mesmérella</t>
  </si>
  <si>
    <t>Hypnomorba</t>
  </si>
  <si>
    <t>고디보미</t>
  </si>
  <si>
    <t>哥德小童</t>
  </si>
  <si>
    <t>Gothitelle</t>
  </si>
  <si>
    <t>ゴチルゼル</t>
  </si>
  <si>
    <t>Sidérella</t>
  </si>
  <si>
    <t>Morbitesse</t>
  </si>
  <si>
    <t>고디모아젤</t>
  </si>
  <si>
    <t>哥德小姐</t>
  </si>
  <si>
    <t>Solosis</t>
  </si>
  <si>
    <t>ユニラン</t>
  </si>
  <si>
    <t>Nucléos</t>
  </si>
  <si>
    <t>Monozyto</t>
  </si>
  <si>
    <t>유니란</t>
  </si>
  <si>
    <t>單卵細胞球</t>
  </si>
  <si>
    <t>Duosion</t>
  </si>
  <si>
    <t>ダブラン</t>
  </si>
  <si>
    <t>Méios</t>
  </si>
  <si>
    <t>Mitodos</t>
  </si>
  <si>
    <t>듀란</t>
  </si>
  <si>
    <t>雙卵細胞球</t>
  </si>
  <si>
    <t>Reuniclus</t>
  </si>
  <si>
    <t>ランクルス</t>
  </si>
  <si>
    <t>Symbios</t>
  </si>
  <si>
    <t>Zytomega</t>
  </si>
  <si>
    <t>란쿨루스</t>
  </si>
  <si>
    <t>人造細胞卵</t>
  </si>
  <si>
    <t>Ducklett</t>
  </si>
  <si>
    <t>コアルヒー</t>
  </si>
  <si>
    <t>Couaneton</t>
  </si>
  <si>
    <t>Piccolente</t>
  </si>
  <si>
    <t>꼬지보리</t>
  </si>
  <si>
    <t>鴨寶寶</t>
  </si>
  <si>
    <t>Swanna</t>
  </si>
  <si>
    <t>スワンナ</t>
  </si>
  <si>
    <t>Lakmécygne</t>
  </si>
  <si>
    <t>Swaroness</t>
  </si>
  <si>
    <t>스완나</t>
  </si>
  <si>
    <t>舞天鵝</t>
  </si>
  <si>
    <t>Vanillite</t>
  </si>
  <si>
    <t>バニプッチ</t>
  </si>
  <si>
    <t>Sorbébé</t>
  </si>
  <si>
    <t>Gelatini</t>
  </si>
  <si>
    <t>바닐프티</t>
  </si>
  <si>
    <t>迷你冰</t>
  </si>
  <si>
    <t>Vanillish</t>
  </si>
  <si>
    <t>バニリッチ</t>
  </si>
  <si>
    <t>Sorboul</t>
  </si>
  <si>
    <t>Gelatroppo</t>
  </si>
  <si>
    <t>바닐리치</t>
  </si>
  <si>
    <t>多多冰</t>
  </si>
  <si>
    <t>Vanilluxe</t>
  </si>
  <si>
    <t>バイバニラ</t>
  </si>
  <si>
    <t>Sorbouboul</t>
  </si>
  <si>
    <t>Gelatwino</t>
  </si>
  <si>
    <t>배바닐라</t>
  </si>
  <si>
    <t>雙倍多多冰</t>
  </si>
  <si>
    <t>Deerling</t>
  </si>
  <si>
    <t>シキジカ</t>
  </si>
  <si>
    <t>Vivaldaim</t>
  </si>
  <si>
    <t>Sesokitz</t>
  </si>
  <si>
    <t>사철록</t>
  </si>
  <si>
    <t>四季鹿</t>
  </si>
  <si>
    <t>Sawsbuck</t>
  </si>
  <si>
    <t>メブキジカ</t>
  </si>
  <si>
    <t>Haydaim</t>
  </si>
  <si>
    <t>Kronjuwild</t>
  </si>
  <si>
    <t>바라철록</t>
  </si>
  <si>
    <t>萌芽鹿</t>
  </si>
  <si>
    <t>Emolga</t>
  </si>
  <si>
    <t>エモンガ</t>
  </si>
  <si>
    <t>에몽가</t>
  </si>
  <si>
    <t>電飛鼠</t>
  </si>
  <si>
    <t>Karrablast</t>
  </si>
  <si>
    <t>カブルモ</t>
  </si>
  <si>
    <t>Carabing</t>
  </si>
  <si>
    <t>Laukaps</t>
  </si>
  <si>
    <t>딱정곤</t>
  </si>
  <si>
    <t>蓋蓋蟲</t>
  </si>
  <si>
    <t>Escavalier</t>
  </si>
  <si>
    <t>シュバルゴ</t>
  </si>
  <si>
    <t>Lançargot</t>
  </si>
  <si>
    <t>Cavalanzas</t>
  </si>
  <si>
    <t>슈바르고</t>
  </si>
  <si>
    <t>騎士蝸牛</t>
  </si>
  <si>
    <t>Foongus</t>
  </si>
  <si>
    <t>タマゲタケ</t>
  </si>
  <si>
    <t>Trompignon</t>
  </si>
  <si>
    <t>Tarnpignon</t>
  </si>
  <si>
    <t>깜놀버슬</t>
  </si>
  <si>
    <t>哎呀球菇</t>
  </si>
  <si>
    <t>Amoongus</t>
  </si>
  <si>
    <t>モロバレル</t>
  </si>
  <si>
    <t>Gaulet</t>
  </si>
  <si>
    <t>Hutsassa</t>
  </si>
  <si>
    <t>뽀록나</t>
  </si>
  <si>
    <t>敗露球菇</t>
  </si>
  <si>
    <t>Frillish</t>
  </si>
  <si>
    <t>プルリル</t>
  </si>
  <si>
    <t>Viskuse</t>
  </si>
  <si>
    <t>Quabbel</t>
  </si>
  <si>
    <t>탱그릴</t>
  </si>
  <si>
    <t>輕飄飄</t>
  </si>
  <si>
    <t>Jellicent</t>
  </si>
  <si>
    <t>ブルンゲル</t>
  </si>
  <si>
    <t>Moyade</t>
  </si>
  <si>
    <t>Apoquallyp</t>
  </si>
  <si>
    <t>탱탱겔</t>
  </si>
  <si>
    <t>胖嘟嘟</t>
  </si>
  <si>
    <t>Alomomola</t>
  </si>
  <si>
    <t>ママンボウ</t>
  </si>
  <si>
    <t>Mamambo</t>
  </si>
  <si>
    <t>Mamolida</t>
  </si>
  <si>
    <t>맘복치</t>
  </si>
  <si>
    <t>保母曼波</t>
  </si>
  <si>
    <t>Joltik</t>
  </si>
  <si>
    <t>バチュル</t>
  </si>
  <si>
    <t>Statitik</t>
  </si>
  <si>
    <t>Wattzapf</t>
  </si>
  <si>
    <t>피쪼옥</t>
  </si>
  <si>
    <t>電電蟲</t>
  </si>
  <si>
    <t>Galvantula</t>
  </si>
  <si>
    <t>デンチュラ</t>
  </si>
  <si>
    <t>Mygavolt</t>
  </si>
  <si>
    <t>Voltula</t>
  </si>
  <si>
    <t>전툴라</t>
  </si>
  <si>
    <t>電蜘蛛</t>
  </si>
  <si>
    <t>Ferroseed</t>
  </si>
  <si>
    <t>テッシード</t>
  </si>
  <si>
    <t>Grindur</t>
  </si>
  <si>
    <t>Kastadur</t>
  </si>
  <si>
    <t>철시드</t>
  </si>
  <si>
    <t>種子鐵球</t>
  </si>
  <si>
    <t>Ferrothorn</t>
  </si>
  <si>
    <t>ナットレイ</t>
  </si>
  <si>
    <t>Noacier</t>
  </si>
  <si>
    <t>Tentantel</t>
  </si>
  <si>
    <t>너트령</t>
  </si>
  <si>
    <t>堅果啞鈴</t>
  </si>
  <si>
    <t>Klink</t>
  </si>
  <si>
    <t>ギアル</t>
  </si>
  <si>
    <t>Tic</t>
  </si>
  <si>
    <t>Klikk</t>
  </si>
  <si>
    <t>기어르</t>
  </si>
  <si>
    <t>齒輪兒</t>
  </si>
  <si>
    <t>Klang</t>
  </si>
  <si>
    <t>Clic</t>
  </si>
  <si>
    <t>Kliklak</t>
  </si>
  <si>
    <t>기기어르</t>
  </si>
  <si>
    <t>齒輪組</t>
  </si>
  <si>
    <t>Klinklang</t>
  </si>
  <si>
    <t>Cliticlic</t>
  </si>
  <si>
    <t>Klikdiklak</t>
  </si>
  <si>
    <t>기기기어르</t>
  </si>
  <si>
    <t>齒輪怪</t>
  </si>
  <si>
    <t>Tynamo</t>
  </si>
  <si>
    <t>シビシラス</t>
  </si>
  <si>
    <t>Anchwatt</t>
  </si>
  <si>
    <t>Zapplardin</t>
  </si>
  <si>
    <t>저리어</t>
  </si>
  <si>
    <t>麻麻小魚</t>
  </si>
  <si>
    <t>Eelektrik</t>
  </si>
  <si>
    <t>シビビール</t>
  </si>
  <si>
    <t>Lampéroie</t>
  </si>
  <si>
    <t>Zapplalek</t>
  </si>
  <si>
    <t>저리릴</t>
  </si>
  <si>
    <t>麻麻鰻</t>
  </si>
  <si>
    <t>Eelektross</t>
  </si>
  <si>
    <t>シビルドン</t>
  </si>
  <si>
    <t>Ohmassacre</t>
  </si>
  <si>
    <t>Zapplarang</t>
  </si>
  <si>
    <t>저리더프</t>
  </si>
  <si>
    <t>麻麻鰻魚王</t>
  </si>
  <si>
    <t>Elgyem</t>
  </si>
  <si>
    <t>リグレー</t>
  </si>
  <si>
    <t>Lewsor</t>
  </si>
  <si>
    <t>Pygraulon</t>
  </si>
  <si>
    <t>리그레</t>
  </si>
  <si>
    <t>小灰怪</t>
  </si>
  <si>
    <t>Beheeyem</t>
  </si>
  <si>
    <t>オーベム</t>
  </si>
  <si>
    <t>Neitram</t>
  </si>
  <si>
    <t>Megalon</t>
  </si>
  <si>
    <t>벰크</t>
  </si>
  <si>
    <t>大宇怪</t>
  </si>
  <si>
    <t>Litwick</t>
  </si>
  <si>
    <t>ヒトモシ</t>
  </si>
  <si>
    <t>Funécire</t>
  </si>
  <si>
    <t>Lichtel</t>
  </si>
  <si>
    <t>불켜미</t>
  </si>
  <si>
    <t>燭光靈</t>
  </si>
  <si>
    <t>Lampent</t>
  </si>
  <si>
    <t>ランプラー</t>
  </si>
  <si>
    <t>Mélancolux</t>
  </si>
  <si>
    <t>Laternecto</t>
  </si>
  <si>
    <t>램프라</t>
  </si>
  <si>
    <t>燈火幽靈</t>
  </si>
  <si>
    <t>Chandelure</t>
  </si>
  <si>
    <t>シャンデラ</t>
  </si>
  <si>
    <t>Lugulabre</t>
  </si>
  <si>
    <t>Skelabra</t>
  </si>
  <si>
    <t>샹델라</t>
  </si>
  <si>
    <t>水晶燈火靈</t>
  </si>
  <si>
    <t>Axew</t>
  </si>
  <si>
    <t>キバゴ</t>
  </si>
  <si>
    <t>Coupenotte</t>
  </si>
  <si>
    <t>Milza</t>
  </si>
  <si>
    <t>터검니</t>
  </si>
  <si>
    <t>牙牙</t>
  </si>
  <si>
    <t>Fraxure</t>
  </si>
  <si>
    <t>オノンド</t>
  </si>
  <si>
    <t>Incisache</t>
  </si>
  <si>
    <t>Sharfax</t>
  </si>
  <si>
    <t>액슨도</t>
  </si>
  <si>
    <t>斧牙龍</t>
  </si>
  <si>
    <t>Haxorus</t>
  </si>
  <si>
    <t>オノノクス</t>
  </si>
  <si>
    <t>Tranchodon</t>
  </si>
  <si>
    <t>Maxax</t>
  </si>
  <si>
    <t>액스라이즈</t>
  </si>
  <si>
    <t>雙斧戰龍</t>
  </si>
  <si>
    <t>Cubchoo</t>
  </si>
  <si>
    <t>クマシュン</t>
  </si>
  <si>
    <t>Polarhume</t>
  </si>
  <si>
    <t>Petznief</t>
  </si>
  <si>
    <t>코고미</t>
  </si>
  <si>
    <t>噴嚏熊</t>
  </si>
  <si>
    <t>Beartic</t>
  </si>
  <si>
    <t>ツンビアー</t>
  </si>
  <si>
    <t>Polagriffe</t>
  </si>
  <si>
    <t>Siberio</t>
  </si>
  <si>
    <t>툰베어</t>
  </si>
  <si>
    <t>凍原熊</t>
  </si>
  <si>
    <t>Cryogonal</t>
  </si>
  <si>
    <t>フリージオ</t>
  </si>
  <si>
    <t>Hexagel</t>
  </si>
  <si>
    <t>Frigometri</t>
  </si>
  <si>
    <t>프리지오</t>
  </si>
  <si>
    <t>幾何雪花</t>
  </si>
  <si>
    <t>Shelmet</t>
  </si>
  <si>
    <t>チョボマキ</t>
  </si>
  <si>
    <t>Escargaume</t>
  </si>
  <si>
    <t>Schnuthelm</t>
  </si>
  <si>
    <t>쪼마리</t>
  </si>
  <si>
    <t>小嘴蝸</t>
  </si>
  <si>
    <t>Accelgor</t>
  </si>
  <si>
    <t>アギルダー</t>
  </si>
  <si>
    <t>Limaspeed</t>
  </si>
  <si>
    <t>Hydragil</t>
  </si>
  <si>
    <t>어지리더</t>
  </si>
  <si>
    <t>敏捷蟲</t>
  </si>
  <si>
    <t>Stunfisk</t>
  </si>
  <si>
    <t>マッギョ</t>
  </si>
  <si>
    <t>Limonde</t>
  </si>
  <si>
    <t>Flunschlik</t>
  </si>
  <si>
    <t>메더</t>
  </si>
  <si>
    <t>泥巴魚</t>
  </si>
  <si>
    <t>Mienfoo</t>
  </si>
  <si>
    <t>コジョフー</t>
  </si>
  <si>
    <t>Kungfouine</t>
  </si>
  <si>
    <t>Lin-Fu</t>
  </si>
  <si>
    <t>비조푸</t>
  </si>
  <si>
    <t>功夫鼬</t>
  </si>
  <si>
    <t>Mienshao</t>
  </si>
  <si>
    <t>コジョンド</t>
  </si>
  <si>
    <t>Shaofouine</t>
  </si>
  <si>
    <t>Wie-Shu</t>
  </si>
  <si>
    <t>비조도</t>
  </si>
  <si>
    <t>師父鼬</t>
  </si>
  <si>
    <t>Druddigon</t>
  </si>
  <si>
    <t>クリムガン</t>
  </si>
  <si>
    <t>Drakkarmin</t>
  </si>
  <si>
    <t>Shardrago</t>
  </si>
  <si>
    <t>크리만</t>
  </si>
  <si>
    <t>赤面龍</t>
  </si>
  <si>
    <t>Golette</t>
  </si>
  <si>
    <t>ゴビット</t>
  </si>
  <si>
    <t>Gringolem</t>
  </si>
  <si>
    <t>Golbit</t>
  </si>
  <si>
    <t>골비람</t>
  </si>
  <si>
    <t>泥偶小人</t>
  </si>
  <si>
    <t>Golurk</t>
  </si>
  <si>
    <t>ゴルーグ</t>
  </si>
  <si>
    <t>Golemastoc</t>
  </si>
  <si>
    <t>Golgantes</t>
  </si>
  <si>
    <t>골루그</t>
  </si>
  <si>
    <t>泥偶巨人</t>
  </si>
  <si>
    <t>Pawniard</t>
  </si>
  <si>
    <t>コマタナ</t>
  </si>
  <si>
    <t>Scalpion</t>
  </si>
  <si>
    <t>Gladiantri</t>
  </si>
  <si>
    <t>자망칼</t>
  </si>
  <si>
    <t>駒刀小兵</t>
  </si>
  <si>
    <t>Bisharp</t>
  </si>
  <si>
    <t>キルキザン</t>
  </si>
  <si>
    <t>Scalproie</t>
  </si>
  <si>
    <t>Caesurio</t>
  </si>
  <si>
    <t>절각참</t>
  </si>
  <si>
    <t>劈斬司令</t>
  </si>
  <si>
    <t>Bouffalant</t>
  </si>
  <si>
    <t>バッフロン</t>
  </si>
  <si>
    <t>Frison</t>
  </si>
  <si>
    <t>Bisofank</t>
  </si>
  <si>
    <t>버프론</t>
  </si>
  <si>
    <t>爆炸頭水牛</t>
  </si>
  <si>
    <t>Rufflet</t>
  </si>
  <si>
    <t>ワシボン</t>
  </si>
  <si>
    <t>Furaiglon</t>
  </si>
  <si>
    <t>Geronimatz</t>
  </si>
  <si>
    <t>수리둥보</t>
  </si>
  <si>
    <t>毛頭小鷹</t>
  </si>
  <si>
    <t>Braviary</t>
  </si>
  <si>
    <t>ウォーグル</t>
  </si>
  <si>
    <t>Gueriaigle</t>
  </si>
  <si>
    <t>Washakwil</t>
  </si>
  <si>
    <t>워글</t>
  </si>
  <si>
    <t>勇士雄鷹</t>
  </si>
  <si>
    <t>Vullaby</t>
  </si>
  <si>
    <t>バルチャイ</t>
  </si>
  <si>
    <t>Vostourno</t>
  </si>
  <si>
    <t>Skallyk</t>
  </si>
  <si>
    <t>벌차이</t>
  </si>
  <si>
    <t>禿鷹丫頭</t>
  </si>
  <si>
    <t>Mandibuzz</t>
  </si>
  <si>
    <t>バルジーナ</t>
  </si>
  <si>
    <t>Vaututrice</t>
  </si>
  <si>
    <t>Grypheldis</t>
  </si>
  <si>
    <t>버랜지나</t>
  </si>
  <si>
    <t>禿鷹娜</t>
  </si>
  <si>
    <t>Heatmor</t>
  </si>
  <si>
    <t>クイタラン</t>
  </si>
  <si>
    <t>Aflamanoir</t>
  </si>
  <si>
    <t>Furnifraß</t>
  </si>
  <si>
    <t>앤티골</t>
  </si>
  <si>
    <t>熔蟻獸</t>
  </si>
  <si>
    <t>Durant</t>
  </si>
  <si>
    <t>アイアント</t>
  </si>
  <si>
    <t>Fermite</t>
  </si>
  <si>
    <t>Fermicula</t>
  </si>
  <si>
    <t>아이앤트</t>
  </si>
  <si>
    <t>鐵蟻</t>
  </si>
  <si>
    <t>Deino</t>
  </si>
  <si>
    <t>モノズ</t>
  </si>
  <si>
    <t>Solochi</t>
  </si>
  <si>
    <t>Kapuno</t>
  </si>
  <si>
    <t>모노두</t>
  </si>
  <si>
    <t>單首龍</t>
  </si>
  <si>
    <t>Zweilous</t>
  </si>
  <si>
    <t>ジヘッド</t>
  </si>
  <si>
    <t>Diamat</t>
  </si>
  <si>
    <t>Duodino</t>
  </si>
  <si>
    <t>디헤드</t>
  </si>
  <si>
    <t>雙首暴龍</t>
  </si>
  <si>
    <t>Hydreigon</t>
  </si>
  <si>
    <t>サザンドラ</t>
  </si>
  <si>
    <t>Trioxhydre</t>
  </si>
  <si>
    <t>Trikephalo</t>
  </si>
  <si>
    <t>삼삼드래</t>
  </si>
  <si>
    <t>三首惡龍</t>
  </si>
  <si>
    <t>Larvesta</t>
  </si>
  <si>
    <t>メラルバ</t>
  </si>
  <si>
    <t>Pyronille</t>
  </si>
  <si>
    <t>Ignivor</t>
  </si>
  <si>
    <t>활화르바</t>
  </si>
  <si>
    <t>燃燒蟲</t>
  </si>
  <si>
    <t>Volcarona</t>
  </si>
  <si>
    <t>ウルガモス</t>
  </si>
  <si>
    <t>Pyrax</t>
  </si>
  <si>
    <t>Ramoth</t>
  </si>
  <si>
    <t>불카모스</t>
  </si>
  <si>
    <t>火神蛾</t>
  </si>
  <si>
    <t>Cobalion</t>
  </si>
  <si>
    <t>コバルオン</t>
  </si>
  <si>
    <t>Cobaltium</t>
  </si>
  <si>
    <t>Kobalium</t>
  </si>
  <si>
    <t>코바르온</t>
  </si>
  <si>
    <t>勾帕路翁</t>
  </si>
  <si>
    <t>Terrakion</t>
  </si>
  <si>
    <t>テラキオン</t>
  </si>
  <si>
    <t>Terrakium</t>
  </si>
  <si>
    <t>테라키온</t>
  </si>
  <si>
    <t>代拉基翁</t>
  </si>
  <si>
    <t>Virizion</t>
  </si>
  <si>
    <t>ビリジオン</t>
  </si>
  <si>
    <t>Viridium</t>
  </si>
  <si>
    <t>비리디온</t>
  </si>
  <si>
    <t>畢力吉翁</t>
  </si>
  <si>
    <t>Tornadus</t>
  </si>
  <si>
    <t>トルネロス</t>
  </si>
  <si>
    <t>Boréas</t>
  </si>
  <si>
    <t>Boreos</t>
  </si>
  <si>
    <t>토네로스</t>
  </si>
  <si>
    <t>龍捲雲</t>
  </si>
  <si>
    <t>Thundurus</t>
  </si>
  <si>
    <t>ボルトロス</t>
  </si>
  <si>
    <t>Fulguris</t>
  </si>
  <si>
    <t>Voltolos</t>
  </si>
  <si>
    <t>볼트로스</t>
  </si>
  <si>
    <t>雷電雲</t>
  </si>
  <si>
    <t>Reshiram</t>
  </si>
  <si>
    <t>レシラム</t>
  </si>
  <si>
    <t>레시라무</t>
  </si>
  <si>
    <t>萊希拉姆</t>
  </si>
  <si>
    <t>Zekrom</t>
  </si>
  <si>
    <t>ゼクロム</t>
  </si>
  <si>
    <t>제크로무</t>
  </si>
  <si>
    <t>捷克羅姆</t>
  </si>
  <si>
    <t>Landorus</t>
  </si>
  <si>
    <t>ランドロス</t>
  </si>
  <si>
    <t>Démétéros</t>
  </si>
  <si>
    <t>Demeteros</t>
  </si>
  <si>
    <t>랜드로스</t>
  </si>
  <si>
    <t>土地雲</t>
  </si>
  <si>
    <t>Kyurem</t>
  </si>
  <si>
    <t>キュレム</t>
  </si>
  <si>
    <t>큐레무</t>
  </si>
  <si>
    <t>酋雷姆</t>
  </si>
  <si>
    <t>Keldeo</t>
  </si>
  <si>
    <t>ケルヂィオ</t>
  </si>
  <si>
    <t>케르디오</t>
  </si>
  <si>
    <t>凱路迪歐</t>
  </si>
  <si>
    <t>Meloetta</t>
  </si>
  <si>
    <t>メロエッタ</t>
  </si>
  <si>
    <t>메로엣타</t>
  </si>
  <si>
    <t>美洛耶塔</t>
  </si>
  <si>
    <t>Genesect</t>
  </si>
  <si>
    <t>ゲノセクト</t>
  </si>
  <si>
    <t>게노세크트</t>
  </si>
  <si>
    <t>蓋諾賽克特</t>
  </si>
  <si>
    <t>Chespin</t>
  </si>
  <si>
    <t>ハリマロン</t>
  </si>
  <si>
    <t>Marisson</t>
  </si>
  <si>
    <t>Igamaro</t>
  </si>
  <si>
    <t>도치마론</t>
  </si>
  <si>
    <t>哈力栗</t>
  </si>
  <si>
    <t>Quilladin</t>
  </si>
  <si>
    <t>ハリボーグ</t>
  </si>
  <si>
    <t>Boguérisse</t>
  </si>
  <si>
    <t>Igastarnish</t>
  </si>
  <si>
    <t>도치보구</t>
  </si>
  <si>
    <t>胖胖哈力</t>
  </si>
  <si>
    <t>Chesnaught</t>
  </si>
  <si>
    <t>ブリガロン</t>
  </si>
  <si>
    <t>Blindépique</t>
  </si>
  <si>
    <t>Brigaron</t>
  </si>
  <si>
    <t>브리가론</t>
  </si>
  <si>
    <t>布里卡隆</t>
  </si>
  <si>
    <t>Fennekin</t>
  </si>
  <si>
    <t>フォッコ</t>
  </si>
  <si>
    <t>Feunnec</t>
  </si>
  <si>
    <t>Fynx</t>
  </si>
  <si>
    <t>푸호꼬</t>
  </si>
  <si>
    <t>火狐狸</t>
  </si>
  <si>
    <t>Braixen</t>
  </si>
  <si>
    <t>テールナー</t>
  </si>
  <si>
    <t>Roussil</t>
  </si>
  <si>
    <t>Rutena</t>
  </si>
  <si>
    <t>테르나</t>
  </si>
  <si>
    <t>長尾火狐</t>
  </si>
  <si>
    <t>Delphox</t>
  </si>
  <si>
    <t>マフォクシー</t>
  </si>
  <si>
    <t>Goupelin</t>
  </si>
  <si>
    <t>Fennexis</t>
  </si>
  <si>
    <t>마폭시</t>
  </si>
  <si>
    <t>妖火紅狐</t>
  </si>
  <si>
    <t>Froakie</t>
  </si>
  <si>
    <t>ケロマツ</t>
  </si>
  <si>
    <t>Grenousse</t>
  </si>
  <si>
    <t>Froxy</t>
  </si>
  <si>
    <t>개구마르</t>
  </si>
  <si>
    <t>呱呱泡蛙</t>
  </si>
  <si>
    <t>Frogadier</t>
  </si>
  <si>
    <t>ゲコガシラ</t>
  </si>
  <si>
    <t>Crôaporal</t>
  </si>
  <si>
    <t>Amphizel</t>
  </si>
  <si>
    <t>개굴반장</t>
  </si>
  <si>
    <t>呱頭蛙</t>
  </si>
  <si>
    <t>Greninja</t>
  </si>
  <si>
    <t>ゲッコウガ</t>
  </si>
  <si>
    <t>Amphinobi</t>
  </si>
  <si>
    <t>Quajutsu</t>
  </si>
  <si>
    <t>개굴닌자</t>
  </si>
  <si>
    <t>甲賀忍蛙</t>
  </si>
  <si>
    <t>Bunnelby</t>
  </si>
  <si>
    <t>ホルビー</t>
  </si>
  <si>
    <t>Sapereau</t>
  </si>
  <si>
    <t>Scoppel</t>
  </si>
  <si>
    <t>파르빗</t>
  </si>
  <si>
    <t>掘掘兔</t>
  </si>
  <si>
    <t>Diggersby</t>
  </si>
  <si>
    <t>ホルード</t>
  </si>
  <si>
    <t>Excavarenne</t>
  </si>
  <si>
    <t>Grebbit</t>
  </si>
  <si>
    <t>파르토</t>
  </si>
  <si>
    <t>掘地兔</t>
  </si>
  <si>
    <t>Fletchling</t>
  </si>
  <si>
    <t>ヤヤコマ</t>
  </si>
  <si>
    <t>Passerouge</t>
  </si>
  <si>
    <t>Dartiri</t>
  </si>
  <si>
    <t>화살꼬빈</t>
  </si>
  <si>
    <t>小箭雀</t>
  </si>
  <si>
    <t>Fletchinder</t>
  </si>
  <si>
    <t>ヒノヤコマ</t>
  </si>
  <si>
    <t>Braisillon</t>
  </si>
  <si>
    <t>Dartignis</t>
  </si>
  <si>
    <t>불화살빈</t>
  </si>
  <si>
    <t>火箭雀</t>
  </si>
  <si>
    <t>Talonflame</t>
  </si>
  <si>
    <t>ファイアロー</t>
  </si>
  <si>
    <t>Flambuzard</t>
  </si>
  <si>
    <t>Fiaro</t>
  </si>
  <si>
    <t>파이어로</t>
  </si>
  <si>
    <t>烈箭鷹</t>
  </si>
  <si>
    <t>Scatterbug</t>
  </si>
  <si>
    <t>コフキムシ</t>
  </si>
  <si>
    <t>Lépidonille</t>
  </si>
  <si>
    <t>Purmel</t>
  </si>
  <si>
    <t>분이벌레</t>
  </si>
  <si>
    <t>粉蝶蟲</t>
  </si>
  <si>
    <t>Spewpa</t>
  </si>
  <si>
    <t>コフーライ</t>
  </si>
  <si>
    <t>Pérégrain</t>
  </si>
  <si>
    <t>Puponcho</t>
  </si>
  <si>
    <t>분떠도리</t>
  </si>
  <si>
    <t>粉蝶蛹</t>
  </si>
  <si>
    <t>Vivillon</t>
  </si>
  <si>
    <t>ビビヨン</t>
  </si>
  <si>
    <t>Prismillon</t>
  </si>
  <si>
    <t>비비용</t>
  </si>
  <si>
    <t>彩粉蝶</t>
  </si>
  <si>
    <t>Litleo</t>
  </si>
  <si>
    <t>シシコ</t>
  </si>
  <si>
    <t>Hélionceau</t>
  </si>
  <si>
    <t>Leufeo</t>
  </si>
  <si>
    <t>레오꼬</t>
  </si>
  <si>
    <t>小獅獅</t>
  </si>
  <si>
    <t>Pyroar</t>
  </si>
  <si>
    <t>カエンジシ</t>
  </si>
  <si>
    <t>Némélios</t>
  </si>
  <si>
    <t>Pyroleo</t>
  </si>
  <si>
    <t>화염레오</t>
  </si>
  <si>
    <t>火炎獅</t>
  </si>
  <si>
    <t>NAME_PkMn_FLABEBE</t>
  </si>
  <si>
    <t>Flabébé</t>
  </si>
  <si>
    <t>フラベベ</t>
  </si>
  <si>
    <t>플라베베</t>
  </si>
  <si>
    <t>花蓓蓓</t>
  </si>
  <si>
    <t>Floette</t>
  </si>
  <si>
    <t>フラエッテ</t>
  </si>
  <si>
    <t>플라엣테</t>
  </si>
  <si>
    <t>花葉蒂</t>
  </si>
  <si>
    <t>Florges</t>
  </si>
  <si>
    <t>フラージェス</t>
  </si>
  <si>
    <t>플라제스</t>
  </si>
  <si>
    <t>花潔夫人</t>
  </si>
  <si>
    <t>Skiddo</t>
  </si>
  <si>
    <t>メェークル</t>
  </si>
  <si>
    <t>Cabriolaine</t>
  </si>
  <si>
    <t>Mähikel</t>
  </si>
  <si>
    <t>메이클</t>
  </si>
  <si>
    <t>坐騎小羊</t>
  </si>
  <si>
    <t>Gogoat</t>
  </si>
  <si>
    <t>ゴーゴート</t>
  </si>
  <si>
    <t>Chevroum</t>
  </si>
  <si>
    <t>Chevrumm</t>
  </si>
  <si>
    <t>고고트</t>
  </si>
  <si>
    <t>Pancham</t>
  </si>
  <si>
    <t>ヤンチャム</t>
  </si>
  <si>
    <t>Pandespiègle</t>
  </si>
  <si>
    <t>Pam-Pam</t>
  </si>
  <si>
    <t>판짱</t>
  </si>
  <si>
    <t>頑皮熊貓</t>
  </si>
  <si>
    <t>Pangoro</t>
  </si>
  <si>
    <t>ゴロンダ</t>
  </si>
  <si>
    <t>Pandarbare</t>
  </si>
  <si>
    <t>Pandagro</t>
  </si>
  <si>
    <t>부란다</t>
  </si>
  <si>
    <t>流氓熊貓</t>
  </si>
  <si>
    <t>霸道熊猫</t>
  </si>
  <si>
    <t>Furfrou</t>
  </si>
  <si>
    <t>トリミアン</t>
  </si>
  <si>
    <t>Couafarel</t>
  </si>
  <si>
    <t>Coiffwaff</t>
  </si>
  <si>
    <t>트리미앙</t>
  </si>
  <si>
    <t>多麗米亞</t>
  </si>
  <si>
    <t>Espurr</t>
  </si>
  <si>
    <t>ニャスパー</t>
  </si>
  <si>
    <t>Psystigri</t>
  </si>
  <si>
    <t>Psiau</t>
  </si>
  <si>
    <t>냐스퍼</t>
  </si>
  <si>
    <t>妙喵</t>
  </si>
  <si>
    <t>Meowstic</t>
  </si>
  <si>
    <t>ニャオニクス</t>
  </si>
  <si>
    <t>Mistigrix</t>
  </si>
  <si>
    <t>냐오닉스</t>
  </si>
  <si>
    <t>超能妙喵</t>
  </si>
  <si>
    <t>Honedge</t>
  </si>
  <si>
    <t>ヒトツキ</t>
  </si>
  <si>
    <t>Monorpale</t>
  </si>
  <si>
    <t>Gramokles</t>
  </si>
  <si>
    <t>단칼빙</t>
  </si>
  <si>
    <t>獨劍鞘</t>
  </si>
  <si>
    <t>Doublade</t>
  </si>
  <si>
    <t>ニダンギル</t>
  </si>
  <si>
    <t>Dimoclès</t>
  </si>
  <si>
    <t>Duokles</t>
  </si>
  <si>
    <t>쌍검킬</t>
  </si>
  <si>
    <t>雙劍鞘</t>
  </si>
  <si>
    <t>Aegislash</t>
  </si>
  <si>
    <t>ギルガルド</t>
  </si>
  <si>
    <t>Exagide</t>
  </si>
  <si>
    <t>Durengard</t>
  </si>
  <si>
    <t>킬가르도</t>
  </si>
  <si>
    <t>堅盾劍怪</t>
  </si>
  <si>
    <t>Spritzee</t>
  </si>
  <si>
    <t>シュシュプ</t>
  </si>
  <si>
    <t>Fluvetin</t>
  </si>
  <si>
    <t>Parfi</t>
  </si>
  <si>
    <t>슈쁘</t>
  </si>
  <si>
    <t>粉香香</t>
  </si>
  <si>
    <t>Aromatisse</t>
  </si>
  <si>
    <t>フレフワン</t>
  </si>
  <si>
    <t>Cocotine</t>
  </si>
  <si>
    <t>프레프티르</t>
  </si>
  <si>
    <t>芳香精</t>
  </si>
  <si>
    <t>Swirlix</t>
  </si>
  <si>
    <t>ペロッパフ</t>
  </si>
  <si>
    <t>Sucroquin</t>
  </si>
  <si>
    <t>Flauschling</t>
  </si>
  <si>
    <t>나룸퍼프</t>
  </si>
  <si>
    <t>綿綿泡芙</t>
  </si>
  <si>
    <t>Slurpuff</t>
  </si>
  <si>
    <t>ペロリーム</t>
  </si>
  <si>
    <t>Cupcanaille</t>
  </si>
  <si>
    <t>Sabbaione</t>
  </si>
  <si>
    <t>나루림</t>
  </si>
  <si>
    <t>胖甜妮</t>
  </si>
  <si>
    <t>Inkay</t>
  </si>
  <si>
    <t>マーイーカ</t>
  </si>
  <si>
    <t>Sepiatop</t>
  </si>
  <si>
    <t>Iscalar</t>
  </si>
  <si>
    <t>오케이징</t>
  </si>
  <si>
    <t>好啦魷</t>
  </si>
  <si>
    <t>Malamar</t>
  </si>
  <si>
    <t>カラマネロ</t>
  </si>
  <si>
    <t>Sepiatroce</t>
  </si>
  <si>
    <t>Calamanero</t>
  </si>
  <si>
    <t>칼라마네로</t>
  </si>
  <si>
    <t>烏賊王</t>
  </si>
  <si>
    <t>Binacle</t>
  </si>
  <si>
    <t>カメテテ</t>
  </si>
  <si>
    <t>Opermine</t>
  </si>
  <si>
    <t>Bithora</t>
  </si>
  <si>
    <t>거북손손</t>
  </si>
  <si>
    <t>龜腳腳</t>
  </si>
  <si>
    <t>Barbaracle</t>
  </si>
  <si>
    <t>ガメノデス</t>
  </si>
  <si>
    <t>Golgopathe</t>
  </si>
  <si>
    <t>Thanathora</t>
  </si>
  <si>
    <t>거북손데스</t>
  </si>
  <si>
    <t>龜足巨鎧</t>
  </si>
  <si>
    <t>Skrelp</t>
  </si>
  <si>
    <t>クズモー</t>
  </si>
  <si>
    <t>Venalgue</t>
  </si>
  <si>
    <t>Algitt</t>
  </si>
  <si>
    <t>수레기</t>
  </si>
  <si>
    <t>垃垃藻</t>
  </si>
  <si>
    <t>Dragalge</t>
  </si>
  <si>
    <t>ドラミドロ</t>
  </si>
  <si>
    <t>Kravarech</t>
  </si>
  <si>
    <t>Tandrak</t>
  </si>
  <si>
    <t>드래캄</t>
  </si>
  <si>
    <t>毒藻龍</t>
  </si>
  <si>
    <t>Clauncher</t>
  </si>
  <si>
    <t>ウデッポウ</t>
  </si>
  <si>
    <t>Flingouste</t>
  </si>
  <si>
    <t>Scampisto</t>
  </si>
  <si>
    <t>완철포</t>
  </si>
  <si>
    <t>鐵臂槍蝦</t>
  </si>
  <si>
    <t>Clawitzer</t>
  </si>
  <si>
    <t>ブロスター</t>
  </si>
  <si>
    <t>Gamblast</t>
  </si>
  <si>
    <t>Wummer</t>
  </si>
  <si>
    <t>블로스터</t>
  </si>
  <si>
    <t>鋼炮臂蝦</t>
  </si>
  <si>
    <t>Helioptile</t>
  </si>
  <si>
    <t>エリキテル</t>
  </si>
  <si>
    <t>Galvaran</t>
  </si>
  <si>
    <t>Eguana</t>
  </si>
  <si>
    <t>목도리키텔</t>
  </si>
  <si>
    <t>傘電蜥</t>
  </si>
  <si>
    <t>Heliolisk</t>
  </si>
  <si>
    <t>エレザード</t>
  </si>
  <si>
    <t>Iguolta</t>
  </si>
  <si>
    <t>Elezard</t>
  </si>
  <si>
    <t>일레도리자드</t>
  </si>
  <si>
    <t>光電傘蜥</t>
  </si>
  <si>
    <t>Tyrunt</t>
  </si>
  <si>
    <t>チゴラス</t>
  </si>
  <si>
    <t>Ptyranidur</t>
  </si>
  <si>
    <t>Balgoras</t>
  </si>
  <si>
    <t>티고라스</t>
  </si>
  <si>
    <t>寶寶暴龍</t>
  </si>
  <si>
    <t>Tyrantrum</t>
  </si>
  <si>
    <t>ガチゴラス</t>
  </si>
  <si>
    <t>Rexilius</t>
  </si>
  <si>
    <t>Monargoras</t>
  </si>
  <si>
    <t>견고라스</t>
  </si>
  <si>
    <t>怪顎龍</t>
  </si>
  <si>
    <t>Amaura</t>
  </si>
  <si>
    <t>アマルス</t>
  </si>
  <si>
    <t>Amagara</t>
  </si>
  <si>
    <t>Amarino</t>
  </si>
  <si>
    <t>아마루스</t>
  </si>
  <si>
    <t>冰雪龍</t>
  </si>
  <si>
    <t>Aurorus</t>
  </si>
  <si>
    <t>アマルルガ</t>
  </si>
  <si>
    <t>Dragmara</t>
  </si>
  <si>
    <t>Amagarga</t>
  </si>
  <si>
    <t>아마루르가</t>
  </si>
  <si>
    <t>冰雪巨龍</t>
  </si>
  <si>
    <t>Sylveon</t>
  </si>
  <si>
    <t>ニンフィア</t>
  </si>
  <si>
    <t>Nymphali</t>
  </si>
  <si>
    <t>Feelinara</t>
  </si>
  <si>
    <t>님피아</t>
  </si>
  <si>
    <t>仙子伊布</t>
  </si>
  <si>
    <t>Hawlucha</t>
  </si>
  <si>
    <t>ルチャブル</t>
  </si>
  <si>
    <t>Brutalibré</t>
  </si>
  <si>
    <t>Resladero</t>
  </si>
  <si>
    <t>루차불</t>
  </si>
  <si>
    <t>摔角鷹人</t>
  </si>
  <si>
    <t>Dedenne</t>
  </si>
  <si>
    <t>デデンネ</t>
  </si>
  <si>
    <t>Dédenne</t>
  </si>
  <si>
    <t>데덴네</t>
  </si>
  <si>
    <t>咚咚鼠</t>
  </si>
  <si>
    <t>Carbink</t>
  </si>
  <si>
    <t>メレシー</t>
  </si>
  <si>
    <t>Strassie</t>
  </si>
  <si>
    <t>Rocara</t>
  </si>
  <si>
    <t>멜리시</t>
  </si>
  <si>
    <t>小碎鑽</t>
  </si>
  <si>
    <t>Goomy</t>
  </si>
  <si>
    <t>ヌメラ</t>
  </si>
  <si>
    <t>Mucuscule</t>
  </si>
  <si>
    <t>Viscora</t>
  </si>
  <si>
    <t>미끄메라</t>
  </si>
  <si>
    <t>黏黏寶</t>
  </si>
  <si>
    <t>Sliggoo</t>
  </si>
  <si>
    <t>ヌメイル</t>
  </si>
  <si>
    <t>Colimucus</t>
  </si>
  <si>
    <t>Viscargot</t>
  </si>
  <si>
    <t>미끄네일</t>
  </si>
  <si>
    <t>黏美兒</t>
  </si>
  <si>
    <t>Goodra</t>
  </si>
  <si>
    <t>ヌメルゴン</t>
  </si>
  <si>
    <t>Muplodocus</t>
  </si>
  <si>
    <t>Viscogon</t>
  </si>
  <si>
    <t>미끄래곤</t>
  </si>
  <si>
    <t>黏美龍</t>
  </si>
  <si>
    <t>Klefki</t>
  </si>
  <si>
    <t>クレッフィ</t>
  </si>
  <si>
    <t>Trousselin</t>
  </si>
  <si>
    <t>Clavion</t>
  </si>
  <si>
    <t>클레피</t>
  </si>
  <si>
    <t>鑰圈兒</t>
  </si>
  <si>
    <t>Phantump</t>
  </si>
  <si>
    <t>ボクレー</t>
  </si>
  <si>
    <t>Brocélôme</t>
  </si>
  <si>
    <t>Paragoni</t>
  </si>
  <si>
    <t>나목령</t>
  </si>
  <si>
    <t>小木靈</t>
  </si>
  <si>
    <t>Trevenant</t>
  </si>
  <si>
    <t>オーロット</t>
  </si>
  <si>
    <t>Desséliandre</t>
  </si>
  <si>
    <t>Trombork</t>
  </si>
  <si>
    <t>대로트</t>
  </si>
  <si>
    <t>朽木妖</t>
  </si>
  <si>
    <t>Pumpkaboo</t>
  </si>
  <si>
    <t>バケッチャ</t>
  </si>
  <si>
    <t>Pitrouille</t>
  </si>
  <si>
    <t>Irrbis</t>
  </si>
  <si>
    <t>호바귀</t>
  </si>
  <si>
    <t>南瓜精</t>
  </si>
  <si>
    <t>Gourgeist</t>
  </si>
  <si>
    <t>パンプジン</t>
  </si>
  <si>
    <t>Banshitrouye</t>
  </si>
  <si>
    <t>Pumpdjinn</t>
  </si>
  <si>
    <t>펌킨인</t>
  </si>
  <si>
    <t>南瓜怪人</t>
  </si>
  <si>
    <t>Bergmite</t>
  </si>
  <si>
    <t>カチコール</t>
  </si>
  <si>
    <t>Grelaçon</t>
  </si>
  <si>
    <t>Arktip</t>
  </si>
  <si>
    <t>꽁어름</t>
  </si>
  <si>
    <t>冰寶</t>
  </si>
  <si>
    <t>Avalugg</t>
  </si>
  <si>
    <t>クレベース</t>
  </si>
  <si>
    <t>Séracrawl</t>
  </si>
  <si>
    <t>Arktilas</t>
  </si>
  <si>
    <t>크레베이스</t>
  </si>
  <si>
    <t>冰岩怪</t>
  </si>
  <si>
    <t>Noibat</t>
  </si>
  <si>
    <t>オンバット</t>
  </si>
  <si>
    <t>Sonistrelle</t>
  </si>
  <si>
    <t>eF-eM</t>
  </si>
  <si>
    <t>음뱃</t>
  </si>
  <si>
    <t>嗡蝠</t>
  </si>
  <si>
    <t>Noivern</t>
  </si>
  <si>
    <t>オンバーン</t>
  </si>
  <si>
    <t>Bruyverne</t>
  </si>
  <si>
    <t>UHaFnir</t>
  </si>
  <si>
    <t>음번</t>
  </si>
  <si>
    <t>音波龍</t>
  </si>
  <si>
    <t>Xerneas</t>
  </si>
  <si>
    <t>ゼルネアス</t>
  </si>
  <si>
    <t>제르네아스</t>
  </si>
  <si>
    <t>哲爾尼亞斯</t>
  </si>
  <si>
    <t>Yveltal</t>
  </si>
  <si>
    <t>イベルタル</t>
  </si>
  <si>
    <t>이벨타르</t>
  </si>
  <si>
    <t>伊裴爾塔爾</t>
  </si>
  <si>
    <t>Zygarde</t>
  </si>
  <si>
    <t>ジガルデ</t>
  </si>
  <si>
    <t>지가르데</t>
  </si>
  <si>
    <t>Diancie</t>
  </si>
  <si>
    <t>ヂィアンシー</t>
  </si>
  <si>
    <t>디안시</t>
  </si>
  <si>
    <t>蒂安希</t>
  </si>
  <si>
    <t>Hoopa</t>
  </si>
  <si>
    <t>フーパ</t>
  </si>
  <si>
    <t>후파</t>
  </si>
  <si>
    <t>胡帕</t>
  </si>
  <si>
    <t>Volcanion</t>
  </si>
  <si>
    <t>ボルケニオン</t>
  </si>
  <si>
    <t>볼케니온</t>
  </si>
  <si>
    <t>波爾凱尼恩</t>
  </si>
  <si>
    <t>Rowlet</t>
  </si>
  <si>
    <t>モクロー</t>
  </si>
  <si>
    <t>Brindibou</t>
  </si>
  <si>
    <t>Bauz</t>
  </si>
  <si>
    <t>나몰빼미</t>
  </si>
  <si>
    <t>木木梟</t>
  </si>
  <si>
    <t>Dartrix</t>
  </si>
  <si>
    <t>フクスロー</t>
  </si>
  <si>
    <t>Efflèche</t>
  </si>
  <si>
    <t>Arboretoss</t>
  </si>
  <si>
    <t>빼미스로우</t>
  </si>
  <si>
    <t>投羽梟</t>
  </si>
  <si>
    <t>Decidueye</t>
  </si>
  <si>
    <t>ジュナイパー</t>
  </si>
  <si>
    <t>Archéduc</t>
  </si>
  <si>
    <t>Silvarro</t>
  </si>
  <si>
    <t>모크나이퍼</t>
  </si>
  <si>
    <t>狙射树枭</t>
  </si>
  <si>
    <t>Litten</t>
  </si>
  <si>
    <t>ニャビー</t>
  </si>
  <si>
    <t>Flamiaou</t>
  </si>
  <si>
    <t>Flamiau</t>
  </si>
  <si>
    <t>냐오불</t>
  </si>
  <si>
    <t>火斑喵</t>
  </si>
  <si>
    <t>Torracat</t>
  </si>
  <si>
    <t>ニャヒート</t>
  </si>
  <si>
    <t>Matoufeu</t>
  </si>
  <si>
    <t>Miezunder</t>
  </si>
  <si>
    <t>냐오히트</t>
  </si>
  <si>
    <t>炎熱喵</t>
  </si>
  <si>
    <t>Incineroar</t>
  </si>
  <si>
    <t>ガオガエン</t>
  </si>
  <si>
    <t>Félinferno</t>
  </si>
  <si>
    <t>Fuegro</t>
  </si>
  <si>
    <t>어흥염</t>
  </si>
  <si>
    <t>炽焰咆哮虎</t>
  </si>
  <si>
    <t>Popplio</t>
  </si>
  <si>
    <t>アシマリ</t>
  </si>
  <si>
    <t>Otaquin</t>
  </si>
  <si>
    <t>Robball</t>
  </si>
  <si>
    <t>누리공</t>
  </si>
  <si>
    <t>球球海獅</t>
  </si>
  <si>
    <t>Brionne</t>
  </si>
  <si>
    <t>オシャマリ</t>
  </si>
  <si>
    <t>Otarlette</t>
  </si>
  <si>
    <t>Marikeck</t>
  </si>
  <si>
    <t>키요공</t>
  </si>
  <si>
    <t>花漾海獅</t>
  </si>
  <si>
    <t>Primarina</t>
  </si>
  <si>
    <t>アシレーヌ</t>
  </si>
  <si>
    <t>Oratoria</t>
  </si>
  <si>
    <t>Primarene</t>
  </si>
  <si>
    <t>누리레느</t>
  </si>
  <si>
    <t>西狮海壬</t>
  </si>
  <si>
    <t>Pikipek</t>
  </si>
  <si>
    <t>ツツケラ</t>
  </si>
  <si>
    <t>Picassaut</t>
  </si>
  <si>
    <t>Peppeck</t>
  </si>
  <si>
    <t>콕코구리</t>
  </si>
  <si>
    <t>小篤兒</t>
  </si>
  <si>
    <t>Trumbeak</t>
  </si>
  <si>
    <t>ケララッパ</t>
  </si>
  <si>
    <t>Piclairon</t>
  </si>
  <si>
    <t>Trompeck</t>
  </si>
  <si>
    <t>크라파</t>
  </si>
  <si>
    <t>喇叭啄鳥</t>
  </si>
  <si>
    <t>Toucannon</t>
  </si>
  <si>
    <t>ドデカバシ</t>
  </si>
  <si>
    <t>Bazoukan</t>
  </si>
  <si>
    <t>Tukanon</t>
  </si>
  <si>
    <t>왕큰부리</t>
  </si>
  <si>
    <t>銃嘴大鳥</t>
  </si>
  <si>
    <t>Yungoos</t>
  </si>
  <si>
    <t>ヤングース</t>
  </si>
  <si>
    <t>Manglouton</t>
  </si>
  <si>
    <t>Mangunior</t>
  </si>
  <si>
    <t>영구스</t>
  </si>
  <si>
    <t>貓鼬少</t>
  </si>
  <si>
    <t>Gumchoos</t>
  </si>
  <si>
    <t>デカグース</t>
  </si>
  <si>
    <t>Argouste</t>
  </si>
  <si>
    <t>Manguspektor</t>
  </si>
  <si>
    <t>형사구스</t>
  </si>
  <si>
    <t>貓鼬探長</t>
  </si>
  <si>
    <t>Grubbin</t>
  </si>
  <si>
    <t>アゴジムシ</t>
  </si>
  <si>
    <t>Larvibule</t>
  </si>
  <si>
    <t>Mabula</t>
  </si>
  <si>
    <t>턱지충이</t>
  </si>
  <si>
    <t>強顎雞母蟲</t>
  </si>
  <si>
    <t>Charjabug</t>
  </si>
  <si>
    <t>デンジムシ</t>
  </si>
  <si>
    <t>Chrysapile</t>
  </si>
  <si>
    <t>Akkup</t>
  </si>
  <si>
    <t>전지충이</t>
  </si>
  <si>
    <t>蟲電寶</t>
  </si>
  <si>
    <t>Vikavolt</t>
  </si>
  <si>
    <t>クワガノン</t>
  </si>
  <si>
    <t>Lucanon</t>
  </si>
  <si>
    <t>Donarion</t>
  </si>
  <si>
    <t>투구뿌논</t>
  </si>
  <si>
    <t>鍬農炮蟲</t>
  </si>
  <si>
    <t>Crabrawler</t>
  </si>
  <si>
    <t>マケンカニ</t>
  </si>
  <si>
    <t>Crabagarre</t>
  </si>
  <si>
    <t>Krabbox</t>
  </si>
  <si>
    <t>오기지게</t>
  </si>
  <si>
    <t>好勝蟹</t>
  </si>
  <si>
    <t>Crabominable</t>
  </si>
  <si>
    <t>ケケンカニ</t>
  </si>
  <si>
    <t>Krawell</t>
  </si>
  <si>
    <t>모단단게</t>
  </si>
  <si>
    <t>好勝毛蟹</t>
  </si>
  <si>
    <t>Oricorio</t>
  </si>
  <si>
    <t>オドリドリ</t>
  </si>
  <si>
    <t>Plumeline</t>
  </si>
  <si>
    <t>Choreogel</t>
  </si>
  <si>
    <t>춤추새</t>
  </si>
  <si>
    <t>花舞鳥</t>
  </si>
  <si>
    <t>Cutiefly</t>
  </si>
  <si>
    <t>アブリー</t>
  </si>
  <si>
    <t>Bombydou</t>
  </si>
  <si>
    <t>Wommel</t>
  </si>
  <si>
    <t>에블리</t>
  </si>
  <si>
    <t>萌虻</t>
  </si>
  <si>
    <t>Ribombee</t>
  </si>
  <si>
    <t>アブリボン</t>
  </si>
  <si>
    <t>Rubombelle</t>
  </si>
  <si>
    <t>Bandelby</t>
  </si>
  <si>
    <t>에리본</t>
  </si>
  <si>
    <t>蝶結萌虻</t>
  </si>
  <si>
    <t>Rockruff</t>
  </si>
  <si>
    <t>イワンコ</t>
  </si>
  <si>
    <t>Rocabot</t>
  </si>
  <si>
    <t>Wufffels</t>
  </si>
  <si>
    <t>암멍이</t>
  </si>
  <si>
    <t>岩狗狗</t>
  </si>
  <si>
    <t>Lycanroc</t>
  </si>
  <si>
    <t>ルガルガン</t>
  </si>
  <si>
    <t>Lougaroc</t>
  </si>
  <si>
    <t>Wolwerock</t>
  </si>
  <si>
    <t>루가루암</t>
  </si>
  <si>
    <t>鬃岩狼人</t>
  </si>
  <si>
    <t>Wishiwashi</t>
  </si>
  <si>
    <t>ヨワシ</t>
  </si>
  <si>
    <t>Froussardine</t>
  </si>
  <si>
    <t>Lusardin</t>
  </si>
  <si>
    <t>약어리</t>
  </si>
  <si>
    <t>弱丁魚</t>
  </si>
  <si>
    <t>Mareanie</t>
  </si>
  <si>
    <t>ヒドイデ</t>
  </si>
  <si>
    <t>Vorastérie</t>
  </si>
  <si>
    <t>Garstella</t>
  </si>
  <si>
    <t>시마사리</t>
  </si>
  <si>
    <t>好壞星</t>
  </si>
  <si>
    <t>Toxapex</t>
  </si>
  <si>
    <t>ドヒドイデ</t>
  </si>
  <si>
    <t>Prédastérie</t>
  </si>
  <si>
    <t>Aggrostella</t>
  </si>
  <si>
    <t>더시마사리</t>
  </si>
  <si>
    <t>超壞星</t>
  </si>
  <si>
    <t>Mudbray</t>
  </si>
  <si>
    <t>ドロバンコ</t>
  </si>
  <si>
    <t>Tiboudet</t>
  </si>
  <si>
    <t>Pampuli</t>
  </si>
  <si>
    <t>머드나기</t>
  </si>
  <si>
    <t>泥驢仔</t>
  </si>
  <si>
    <t>Mudsdale</t>
  </si>
  <si>
    <t>バンバドロ</t>
  </si>
  <si>
    <t>Bourrinos</t>
  </si>
  <si>
    <t>Pampross</t>
  </si>
  <si>
    <t>만마드</t>
  </si>
  <si>
    <t>重泥挽馬</t>
  </si>
  <si>
    <t>Dewpider</t>
  </si>
  <si>
    <t>シズクモ</t>
  </si>
  <si>
    <t>Araqua</t>
  </si>
  <si>
    <t>물거미</t>
  </si>
  <si>
    <t>滴蛛</t>
  </si>
  <si>
    <t>Araquanid</t>
  </si>
  <si>
    <t>オニシズクモ</t>
  </si>
  <si>
    <t>Tarembulle</t>
  </si>
  <si>
    <t>Aranestro</t>
  </si>
  <si>
    <t>깨비물거미</t>
  </si>
  <si>
    <t>滴蛛霸</t>
  </si>
  <si>
    <t>Fomantis</t>
  </si>
  <si>
    <t>カリキリ</t>
  </si>
  <si>
    <t>Mimantis</t>
  </si>
  <si>
    <t>Imantis</t>
  </si>
  <si>
    <t>짜랑랑</t>
  </si>
  <si>
    <t>偽螳草</t>
  </si>
  <si>
    <t>Lurantis</t>
  </si>
  <si>
    <t>ラランテス</t>
  </si>
  <si>
    <t>Floramantis</t>
  </si>
  <si>
    <t>Mantidea</t>
  </si>
  <si>
    <t>라란티스</t>
  </si>
  <si>
    <t>蘭螳花</t>
  </si>
  <si>
    <t>Morelull</t>
  </si>
  <si>
    <t>ネマシュ</t>
  </si>
  <si>
    <t>Spododo</t>
  </si>
  <si>
    <t>Bubungus</t>
  </si>
  <si>
    <t>자마슈</t>
  </si>
  <si>
    <t>睡睡菇</t>
  </si>
  <si>
    <t>Shiinotic</t>
  </si>
  <si>
    <t>マシェード</t>
  </si>
  <si>
    <t>Lampignon</t>
  </si>
  <si>
    <t>Lamellux</t>
  </si>
  <si>
    <t>마셰이드</t>
  </si>
  <si>
    <t>燈罩夜菇</t>
  </si>
  <si>
    <t>Salandit</t>
  </si>
  <si>
    <t>ヤトウモリ</t>
  </si>
  <si>
    <t>Tritox</t>
  </si>
  <si>
    <t>Molunk</t>
  </si>
  <si>
    <t>야도뇽</t>
  </si>
  <si>
    <t>夜盜火蜥</t>
  </si>
  <si>
    <t>Salazzle</t>
  </si>
  <si>
    <t>エンニュート</t>
  </si>
  <si>
    <t>Malamandre</t>
  </si>
  <si>
    <t>Amfira</t>
  </si>
  <si>
    <t>염뉴트</t>
  </si>
  <si>
    <t>焰后蜥</t>
  </si>
  <si>
    <t>Stufful</t>
  </si>
  <si>
    <t>ヌイコグマ</t>
  </si>
  <si>
    <t>Nounourson</t>
  </si>
  <si>
    <t>Velirsi</t>
  </si>
  <si>
    <t>포곰곰</t>
  </si>
  <si>
    <t>童偶熊</t>
  </si>
  <si>
    <t>Bewear</t>
  </si>
  <si>
    <t>キテルグマ</t>
  </si>
  <si>
    <t>Chelours</t>
  </si>
  <si>
    <t>Kosturso</t>
  </si>
  <si>
    <t>이븐곰</t>
  </si>
  <si>
    <t>穿著熊</t>
  </si>
  <si>
    <t>Bounsweet</t>
  </si>
  <si>
    <t>アマカジ</t>
  </si>
  <si>
    <t>Croquine</t>
  </si>
  <si>
    <t>Frubberl</t>
  </si>
  <si>
    <t>달콤아</t>
  </si>
  <si>
    <t>甜竹竹</t>
  </si>
  <si>
    <t>Steenee</t>
  </si>
  <si>
    <t>アママイコ</t>
  </si>
  <si>
    <t>Candine</t>
  </si>
  <si>
    <t>Frubaila</t>
  </si>
  <si>
    <t>달무리나</t>
  </si>
  <si>
    <t>甜舞妮</t>
  </si>
  <si>
    <t>Tsareena</t>
  </si>
  <si>
    <t>アマージョ</t>
  </si>
  <si>
    <t>Sucreine</t>
  </si>
  <si>
    <t>Fruyal</t>
  </si>
  <si>
    <t>달코퀸</t>
  </si>
  <si>
    <t>甜冷美后</t>
  </si>
  <si>
    <t>Comfey</t>
  </si>
  <si>
    <t>キュワワー</t>
  </si>
  <si>
    <t>Guérilande</t>
  </si>
  <si>
    <t>Curelei</t>
  </si>
  <si>
    <t>큐아링</t>
  </si>
  <si>
    <t>花療環環</t>
  </si>
  <si>
    <t>Oranguru</t>
  </si>
  <si>
    <t>ヤレユータン</t>
  </si>
  <si>
    <t>Gouroutan</t>
  </si>
  <si>
    <t>Kommandutan</t>
  </si>
  <si>
    <t>하랑우탄</t>
  </si>
  <si>
    <t>智揮猩</t>
  </si>
  <si>
    <t>Passimian</t>
  </si>
  <si>
    <t>ナゲツケサル</t>
  </si>
  <si>
    <t>Quartermac</t>
  </si>
  <si>
    <t>Quartermak</t>
  </si>
  <si>
    <t>내던숭이</t>
  </si>
  <si>
    <t>投擲猴</t>
  </si>
  <si>
    <t>Wimpod</t>
  </si>
  <si>
    <t>コソクムシ</t>
  </si>
  <si>
    <t>Sovkipou</t>
  </si>
  <si>
    <t>Reißlaus</t>
  </si>
  <si>
    <t>꼬시레</t>
  </si>
  <si>
    <t>膽小蟲</t>
  </si>
  <si>
    <t>Golisopod</t>
  </si>
  <si>
    <t>グソクムシャ</t>
  </si>
  <si>
    <t>Sarmuraï</t>
  </si>
  <si>
    <t>Tectass</t>
  </si>
  <si>
    <t>갑주무사</t>
  </si>
  <si>
    <t>具甲武者</t>
  </si>
  <si>
    <t>Sandygast</t>
  </si>
  <si>
    <t>スナバァ</t>
  </si>
  <si>
    <t>Bacabouh</t>
  </si>
  <si>
    <t>Sankabuh</t>
  </si>
  <si>
    <t>모래꿍</t>
  </si>
  <si>
    <t>沙丘娃</t>
  </si>
  <si>
    <t>Palosand</t>
  </si>
  <si>
    <t>シロデスナ</t>
  </si>
  <si>
    <t>Trépassable</t>
  </si>
  <si>
    <t>Colossand</t>
  </si>
  <si>
    <t>모래성이당</t>
  </si>
  <si>
    <t>噬沙堡爺</t>
  </si>
  <si>
    <t>Pyukumuku</t>
  </si>
  <si>
    <t>ナマコブシ</t>
  </si>
  <si>
    <t>Concombaffe</t>
  </si>
  <si>
    <t>Gufa</t>
  </si>
  <si>
    <t>해무기</t>
  </si>
  <si>
    <t>拳海參</t>
  </si>
  <si>
    <t>NAME_PkMn_TYPENULL</t>
  </si>
  <si>
    <t>Type: Null</t>
  </si>
  <si>
    <t>タイプ：ヌル</t>
  </si>
  <si>
    <t>Type:0</t>
  </si>
  <si>
    <t>Typ:Null</t>
  </si>
  <si>
    <t>Código Cero</t>
  </si>
  <si>
    <t>Tipo Zero</t>
  </si>
  <si>
    <t>타입：널</t>
  </si>
  <si>
    <t>屬性：空</t>
  </si>
  <si>
    <t>Silvally</t>
  </si>
  <si>
    <t>シルヴァヂィ</t>
  </si>
  <si>
    <t>Silvallié</t>
  </si>
  <si>
    <t>Amigento</t>
  </si>
  <si>
    <t>실버디</t>
  </si>
  <si>
    <t>銀伴戰獸</t>
  </si>
  <si>
    <t>Minior</t>
  </si>
  <si>
    <t>メテノ</t>
  </si>
  <si>
    <t>Météno</t>
  </si>
  <si>
    <t>Meteno</t>
  </si>
  <si>
    <t>메테노</t>
  </si>
  <si>
    <t>小隕星</t>
  </si>
  <si>
    <t>Komala</t>
  </si>
  <si>
    <t>ネッコアラ</t>
  </si>
  <si>
    <t>Dodoala</t>
  </si>
  <si>
    <t>Koaleul</t>
  </si>
  <si>
    <t>자말라</t>
  </si>
  <si>
    <t>樹枕尾熊</t>
  </si>
  <si>
    <t>Turtonator</t>
  </si>
  <si>
    <t>バクガメス</t>
  </si>
  <si>
    <t>Boumata</t>
  </si>
  <si>
    <t>폭거북스</t>
  </si>
  <si>
    <t>爆焰龜獸</t>
  </si>
  <si>
    <t>Togedemaru</t>
  </si>
  <si>
    <t>トゲデマル</t>
  </si>
  <si>
    <t>토게데마루</t>
  </si>
  <si>
    <t>托戈德瑪爾</t>
  </si>
  <si>
    <t>Mimikyu</t>
  </si>
  <si>
    <t>ミミッキュ</t>
  </si>
  <si>
    <t>Mimiqui</t>
  </si>
  <si>
    <t>Mimigma</t>
  </si>
  <si>
    <t>따라큐</t>
  </si>
  <si>
    <t>謎擬Ｑ</t>
  </si>
  <si>
    <t>谜拟丘</t>
  </si>
  <si>
    <t>Bruxish</t>
  </si>
  <si>
    <t>ハギギシリ</t>
  </si>
  <si>
    <t>Denticrisse</t>
  </si>
  <si>
    <t>Knirfish</t>
  </si>
  <si>
    <t>치갈기</t>
  </si>
  <si>
    <t>磨牙彩皮魚</t>
  </si>
  <si>
    <t>Drampa</t>
  </si>
  <si>
    <t>ジジーロン</t>
  </si>
  <si>
    <t>Draïeul</t>
  </si>
  <si>
    <t>Sen-Long</t>
  </si>
  <si>
    <t>할비롱</t>
  </si>
  <si>
    <t>老翁龍</t>
  </si>
  <si>
    <t>Dhelmise</t>
  </si>
  <si>
    <t>ダダリン</t>
  </si>
  <si>
    <t>Sinistrail</t>
  </si>
  <si>
    <t>Moruda</t>
  </si>
  <si>
    <t>타타륜</t>
  </si>
  <si>
    <t>破破舵輪</t>
  </si>
  <si>
    <t>Jangmo-o</t>
  </si>
  <si>
    <t>ジャラコ</t>
  </si>
  <si>
    <t>Bébécaille</t>
  </si>
  <si>
    <t>Miniras</t>
  </si>
  <si>
    <t>짜랑꼬</t>
  </si>
  <si>
    <t>心鱗寶</t>
  </si>
  <si>
    <t>Hakamo-o</t>
  </si>
  <si>
    <t>ジャランゴ</t>
  </si>
  <si>
    <t>Ékaïd</t>
  </si>
  <si>
    <t>Mediras</t>
  </si>
  <si>
    <t>짜랑고우거</t>
  </si>
  <si>
    <t>鱗甲龍</t>
  </si>
  <si>
    <t>Kommo-o</t>
  </si>
  <si>
    <t>ジャラランガ</t>
  </si>
  <si>
    <t>Ékaiser</t>
  </si>
  <si>
    <t>Grandiras</t>
  </si>
  <si>
    <t>杖尾鳞甲龙</t>
  </si>
  <si>
    <t>Tapu Koko</t>
  </si>
  <si>
    <t>カプ・コケコ</t>
  </si>
  <si>
    <t>Tokoriko</t>
  </si>
  <si>
    <t>Kapu-Riki</t>
  </si>
  <si>
    <t>카푸꼬꼬꼭</t>
  </si>
  <si>
    <t>卡璞・鳴鳴</t>
  </si>
  <si>
    <t>Tapu Lele</t>
  </si>
  <si>
    <t>カプ・テテフ</t>
  </si>
  <si>
    <t>Tokopiyon</t>
  </si>
  <si>
    <t>Kapu-Fala</t>
  </si>
  <si>
    <t>카푸나비나</t>
  </si>
  <si>
    <t>卡璞・蝶蝶</t>
  </si>
  <si>
    <t>Tapu Bulu</t>
  </si>
  <si>
    <t>カプ・ブルル</t>
  </si>
  <si>
    <t>Tokotoro</t>
  </si>
  <si>
    <t>Kapu-Toro</t>
  </si>
  <si>
    <t>카푸브루루</t>
  </si>
  <si>
    <t>卡璞・哞哞</t>
  </si>
  <si>
    <t>Tapu Fini</t>
  </si>
  <si>
    <t>カプ・レヒレ</t>
  </si>
  <si>
    <t>Tokopisco</t>
  </si>
  <si>
    <t>Kapu-Kime</t>
  </si>
  <si>
    <t>카푸느지느</t>
  </si>
  <si>
    <t>卡璞・鰭鰭</t>
  </si>
  <si>
    <t>Cosmog</t>
  </si>
  <si>
    <t>コスモッグ</t>
  </si>
  <si>
    <t>코스모그</t>
  </si>
  <si>
    <t>科斯莫古</t>
  </si>
  <si>
    <t>Cosmoem</t>
  </si>
  <si>
    <t>コスモウム</t>
  </si>
  <si>
    <t>Cosmovum</t>
  </si>
  <si>
    <t>코스모움</t>
  </si>
  <si>
    <t>科斯莫姆</t>
  </si>
  <si>
    <t>Solgaleo</t>
  </si>
  <si>
    <t>ソルガレオ</t>
  </si>
  <si>
    <t>솔가레오</t>
  </si>
  <si>
    <t>索尔迦雷欧</t>
  </si>
  <si>
    <t>Lunala</t>
  </si>
  <si>
    <t>ルナアーラ</t>
  </si>
  <si>
    <t>루나아라</t>
  </si>
  <si>
    <t>露奈雅拉</t>
  </si>
  <si>
    <t>Nihilego</t>
  </si>
  <si>
    <t>ウツロイド</t>
  </si>
  <si>
    <t>Zeroïd</t>
  </si>
  <si>
    <t>Anego</t>
  </si>
  <si>
    <t>텅비드</t>
  </si>
  <si>
    <t>虛吾伊德</t>
  </si>
  <si>
    <t>Buzzwole</t>
  </si>
  <si>
    <t>マッシブーン</t>
  </si>
  <si>
    <t>Mouscoto</t>
  </si>
  <si>
    <t>Masskito</t>
  </si>
  <si>
    <t>매시붕</t>
  </si>
  <si>
    <t>爆肌蚊</t>
  </si>
  <si>
    <t>Pheromosa</t>
  </si>
  <si>
    <t>フェローチェ</t>
  </si>
  <si>
    <t>Cancrelove</t>
  </si>
  <si>
    <t>Schabelle</t>
  </si>
  <si>
    <t>페로코체</t>
  </si>
  <si>
    <t>費洛美螂</t>
  </si>
  <si>
    <t>Xurkitree</t>
  </si>
  <si>
    <t>デンジュモク</t>
  </si>
  <si>
    <t>Câblifère</t>
  </si>
  <si>
    <t>Voltriant</t>
  </si>
  <si>
    <t>전수목</t>
  </si>
  <si>
    <t>電束木</t>
  </si>
  <si>
    <t>Celesteela</t>
  </si>
  <si>
    <t>テッカグヤ</t>
  </si>
  <si>
    <t>Bamboiselle</t>
  </si>
  <si>
    <t>Kaguron</t>
  </si>
  <si>
    <t>철화구야</t>
  </si>
  <si>
    <t>鐵火輝夜</t>
  </si>
  <si>
    <t>Kartana</t>
  </si>
  <si>
    <t>カミツルギ</t>
  </si>
  <si>
    <t>Katagami</t>
  </si>
  <si>
    <t>종이신도</t>
  </si>
  <si>
    <t>紙御劍</t>
  </si>
  <si>
    <t>Guzzlord</t>
  </si>
  <si>
    <t>アクジキング</t>
  </si>
  <si>
    <t>Engloutyran</t>
  </si>
  <si>
    <t>Schlingking</t>
  </si>
  <si>
    <t>악식킹</t>
  </si>
  <si>
    <t>惡食大王</t>
  </si>
  <si>
    <t>Necrozma</t>
  </si>
  <si>
    <t>ネクロスマ</t>
  </si>
  <si>
    <t>네크로즈마</t>
  </si>
  <si>
    <t>奈克洛茲瑪</t>
  </si>
  <si>
    <t>Magearna</t>
  </si>
  <si>
    <t>マギアナ</t>
  </si>
  <si>
    <t>마기아나</t>
  </si>
  <si>
    <t>瑪機雅娜</t>
  </si>
  <si>
    <t>Marshadow</t>
  </si>
  <si>
    <t>マーシャドー</t>
  </si>
  <si>
    <t>마샤도</t>
  </si>
  <si>
    <t>玛夏多</t>
  </si>
  <si>
    <t>Poipole</t>
  </si>
  <si>
    <t>ベベノム</t>
  </si>
  <si>
    <t>Vémini</t>
  </si>
  <si>
    <t>Venicro</t>
  </si>
  <si>
    <t>베베놈</t>
  </si>
  <si>
    <t>毒貝比</t>
  </si>
  <si>
    <t>Naganadel</t>
  </si>
  <si>
    <t>アーゴヨン</t>
  </si>
  <si>
    <t>Mandrillon</t>
  </si>
  <si>
    <t>Agoyon</t>
  </si>
  <si>
    <t>아고용</t>
  </si>
  <si>
    <t>四顎針龍</t>
  </si>
  <si>
    <t>Stakataka</t>
  </si>
  <si>
    <t>ツンデツンデ</t>
  </si>
  <si>
    <t>Ama-Ama</t>
  </si>
  <si>
    <t>Muramura</t>
  </si>
  <si>
    <t>차곡차곡</t>
  </si>
  <si>
    <t>壘磊石</t>
  </si>
  <si>
    <t>Blacephalon</t>
  </si>
  <si>
    <t>ズガドーン</t>
  </si>
  <si>
    <t>Pierroteknik</t>
  </si>
  <si>
    <t>Kopplosio</t>
  </si>
  <si>
    <t>두파팡</t>
  </si>
  <si>
    <t>砰頭小丑</t>
  </si>
  <si>
    <t>Zeraora</t>
  </si>
  <si>
    <t>ゼラオラ</t>
  </si>
  <si>
    <t>제라오라</t>
  </si>
  <si>
    <t>捷拉奧拉</t>
  </si>
  <si>
    <t>Meltan</t>
  </si>
  <si>
    <t>メルタン</t>
  </si>
  <si>
    <t>멜탄</t>
  </si>
  <si>
    <t>美錄坦</t>
  </si>
  <si>
    <t>Melmetal</t>
  </si>
  <si>
    <t>メルメタル</t>
  </si>
  <si>
    <t>멜메탈</t>
  </si>
  <si>
    <t>美錄梅塔</t>
  </si>
  <si>
    <t>Grookey</t>
  </si>
  <si>
    <t>サルノリ</t>
  </si>
  <si>
    <t>Ouistempo</t>
  </si>
  <si>
    <t>Chimpep</t>
  </si>
  <si>
    <t>흥나숭</t>
  </si>
  <si>
    <t>敲音猴</t>
  </si>
  <si>
    <t>Thwakey</t>
  </si>
  <si>
    <t>バチンキー</t>
  </si>
  <si>
    <t>Badabouin</t>
  </si>
  <si>
    <t>Chimstix</t>
  </si>
  <si>
    <t>채키몽</t>
  </si>
  <si>
    <t>啪咚猴</t>
  </si>
  <si>
    <t>Rillaboom</t>
  </si>
  <si>
    <t>ゴリランダー</t>
  </si>
  <si>
    <t>Gorythmic</t>
  </si>
  <si>
    <t>Gortrom</t>
  </si>
  <si>
    <t>고릴타</t>
  </si>
  <si>
    <t>轟擂金剛猩</t>
  </si>
  <si>
    <t>Scorbunny</t>
  </si>
  <si>
    <t>ヒバニー</t>
  </si>
  <si>
    <t>Flambino</t>
  </si>
  <si>
    <t>Hopplo</t>
  </si>
  <si>
    <t>염버니</t>
  </si>
  <si>
    <t>炎兔兒</t>
  </si>
  <si>
    <t>Raboot</t>
  </si>
  <si>
    <t>ラビフット</t>
  </si>
  <si>
    <t>Lapyro</t>
  </si>
  <si>
    <t>Kickerlo</t>
  </si>
  <si>
    <t>래비풋</t>
  </si>
  <si>
    <t>騰蹴小將</t>
  </si>
  <si>
    <t>Cinderace</t>
  </si>
  <si>
    <t>エースバーン</t>
  </si>
  <si>
    <t>Pyrobut</t>
  </si>
  <si>
    <t>Liberlo</t>
  </si>
  <si>
    <t>에이스번</t>
  </si>
  <si>
    <t>閃焰王牌</t>
  </si>
  <si>
    <t>Sobble</t>
  </si>
  <si>
    <t>メッソン</t>
  </si>
  <si>
    <t>Larméléon</t>
  </si>
  <si>
    <t>Memmeon</t>
  </si>
  <si>
    <t>울머기</t>
  </si>
  <si>
    <t>淚眼蜥</t>
  </si>
  <si>
    <t>Drizzile</t>
  </si>
  <si>
    <t>ジメレオン</t>
  </si>
  <si>
    <t>Arrozard</t>
  </si>
  <si>
    <t>Phlegleon</t>
  </si>
  <si>
    <t>누겔레온</t>
  </si>
  <si>
    <t>變澀蜥</t>
  </si>
  <si>
    <t>Inteleon</t>
  </si>
  <si>
    <t>インテレオン</t>
  </si>
  <si>
    <t>Lézargus</t>
  </si>
  <si>
    <t>Intelleon</t>
  </si>
  <si>
    <t>인텔리레온</t>
  </si>
  <si>
    <t>千面避役</t>
  </si>
  <si>
    <t>Skowvet</t>
  </si>
  <si>
    <t>ホシガリス</t>
  </si>
  <si>
    <t>Rongourmand</t>
  </si>
  <si>
    <t>Raffel</t>
  </si>
  <si>
    <t>탐리스</t>
  </si>
  <si>
    <t>貪心栗鼠</t>
  </si>
  <si>
    <t>Greedent</t>
  </si>
  <si>
    <t>ヨクバリス</t>
  </si>
  <si>
    <t>Rongrigou</t>
  </si>
  <si>
    <t>Schlaraffel</t>
  </si>
  <si>
    <t>요씽리스</t>
  </si>
  <si>
    <t>藏飽栗鼠</t>
  </si>
  <si>
    <t>Rookidee</t>
  </si>
  <si>
    <t>ココガラ</t>
  </si>
  <si>
    <t>Minisange</t>
  </si>
  <si>
    <t>Meikro</t>
  </si>
  <si>
    <t>파라꼬</t>
  </si>
  <si>
    <t>稚山雀</t>
  </si>
  <si>
    <t>Corvisquire</t>
  </si>
  <si>
    <t>アオガラス</t>
  </si>
  <si>
    <t>Bleuseille</t>
  </si>
  <si>
    <t>Kranoviz</t>
  </si>
  <si>
    <t>파크로우</t>
  </si>
  <si>
    <t>藍鴉</t>
  </si>
  <si>
    <t>Corviknight</t>
  </si>
  <si>
    <t>アーマーガア</t>
  </si>
  <si>
    <t>Corvaillus</t>
  </si>
  <si>
    <t>Krarmor</t>
  </si>
  <si>
    <t>아머까오</t>
  </si>
  <si>
    <t>鋼鎧鴉</t>
  </si>
  <si>
    <t>Blipbug</t>
  </si>
  <si>
    <t>サッチミシ</t>
  </si>
  <si>
    <t>Larvadar</t>
  </si>
  <si>
    <t>Sensect</t>
  </si>
  <si>
    <t>두루지벌레</t>
  </si>
  <si>
    <t>索偵蟲</t>
  </si>
  <si>
    <t>Dottler</t>
  </si>
  <si>
    <t>レドームシ</t>
  </si>
  <si>
    <t>Coléodôme</t>
  </si>
  <si>
    <t>Keradar</t>
  </si>
  <si>
    <t>레돔벌레</t>
  </si>
  <si>
    <t>天罩蟲</t>
  </si>
  <si>
    <t>Orbeetle</t>
  </si>
  <si>
    <t>イオルブ</t>
  </si>
  <si>
    <t>Astronelle</t>
  </si>
  <si>
    <t>Maritellit</t>
  </si>
  <si>
    <t>이올브</t>
  </si>
  <si>
    <t>以歐路普</t>
  </si>
  <si>
    <t>Nickit</t>
  </si>
  <si>
    <t>クスネ</t>
  </si>
  <si>
    <t>Goupilou</t>
  </si>
  <si>
    <t>Kleptifux</t>
  </si>
  <si>
    <t>훔처우</t>
  </si>
  <si>
    <t>偷兒狐</t>
  </si>
  <si>
    <t>狡小狐</t>
  </si>
  <si>
    <t>Thievul</t>
  </si>
  <si>
    <t>フォクスライ</t>
  </si>
  <si>
    <t>Roublenard</t>
  </si>
  <si>
    <t>Gaunux</t>
  </si>
  <si>
    <t>폭슬라이</t>
  </si>
  <si>
    <t>狐大盜</t>
  </si>
  <si>
    <t>猾大狐</t>
  </si>
  <si>
    <t>Gossifleur</t>
  </si>
  <si>
    <t>ヒメンカ</t>
  </si>
  <si>
    <t>Tournicoton</t>
  </si>
  <si>
    <t>Cottini</t>
  </si>
  <si>
    <t>꼬모카</t>
  </si>
  <si>
    <t>幼棉棉</t>
  </si>
  <si>
    <t>Eldegoss</t>
  </si>
  <si>
    <t>ワタシラガ</t>
  </si>
  <si>
    <t>Blancoton</t>
  </si>
  <si>
    <t>Cottomi</t>
  </si>
  <si>
    <t>백솜모카</t>
  </si>
  <si>
    <t>白蓬蓬</t>
  </si>
  <si>
    <t>Wooloo</t>
  </si>
  <si>
    <t>ウールー</t>
  </si>
  <si>
    <t>Moumouton</t>
  </si>
  <si>
    <t>Wolly</t>
  </si>
  <si>
    <t>우르</t>
  </si>
  <si>
    <t>毛辮羊</t>
  </si>
  <si>
    <t>Dubwool</t>
  </si>
  <si>
    <t>バイウールー</t>
  </si>
  <si>
    <t>Moumouflon</t>
  </si>
  <si>
    <t>Zwollock</t>
  </si>
  <si>
    <t>배우르</t>
  </si>
  <si>
    <t>毛毛角羊</t>
  </si>
  <si>
    <t>Chewtle</t>
  </si>
  <si>
    <t>カムカメ</t>
  </si>
  <si>
    <t>Khélocrok</t>
  </si>
  <si>
    <t>Kamehaps</t>
  </si>
  <si>
    <t>깨물부기</t>
  </si>
  <si>
    <t>咬咬龜</t>
  </si>
  <si>
    <t>Drednaw</t>
  </si>
  <si>
    <t>カジリガメ</t>
  </si>
  <si>
    <t>Torgamord</t>
  </si>
  <si>
    <t>Kamalm</t>
  </si>
  <si>
    <t>갈가부기</t>
  </si>
  <si>
    <t>暴噬龜</t>
  </si>
  <si>
    <t>Yamper</t>
  </si>
  <si>
    <t>ワンパチ</t>
  </si>
  <si>
    <t>Voltoutou</t>
  </si>
  <si>
    <t>Voldi</t>
  </si>
  <si>
    <t>멍파치</t>
  </si>
  <si>
    <t>來電汪</t>
  </si>
  <si>
    <t>Boltund</t>
  </si>
  <si>
    <t>パルスワン</t>
  </si>
  <si>
    <t>Fulgudog</t>
  </si>
  <si>
    <t>Bellektro</t>
  </si>
  <si>
    <t>펄스멍</t>
  </si>
  <si>
    <t>逐電犬</t>
  </si>
  <si>
    <t>Rolycoly</t>
  </si>
  <si>
    <t>タンドン</t>
  </si>
  <si>
    <t>Charbi</t>
  </si>
  <si>
    <t>Klonkette</t>
  </si>
  <si>
    <t>탄동</t>
  </si>
  <si>
    <t>小炭仔</t>
  </si>
  <si>
    <t>Carkol</t>
  </si>
  <si>
    <t>トロッゴン</t>
  </si>
  <si>
    <t>Wagomine</t>
  </si>
  <si>
    <t>Wagong</t>
  </si>
  <si>
    <t>탄차곤</t>
  </si>
  <si>
    <t>大炭車</t>
  </si>
  <si>
    <t>Coalossal</t>
  </si>
  <si>
    <t>セキタンザン</t>
  </si>
  <si>
    <t>Monthracite</t>
  </si>
  <si>
    <t>Montecarbo</t>
  </si>
  <si>
    <t>석탄산</t>
  </si>
  <si>
    <t>巨炭山</t>
  </si>
  <si>
    <t>Applin</t>
  </si>
  <si>
    <t>カジッチュ</t>
  </si>
  <si>
    <t>Verpom</t>
  </si>
  <si>
    <t>Knapfel</t>
  </si>
  <si>
    <t>과사삭벌레</t>
  </si>
  <si>
    <t>啃果蟲</t>
  </si>
  <si>
    <t>Flapple</t>
  </si>
  <si>
    <t>アップリュー</t>
  </si>
  <si>
    <t>Pomdrapi</t>
  </si>
  <si>
    <t>Drapfel</t>
  </si>
  <si>
    <t>애프룡</t>
  </si>
  <si>
    <t>蘋裹龍</t>
  </si>
  <si>
    <t>Appletun</t>
  </si>
  <si>
    <t>タルップル</t>
  </si>
  <si>
    <t>Dratatin</t>
  </si>
  <si>
    <t>Schlapfel</t>
  </si>
  <si>
    <t>단지래플</t>
  </si>
  <si>
    <t>豐蜜龍</t>
  </si>
  <si>
    <t>Silicobra</t>
  </si>
  <si>
    <t>スナヘビ</t>
  </si>
  <si>
    <t>Dunaja</t>
  </si>
  <si>
    <t>Salanga</t>
  </si>
  <si>
    <t>모래뱀</t>
  </si>
  <si>
    <t>沙包蛇</t>
  </si>
  <si>
    <t>Sandaconda</t>
  </si>
  <si>
    <t>サダイジャ</t>
  </si>
  <si>
    <t>Dunaconda</t>
  </si>
  <si>
    <t>Sanaconda</t>
  </si>
  <si>
    <t>사다이사</t>
  </si>
  <si>
    <t>沙螺蟒</t>
  </si>
  <si>
    <t>Cramorant</t>
  </si>
  <si>
    <t>ウッウ</t>
  </si>
  <si>
    <t>Nigosier</t>
  </si>
  <si>
    <t>Urgl</t>
  </si>
  <si>
    <t>윽우지</t>
  </si>
  <si>
    <t>古月鳥</t>
  </si>
  <si>
    <t>Arrokuda</t>
  </si>
  <si>
    <t>サシカマス</t>
  </si>
  <si>
    <t>Embrochet</t>
  </si>
  <si>
    <t>Pikuda</t>
  </si>
  <si>
    <t>찌로꼬치</t>
  </si>
  <si>
    <t>刺梭魚</t>
  </si>
  <si>
    <t>Barraskewda</t>
  </si>
  <si>
    <t>カマスジョー</t>
  </si>
  <si>
    <t>Hastacuda</t>
  </si>
  <si>
    <t>Barrakiefa</t>
  </si>
  <si>
    <t>꼬치조</t>
  </si>
  <si>
    <t>戽斗尖梭</t>
  </si>
  <si>
    <t>Toxel</t>
  </si>
  <si>
    <t>エレゼン</t>
  </si>
  <si>
    <t>Toxizap</t>
  </si>
  <si>
    <t>일레즌</t>
  </si>
  <si>
    <t>毒電嬰</t>
  </si>
  <si>
    <t>电音婴</t>
  </si>
  <si>
    <t>Toxtricity</t>
  </si>
  <si>
    <t>ストリンダー</t>
  </si>
  <si>
    <t>Salarsen</t>
  </si>
  <si>
    <t>Riffex</t>
  </si>
  <si>
    <t>스트린더</t>
  </si>
  <si>
    <t>顫弦蠑螈</t>
  </si>
  <si>
    <t>Sizzlipede</t>
  </si>
  <si>
    <t>ヤクデ</t>
  </si>
  <si>
    <t>Grillepattes</t>
  </si>
  <si>
    <t>Thermopod</t>
  </si>
  <si>
    <t>태우지네</t>
  </si>
  <si>
    <t>燒火蚣</t>
  </si>
  <si>
    <t>Centiskorch</t>
  </si>
  <si>
    <t>マルヤクデ</t>
  </si>
  <si>
    <t>Scolocendre</t>
  </si>
  <si>
    <t>Infernopod</t>
  </si>
  <si>
    <t>다태우지네</t>
  </si>
  <si>
    <t>焚焰蚣</t>
  </si>
  <si>
    <t>Clobbopus</t>
  </si>
  <si>
    <t>タタッコ</t>
  </si>
  <si>
    <t>Poulpaf</t>
  </si>
  <si>
    <t>Klopptopus</t>
  </si>
  <si>
    <t>때때무노</t>
  </si>
  <si>
    <t>拳拳蛸</t>
  </si>
  <si>
    <t>Grapploct</t>
  </si>
  <si>
    <t>オトスパス</t>
  </si>
  <si>
    <t>Krakos</t>
  </si>
  <si>
    <t>Kaocto</t>
  </si>
  <si>
    <t>케오퍼스</t>
  </si>
  <si>
    <t>八爪武師</t>
  </si>
  <si>
    <t>Sinistea</t>
  </si>
  <si>
    <t>ヤバチャ</t>
  </si>
  <si>
    <t>Théffroi</t>
  </si>
  <si>
    <t>Fatalitee</t>
  </si>
  <si>
    <t>데인차</t>
  </si>
  <si>
    <t>來悲茶</t>
  </si>
  <si>
    <t>Polteageist</t>
  </si>
  <si>
    <t>ポットデス</t>
  </si>
  <si>
    <t>Polthégeist</t>
  </si>
  <si>
    <t>Mortipot</t>
  </si>
  <si>
    <t>포트데스</t>
  </si>
  <si>
    <t>怖思壺</t>
  </si>
  <si>
    <t>Hatenna</t>
  </si>
  <si>
    <t>ミブリム</t>
  </si>
  <si>
    <t>Bibichut</t>
  </si>
  <si>
    <t>Brimova</t>
  </si>
  <si>
    <t>몸지브림</t>
  </si>
  <si>
    <t>迷布莉姆</t>
  </si>
  <si>
    <t>Hattrem</t>
  </si>
  <si>
    <t>テブリム</t>
  </si>
  <si>
    <t>Chapotus</t>
  </si>
  <si>
    <t>Brimano</t>
  </si>
  <si>
    <t>손지브림</t>
  </si>
  <si>
    <t>提布莉姆</t>
  </si>
  <si>
    <t>Hatterene</t>
  </si>
  <si>
    <t>ブリムオン</t>
  </si>
  <si>
    <t>Sorcilence</t>
  </si>
  <si>
    <t>Silembrim</t>
  </si>
  <si>
    <t>브리무음</t>
  </si>
  <si>
    <t>布莉姆溫</t>
  </si>
  <si>
    <t>Impidimp</t>
  </si>
  <si>
    <t>ベロバー</t>
  </si>
  <si>
    <t>Grimalin</t>
  </si>
  <si>
    <t>Bähmon</t>
  </si>
  <si>
    <t>메롱꿍</t>
  </si>
  <si>
    <t>搗蛋小妖</t>
  </si>
  <si>
    <t>Morgrem</t>
  </si>
  <si>
    <t>ギモー</t>
  </si>
  <si>
    <t>Fourbelin</t>
  </si>
  <si>
    <t>Pelzebub</t>
  </si>
  <si>
    <t>쏘겨모</t>
  </si>
  <si>
    <t>詐唬魔</t>
  </si>
  <si>
    <t>Grimmsnarl</t>
  </si>
  <si>
    <t>オーロンゲ</t>
  </si>
  <si>
    <t>Angoliath</t>
  </si>
  <si>
    <t>Olangaar</t>
  </si>
  <si>
    <t>오롱털</t>
  </si>
  <si>
    <t>長毛巨魔</t>
  </si>
  <si>
    <t>Obstagoon</t>
  </si>
  <si>
    <t>タチフサグマ</t>
  </si>
  <si>
    <t>Ixon</t>
  </si>
  <si>
    <t>Barrikadax</t>
  </si>
  <si>
    <t>가로막구리</t>
  </si>
  <si>
    <t>堵攔熊</t>
  </si>
  <si>
    <t>Perrserker</t>
  </si>
  <si>
    <t>ニャイキング</t>
  </si>
  <si>
    <t>Berserkatt</t>
  </si>
  <si>
    <t>Mauzinger</t>
  </si>
  <si>
    <t>나이킹</t>
  </si>
  <si>
    <t>喵頭目</t>
  </si>
  <si>
    <t>Cursola</t>
  </si>
  <si>
    <t>サニゴーン</t>
  </si>
  <si>
    <t>Corayôme</t>
  </si>
  <si>
    <t>Gorgasonn</t>
  </si>
  <si>
    <t>산호르곤</t>
  </si>
  <si>
    <t>魔靈珊瑚</t>
  </si>
  <si>
    <t>NAME_PkMn_SIRFETCHD</t>
  </si>
  <si>
    <t>Sirfetch'd</t>
  </si>
  <si>
    <t>ネギガナイト</t>
  </si>
  <si>
    <t>Palarticho</t>
  </si>
  <si>
    <t>Lauchzelot</t>
  </si>
  <si>
    <t>창파나이트</t>
  </si>
  <si>
    <t>蔥遊兵</t>
  </si>
  <si>
    <t>NAME_PkMn_MRRIME</t>
  </si>
  <si>
    <t>Mr. Rime</t>
  </si>
  <si>
    <t>バリコオル</t>
  </si>
  <si>
    <t>M. Glaquette</t>
  </si>
  <si>
    <t>Pantifrost</t>
  </si>
  <si>
    <t>마임꽁꽁</t>
  </si>
  <si>
    <t>踏冰人偶</t>
  </si>
  <si>
    <t>Runerigus</t>
  </si>
  <si>
    <t>デスバーン</t>
  </si>
  <si>
    <t>Tutétékri</t>
  </si>
  <si>
    <t>Oghnatoll</t>
  </si>
  <si>
    <t>데스판</t>
  </si>
  <si>
    <t>死神板</t>
  </si>
  <si>
    <t>迭失板</t>
  </si>
  <si>
    <t>Milcery</t>
  </si>
  <si>
    <t>マホミル</t>
  </si>
  <si>
    <t>Crèmy</t>
  </si>
  <si>
    <t>Hokumil</t>
  </si>
  <si>
    <t>마빌크</t>
  </si>
  <si>
    <t>小仙奶</t>
  </si>
  <si>
    <t>Alcremie</t>
  </si>
  <si>
    <t>マホイップ</t>
  </si>
  <si>
    <t>Charmilly</t>
  </si>
  <si>
    <t>Pokusan</t>
  </si>
  <si>
    <t>마휘핑</t>
  </si>
  <si>
    <t>霜奶仙</t>
  </si>
  <si>
    <t>Falinks</t>
  </si>
  <si>
    <t>タイレーツ</t>
  </si>
  <si>
    <t>Hexadron</t>
  </si>
  <si>
    <t>Legios</t>
  </si>
  <si>
    <t>대여르</t>
  </si>
  <si>
    <t>列陣兵</t>
  </si>
  <si>
    <t>Pinchurchin</t>
  </si>
  <si>
    <t>バチンウニ</t>
  </si>
  <si>
    <t>Wattapik</t>
  </si>
  <si>
    <t>Britzigel</t>
  </si>
  <si>
    <t>찌르성게</t>
  </si>
  <si>
    <t>啪嚓海膽</t>
  </si>
  <si>
    <t>Snom</t>
  </si>
  <si>
    <t>ユキハミ</t>
  </si>
  <si>
    <t>Frissonille</t>
  </si>
  <si>
    <t>누니머기</t>
  </si>
  <si>
    <t>雪吞蟲</t>
  </si>
  <si>
    <t>Frosmoth</t>
  </si>
  <si>
    <t>モスノウ</t>
  </si>
  <si>
    <t>Beldeneige</t>
  </si>
  <si>
    <t>Mottineva</t>
  </si>
  <si>
    <t>모스노우</t>
  </si>
  <si>
    <t>雪絨蛾</t>
  </si>
  <si>
    <t>Stonjourner</t>
  </si>
  <si>
    <t>イシヘンジン</t>
  </si>
  <si>
    <t>Dolman</t>
  </si>
  <si>
    <t>Humanolith</t>
  </si>
  <si>
    <t>돌헨진</t>
  </si>
  <si>
    <t>巨石丁</t>
  </si>
  <si>
    <t>Eiscue</t>
  </si>
  <si>
    <t>コオリッポ</t>
  </si>
  <si>
    <t>Bekaglaçon</t>
  </si>
  <si>
    <t>Kubuin</t>
  </si>
  <si>
    <t>빙큐보</t>
  </si>
  <si>
    <t>冰砌鵝</t>
  </si>
  <si>
    <t>Indeedee</t>
  </si>
  <si>
    <t>イエッサン</t>
  </si>
  <si>
    <t>Wimessir</t>
  </si>
  <si>
    <t>Servol</t>
  </si>
  <si>
    <t>에써르</t>
  </si>
  <si>
    <t>愛管侍</t>
  </si>
  <si>
    <t>Morpeko</t>
  </si>
  <si>
    <t>モモルペコ</t>
  </si>
  <si>
    <t>모르페코</t>
  </si>
  <si>
    <t>莫魯貝可</t>
  </si>
  <si>
    <t>Cufant</t>
  </si>
  <si>
    <t>ゾウドウ</t>
  </si>
  <si>
    <t>Charibari</t>
  </si>
  <si>
    <t>Kupfanti</t>
  </si>
  <si>
    <t>끼리동</t>
  </si>
  <si>
    <t>銅象</t>
  </si>
  <si>
    <t>Copperajah</t>
  </si>
  <si>
    <t>ダイオウドウ</t>
  </si>
  <si>
    <t>Pachyradjah</t>
  </si>
  <si>
    <t>Patinaraja</t>
  </si>
  <si>
    <t>대왕끼리동</t>
  </si>
  <si>
    <t>大王銅象</t>
  </si>
  <si>
    <t>Dracozolt</t>
  </si>
  <si>
    <t>パッチラゴン</t>
  </si>
  <si>
    <t>Galvagon</t>
  </si>
  <si>
    <t>Lectragon</t>
  </si>
  <si>
    <t>파치래곤</t>
  </si>
  <si>
    <t>雷鳥龍</t>
  </si>
  <si>
    <t>Arctozolt</t>
  </si>
  <si>
    <t>パッチルドン</t>
  </si>
  <si>
    <t>Galvagla</t>
  </si>
  <si>
    <t>Lecryodon</t>
  </si>
  <si>
    <t>파치르돈</t>
  </si>
  <si>
    <t>雷鳥海獸</t>
  </si>
  <si>
    <t>Dracovish</t>
  </si>
  <si>
    <t>ウオノラゴン</t>
  </si>
  <si>
    <t>Hydragon</t>
  </si>
  <si>
    <t>Pescragon</t>
  </si>
  <si>
    <t>어래곤</t>
  </si>
  <si>
    <t>鰓魚龍</t>
  </si>
  <si>
    <t>Arctovish</t>
  </si>
  <si>
    <t>ウオノルドン</t>
  </si>
  <si>
    <t>Hydragla</t>
  </si>
  <si>
    <t>Pescryodon</t>
  </si>
  <si>
    <t>어치르돈</t>
  </si>
  <si>
    <t>鰓魚海獸</t>
  </si>
  <si>
    <t>Duraludon</t>
  </si>
  <si>
    <t>ジュラルドン</t>
  </si>
  <si>
    <t>Duralugon</t>
  </si>
  <si>
    <t>두랄루돈</t>
  </si>
  <si>
    <t>鋁鋼龍</t>
  </si>
  <si>
    <t>Dreepy</t>
  </si>
  <si>
    <t>ドラメシヤ</t>
  </si>
  <si>
    <t>Fantyrm</t>
  </si>
  <si>
    <t>Grolldra</t>
  </si>
  <si>
    <t>드라꼰</t>
  </si>
  <si>
    <t>多龍梅西亞</t>
  </si>
  <si>
    <t>Drakloak</t>
  </si>
  <si>
    <t>ドロンチ</t>
  </si>
  <si>
    <t>Dispareptil</t>
  </si>
  <si>
    <t>Phandra</t>
  </si>
  <si>
    <t>드래런치</t>
  </si>
  <si>
    <t>多龍奇</t>
  </si>
  <si>
    <t>Dragapult</t>
  </si>
  <si>
    <t>ドラパルト</t>
  </si>
  <si>
    <t>Lanssorien</t>
  </si>
  <si>
    <t>Katapuldra</t>
  </si>
  <si>
    <t>드래펄트</t>
  </si>
  <si>
    <t>多龍巴魯托</t>
  </si>
  <si>
    <t>Zacian</t>
  </si>
  <si>
    <t>ザシアン</t>
  </si>
  <si>
    <t>자시안</t>
  </si>
  <si>
    <t>蒼響</t>
  </si>
  <si>
    <t>Zamazanta</t>
  </si>
  <si>
    <t>ザマゼンタ</t>
  </si>
  <si>
    <t>자마젠타</t>
  </si>
  <si>
    <t>藏瑪然特</t>
  </si>
  <si>
    <t>Eternatus</t>
  </si>
  <si>
    <t>ムゲンダイナ</t>
  </si>
  <si>
    <t>Éthernatos</t>
  </si>
  <si>
    <t>Endynalos</t>
  </si>
  <si>
    <t>무한다이노</t>
  </si>
  <si>
    <t>無極汰那</t>
  </si>
  <si>
    <t>Kubfu</t>
  </si>
  <si>
    <t>ダクマ</t>
  </si>
  <si>
    <t>Wushours</t>
  </si>
  <si>
    <t>Dakuma</t>
  </si>
  <si>
    <t>치고마</t>
  </si>
  <si>
    <t>熊徒弟</t>
  </si>
  <si>
    <t>Urshifu</t>
  </si>
  <si>
    <t>ウーラオス</t>
  </si>
  <si>
    <t>Shifours</t>
  </si>
  <si>
    <t>Wulaosu</t>
  </si>
  <si>
    <t>우라오스</t>
  </si>
  <si>
    <t>武道熊師</t>
  </si>
  <si>
    <t>Zarude</t>
  </si>
  <si>
    <t>ザルード</t>
  </si>
  <si>
    <t>자루도</t>
  </si>
  <si>
    <t>薩戮德</t>
  </si>
  <si>
    <t>Regieleki</t>
  </si>
  <si>
    <t>レジイレキ</t>
  </si>
  <si>
    <t>레지에레키</t>
  </si>
  <si>
    <t>雷吉艾勒奇</t>
  </si>
  <si>
    <t>Regidrago</t>
  </si>
  <si>
    <t>レジドラゴ</t>
  </si>
  <si>
    <t>레지드래고</t>
  </si>
  <si>
    <t>雷吉鐸拉戈</t>
  </si>
  <si>
    <t>Glastrier</t>
  </si>
  <si>
    <t>ブラザポス</t>
  </si>
  <si>
    <t>Blizzeval</t>
  </si>
  <si>
    <t>Polaross</t>
  </si>
  <si>
    <t>블리자포스</t>
  </si>
  <si>
    <t>雪暴馬</t>
  </si>
  <si>
    <t>Spectrier</t>
  </si>
  <si>
    <t>ライスポス</t>
  </si>
  <si>
    <t>Spectreval</t>
  </si>
  <si>
    <t>Phantoross</t>
  </si>
  <si>
    <t>레이스포스</t>
  </si>
  <si>
    <t>靈幽馬</t>
  </si>
  <si>
    <t>Calyrex</t>
  </si>
  <si>
    <t>バドレックス</t>
  </si>
  <si>
    <t>Sylveroy</t>
  </si>
  <si>
    <t>Coronospa</t>
  </si>
  <si>
    <t>버드렉스</t>
  </si>
  <si>
    <t>蕾冠王</t>
  </si>
  <si>
    <t>Wyrdeer</t>
  </si>
  <si>
    <t>アヤシシ</t>
  </si>
  <si>
    <t>Cerbyllin</t>
  </si>
  <si>
    <t>Damythir</t>
  </si>
  <si>
    <t>신비록</t>
  </si>
  <si>
    <t>詭角鹿</t>
  </si>
  <si>
    <t>Kleavor</t>
  </si>
  <si>
    <t>バサギリ</t>
  </si>
  <si>
    <t>Hachécateur</t>
  </si>
  <si>
    <t>Axantor</t>
  </si>
  <si>
    <t>사마자르</t>
  </si>
  <si>
    <t>劈斧螳螂</t>
  </si>
  <si>
    <t>Ursaluna</t>
  </si>
  <si>
    <t>ガチグマ</t>
  </si>
  <si>
    <t>Ursaking</t>
  </si>
  <si>
    <t>다투곰</t>
  </si>
  <si>
    <t>月月熊</t>
  </si>
  <si>
    <t>Basculegion</t>
  </si>
  <si>
    <t>イヤイトウ</t>
  </si>
  <si>
    <t>Paragruel</t>
  </si>
  <si>
    <t>Salmagnis</t>
  </si>
  <si>
    <t>대쓰여너</t>
  </si>
  <si>
    <t>幽尾玄魚</t>
  </si>
  <si>
    <t>Sneasler</t>
  </si>
  <si>
    <t>オオニューラ</t>
  </si>
  <si>
    <t>Farfurex</t>
  </si>
  <si>
    <t>Snieboss</t>
  </si>
  <si>
    <t>포푸니크</t>
  </si>
  <si>
    <t>大狃拉</t>
  </si>
  <si>
    <t>Overqwil</t>
  </si>
  <si>
    <t>ハリーマン</t>
  </si>
  <si>
    <t>Qwilpik</t>
  </si>
  <si>
    <t>Myriador</t>
  </si>
  <si>
    <t>장침바루</t>
  </si>
  <si>
    <t>万针鱼</t>
  </si>
  <si>
    <t>Enamorus</t>
  </si>
  <si>
    <t>ラブトロス</t>
  </si>
  <si>
    <t>Amovénus</t>
  </si>
  <si>
    <t>Cupidos</t>
  </si>
  <si>
    <t>러브로스</t>
  </si>
  <si>
    <t>眷恋云</t>
  </si>
  <si>
    <t>Sprigatito</t>
  </si>
  <si>
    <t>ニャオハ</t>
  </si>
  <si>
    <t>Poussacha</t>
  </si>
  <si>
    <t>Felori</t>
  </si>
  <si>
    <t>나오하</t>
  </si>
  <si>
    <t>新叶喵</t>
  </si>
  <si>
    <t>Floragato</t>
  </si>
  <si>
    <t>ニャローテ</t>
  </si>
  <si>
    <t>Matourgeon</t>
  </si>
  <si>
    <t>Feliospa</t>
  </si>
  <si>
    <t>나로테</t>
  </si>
  <si>
    <t>蒂蕾喵</t>
  </si>
  <si>
    <t>Meowscarda</t>
  </si>
  <si>
    <t>マスカーニャ</t>
  </si>
  <si>
    <t>Miascarade</t>
  </si>
  <si>
    <t>Maskagato</t>
  </si>
  <si>
    <t>마스카나</t>
  </si>
  <si>
    <t>魔幻假面喵</t>
  </si>
  <si>
    <t>Fuecoco</t>
  </si>
  <si>
    <t>ホゲータ</t>
  </si>
  <si>
    <t>Chochodile</t>
  </si>
  <si>
    <t>Krokel</t>
  </si>
  <si>
    <t>뜨아거</t>
  </si>
  <si>
    <t>呆火鳄</t>
  </si>
  <si>
    <t>Crocalor</t>
  </si>
  <si>
    <t>アチゲータ</t>
  </si>
  <si>
    <t>Crocogril</t>
  </si>
  <si>
    <t>Lokroko</t>
  </si>
  <si>
    <t>악뜨거</t>
  </si>
  <si>
    <t>炙烫鳄</t>
  </si>
  <si>
    <t>Skeledirge</t>
  </si>
  <si>
    <t>ラウドボーン</t>
  </si>
  <si>
    <t>Flâmigator</t>
  </si>
  <si>
    <t>Skelokrok</t>
  </si>
  <si>
    <t>라우드본</t>
  </si>
  <si>
    <t>骨纹巨声鳄</t>
  </si>
  <si>
    <t>Quaxly</t>
  </si>
  <si>
    <t>クワッス</t>
  </si>
  <si>
    <t>Coiffeton</t>
  </si>
  <si>
    <t>Kwaks</t>
  </si>
  <si>
    <t>꾸왁스</t>
  </si>
  <si>
    <t>润水鸭</t>
  </si>
  <si>
    <t>Quaxwell</t>
  </si>
  <si>
    <t>ウェルカモ</t>
  </si>
  <si>
    <t>Canarbello</t>
  </si>
  <si>
    <t>Fuentente</t>
  </si>
  <si>
    <t>아꾸왁</t>
  </si>
  <si>
    <t>涌跃鸭</t>
  </si>
  <si>
    <t>Quaquavel</t>
  </si>
  <si>
    <t>ウェーニバル</t>
  </si>
  <si>
    <t>Palmaval</t>
  </si>
  <si>
    <t>Bailonda</t>
  </si>
  <si>
    <t>웨이니발</t>
  </si>
  <si>
    <t>狂欢浪舞鸭</t>
  </si>
  <si>
    <t>Lechonk</t>
  </si>
  <si>
    <t>グルトン</t>
  </si>
  <si>
    <t>Gourmelet</t>
  </si>
  <si>
    <t>Ferkuli</t>
  </si>
  <si>
    <t>맛보돈</t>
  </si>
  <si>
    <t>爱吃豚</t>
  </si>
  <si>
    <t>Oinkologne</t>
  </si>
  <si>
    <t>パフュートン</t>
  </si>
  <si>
    <t>Fragroin</t>
  </si>
  <si>
    <t>Fragrunz</t>
  </si>
  <si>
    <t>퍼퓨돈</t>
  </si>
  <si>
    <t>飘香豚</t>
  </si>
  <si>
    <t>Tarountula</t>
  </si>
  <si>
    <t>タマンチュラ</t>
  </si>
  <si>
    <t>Tissenboule</t>
  </si>
  <si>
    <t>Tarundel</t>
  </si>
  <si>
    <t>타랜툴라</t>
  </si>
  <si>
    <t>团珠蛛</t>
  </si>
  <si>
    <t>Spidops</t>
  </si>
  <si>
    <t>ワナイダー</t>
  </si>
  <si>
    <t>Filentrappe</t>
  </si>
  <si>
    <t>Spinsidias</t>
  </si>
  <si>
    <t>트래피더</t>
  </si>
  <si>
    <t>操陷蛛</t>
  </si>
  <si>
    <t>Nymble</t>
  </si>
  <si>
    <t>マメバッタ</t>
  </si>
  <si>
    <t>Lilliterelle</t>
  </si>
  <si>
    <t>Micrick</t>
  </si>
  <si>
    <t>콩알뚜기</t>
  </si>
  <si>
    <t>豆蟋蟀</t>
  </si>
  <si>
    <t>Lokix</t>
  </si>
  <si>
    <t>エクスレッグ</t>
  </si>
  <si>
    <t>Gamblex</t>
  </si>
  <si>
    <t>Lextremo</t>
  </si>
  <si>
    <t>엑스레그</t>
  </si>
  <si>
    <t>烈腿蝗</t>
  </si>
  <si>
    <t>Pawmi</t>
  </si>
  <si>
    <t>パモ</t>
  </si>
  <si>
    <t>Pohm</t>
  </si>
  <si>
    <t>Pamo</t>
  </si>
  <si>
    <t>빠모</t>
  </si>
  <si>
    <t>布拨</t>
  </si>
  <si>
    <t>Pawmo</t>
  </si>
  <si>
    <t>Pamamo</t>
  </si>
  <si>
    <t>布土拨</t>
  </si>
  <si>
    <t>Pawmot</t>
  </si>
  <si>
    <t>パーモット</t>
  </si>
  <si>
    <t>빠르모트</t>
  </si>
  <si>
    <t>巴布土拨</t>
  </si>
  <si>
    <t>Tandemaus</t>
  </si>
  <si>
    <t>ワッカネズミ</t>
  </si>
  <si>
    <t>Compagnol</t>
  </si>
  <si>
    <t>Zwieps</t>
  </si>
  <si>
    <t>두리쥐</t>
  </si>
  <si>
    <t>一对鼠</t>
  </si>
  <si>
    <t>Maushold</t>
  </si>
  <si>
    <t>イッカネズミ</t>
  </si>
  <si>
    <t>Famignol</t>
  </si>
  <si>
    <t>Famieps</t>
  </si>
  <si>
    <t>파밀리쥐</t>
  </si>
  <si>
    <t>一家鼠</t>
  </si>
  <si>
    <t>Fidough</t>
  </si>
  <si>
    <t>パピモッチ</t>
  </si>
  <si>
    <t>Pâtachiot</t>
  </si>
  <si>
    <t>Hefel</t>
  </si>
  <si>
    <t>쫀도기</t>
  </si>
  <si>
    <t>狗仔包</t>
  </si>
  <si>
    <t>Dachsbun</t>
  </si>
  <si>
    <t>バウッツエル</t>
  </si>
  <si>
    <t>Briochien</t>
  </si>
  <si>
    <t>Backel</t>
  </si>
  <si>
    <t>바우첼</t>
  </si>
  <si>
    <t>麻花犬</t>
  </si>
  <si>
    <t>Smoliv</t>
  </si>
  <si>
    <t>ミニーブ</t>
  </si>
  <si>
    <t>Olivini</t>
  </si>
  <si>
    <t>Olini</t>
  </si>
  <si>
    <t>미니브</t>
  </si>
  <si>
    <t>迷你芙</t>
  </si>
  <si>
    <t>Dolliv</t>
  </si>
  <si>
    <t>オリーニョ</t>
  </si>
  <si>
    <t>Olivado</t>
  </si>
  <si>
    <t>Olivinio</t>
  </si>
  <si>
    <t>올리뇨</t>
  </si>
  <si>
    <t>奥利纽</t>
  </si>
  <si>
    <t>Arboliva</t>
  </si>
  <si>
    <t>オリーヴァ</t>
  </si>
  <si>
    <t>Olithena</t>
  </si>
  <si>
    <t>올리르바</t>
  </si>
  <si>
    <t>奥利瓦</t>
  </si>
  <si>
    <t>Squawkabilly</t>
  </si>
  <si>
    <t>イキリンコ</t>
  </si>
  <si>
    <t>Tapatoès</t>
  </si>
  <si>
    <t>Krawalloro</t>
  </si>
  <si>
    <t>시비꼬</t>
  </si>
  <si>
    <t>怒鹦哥</t>
  </si>
  <si>
    <t>Nacli</t>
  </si>
  <si>
    <t>コジオ</t>
  </si>
  <si>
    <t>Selutin</t>
  </si>
  <si>
    <t>Geosali</t>
  </si>
  <si>
    <t>베베솔트</t>
  </si>
  <si>
    <t>盐石宝</t>
  </si>
  <si>
    <t>Naclstack</t>
  </si>
  <si>
    <t>ジオヅム</t>
  </si>
  <si>
    <t>Amassel</t>
  </si>
  <si>
    <t>Sedisal</t>
  </si>
  <si>
    <t>스태솔트</t>
  </si>
  <si>
    <t>盐石垒</t>
  </si>
  <si>
    <t>Garganacl</t>
  </si>
  <si>
    <t>キョジオーン</t>
  </si>
  <si>
    <t>Gigansel</t>
  </si>
  <si>
    <t>Saltigant</t>
  </si>
  <si>
    <t>콜로솔트</t>
  </si>
  <si>
    <t>盐石巨灵</t>
  </si>
  <si>
    <t>Charcadet</t>
  </si>
  <si>
    <t>カルボウ</t>
  </si>
  <si>
    <t>Charbambin</t>
  </si>
  <si>
    <t>Knarbon</t>
  </si>
  <si>
    <t>카르본</t>
  </si>
  <si>
    <t>炭小侍</t>
  </si>
  <si>
    <t>Armarouge</t>
  </si>
  <si>
    <t>グレンアルマ</t>
  </si>
  <si>
    <t>Carmadura</t>
  </si>
  <si>
    <t>Crimanzo</t>
  </si>
  <si>
    <t>카디나르마</t>
  </si>
  <si>
    <t>红莲铠骑</t>
  </si>
  <si>
    <t>Ceruledge</t>
  </si>
  <si>
    <t>ソウブレイズ</t>
  </si>
  <si>
    <t>Malvalame</t>
  </si>
  <si>
    <t>Azugladis</t>
  </si>
  <si>
    <t>파라블레이즈</t>
  </si>
  <si>
    <t>苍炎刃鬼</t>
  </si>
  <si>
    <t>Tadbulb</t>
  </si>
  <si>
    <t>ズピカ</t>
  </si>
  <si>
    <t>Têtampoule</t>
  </si>
  <si>
    <t>Blipp</t>
  </si>
  <si>
    <t>빈나두</t>
  </si>
  <si>
    <t>光蚪仔</t>
  </si>
  <si>
    <t>Bellibolt</t>
  </si>
  <si>
    <t>ハラバリー</t>
  </si>
  <si>
    <t>Ampibidou</t>
  </si>
  <si>
    <t>Wampitz</t>
  </si>
  <si>
    <t>찌리배리</t>
  </si>
  <si>
    <t>电肚蛙</t>
  </si>
  <si>
    <t>Wattrel</t>
  </si>
  <si>
    <t>カイデン</t>
  </si>
  <si>
    <t>Zapétrel</t>
  </si>
  <si>
    <t>Voltrel</t>
  </si>
  <si>
    <t>찌리비</t>
  </si>
  <si>
    <t>电海燕</t>
  </si>
  <si>
    <t>Kilowattrel</t>
  </si>
  <si>
    <t>Fulgulairo</t>
  </si>
  <si>
    <t>Voltrean</t>
  </si>
  <si>
    <t>大电海燕</t>
  </si>
  <si>
    <t>Maschiff</t>
  </si>
  <si>
    <t>オラチフ</t>
  </si>
  <si>
    <t>Grondogue</t>
  </si>
  <si>
    <t>Mobtiff</t>
  </si>
  <si>
    <t>오라티프</t>
  </si>
  <si>
    <t>偶叫獒</t>
  </si>
  <si>
    <t>Mabosstiff</t>
  </si>
  <si>
    <t>マフィティフ</t>
  </si>
  <si>
    <t>Dogrino</t>
  </si>
  <si>
    <t>Mastifioso</t>
  </si>
  <si>
    <t>마피티프</t>
  </si>
  <si>
    <t>獒教父</t>
  </si>
  <si>
    <t>Shroodle</t>
  </si>
  <si>
    <t>シルシュルー</t>
  </si>
  <si>
    <t>Gribouraigne</t>
  </si>
  <si>
    <t>Sproxi</t>
  </si>
  <si>
    <t>땃쭈르</t>
  </si>
  <si>
    <t>滋汁鼹</t>
  </si>
  <si>
    <t>Grafaiai</t>
  </si>
  <si>
    <t>タギングル</t>
  </si>
  <si>
    <t>Tag-Tag</t>
  </si>
  <si>
    <t>Affiti</t>
  </si>
  <si>
    <t>태깅구르</t>
  </si>
  <si>
    <t>涂标客</t>
  </si>
  <si>
    <t>Bramblin</t>
  </si>
  <si>
    <t>アノクサ</t>
  </si>
  <si>
    <t>Virovent</t>
  </si>
  <si>
    <t>Weherba</t>
  </si>
  <si>
    <t>그푸리</t>
  </si>
  <si>
    <t>纳噬草</t>
  </si>
  <si>
    <t>Brambleghast</t>
  </si>
  <si>
    <t>アノホラグサ</t>
  </si>
  <si>
    <t>Virevorreur</t>
  </si>
  <si>
    <t>Horrerba</t>
  </si>
  <si>
    <t>공푸리</t>
  </si>
  <si>
    <t>怖纳噬草</t>
  </si>
  <si>
    <t>Toedscool</t>
  </si>
  <si>
    <t>ノノクラゲ</t>
  </si>
  <si>
    <t>Terracool</t>
  </si>
  <si>
    <t>Tentagra</t>
  </si>
  <si>
    <t>들눈해</t>
  </si>
  <si>
    <t>原野水母</t>
  </si>
  <si>
    <t>Toadscruel</t>
  </si>
  <si>
    <t>リククラゲ</t>
  </si>
  <si>
    <t>Terracruel</t>
  </si>
  <si>
    <t>Tenterra</t>
  </si>
  <si>
    <t>육파리</t>
  </si>
  <si>
    <t>陆地水母</t>
  </si>
  <si>
    <t>Klawf</t>
  </si>
  <si>
    <t>ガケガニ</t>
  </si>
  <si>
    <t>Craparoi</t>
  </si>
  <si>
    <t>Klibbe</t>
  </si>
  <si>
    <t>절벼게</t>
  </si>
  <si>
    <t>毛崖蟹</t>
  </si>
  <si>
    <t>Capsakid</t>
  </si>
  <si>
    <t>カプサイジ</t>
  </si>
  <si>
    <t>Pimito</t>
  </si>
  <si>
    <t>Chilingel</t>
  </si>
  <si>
    <t>캡싸이</t>
  </si>
  <si>
    <t>热辣娃</t>
  </si>
  <si>
    <t>Scovillain</t>
  </si>
  <si>
    <t>スコヴィラン</t>
  </si>
  <si>
    <t>Scovilain</t>
  </si>
  <si>
    <t>Halupenjo</t>
  </si>
  <si>
    <t>스코빌런</t>
  </si>
  <si>
    <t>狠辣椒</t>
  </si>
  <si>
    <t>Rellor</t>
  </si>
  <si>
    <t>シガロコ</t>
  </si>
  <si>
    <t>Léboulérou</t>
  </si>
  <si>
    <t>Relluk</t>
  </si>
  <si>
    <t>구르데</t>
  </si>
  <si>
    <t>虫滚泥</t>
  </si>
  <si>
    <t>Rabsca</t>
  </si>
  <si>
    <t>ベラカス</t>
  </si>
  <si>
    <t>Bérasca</t>
  </si>
  <si>
    <t>Skarabaks</t>
  </si>
  <si>
    <t>베라카스</t>
  </si>
  <si>
    <t>虫甲圣</t>
  </si>
  <si>
    <t>Flittle</t>
  </si>
  <si>
    <t>ヒラヒナ</t>
  </si>
  <si>
    <t>Flotillon</t>
  </si>
  <si>
    <t>Flattutu</t>
  </si>
  <si>
    <t>하느라기</t>
  </si>
  <si>
    <t>飘飘雏</t>
  </si>
  <si>
    <t>Espathra</t>
  </si>
  <si>
    <t>クエスパトラ</t>
  </si>
  <si>
    <t>Cléopsytra</t>
  </si>
  <si>
    <t>Psiopatra</t>
  </si>
  <si>
    <t>클레스퍼트라</t>
  </si>
  <si>
    <t>超能艳鸵</t>
  </si>
  <si>
    <t>Tinkatink</t>
  </si>
  <si>
    <t>カヌチャン</t>
  </si>
  <si>
    <t>Forgerette</t>
  </si>
  <si>
    <t>Forgita</t>
  </si>
  <si>
    <t>어리짱</t>
  </si>
  <si>
    <t>小锻匠</t>
  </si>
  <si>
    <t>Tinkatuff</t>
  </si>
  <si>
    <t>Forgella</t>
  </si>
  <si>
    <t>벼리짱</t>
  </si>
  <si>
    <t>巧锻匠</t>
  </si>
  <si>
    <t>Tinkaton</t>
  </si>
  <si>
    <t>Forgelina</t>
  </si>
  <si>
    <t>두드리짱</t>
  </si>
  <si>
    <t>巨锻匠</t>
  </si>
  <si>
    <t>Wiglett</t>
  </si>
  <si>
    <t>Taupikeau</t>
  </si>
  <si>
    <t>Schligda</t>
  </si>
  <si>
    <t>바다그다</t>
  </si>
  <si>
    <t>Wugtrio</t>
  </si>
  <si>
    <t>ウミトリオ</t>
  </si>
  <si>
    <t>Triopikeau</t>
  </si>
  <si>
    <t>Schligdri</t>
  </si>
  <si>
    <t>바닥트리오</t>
  </si>
  <si>
    <t>Bombirdier</t>
  </si>
  <si>
    <t>オトシドリ</t>
  </si>
  <si>
    <t>Lestombaile</t>
  </si>
  <si>
    <t>Adebom</t>
  </si>
  <si>
    <t>떨구새</t>
  </si>
  <si>
    <t>下石鸟</t>
  </si>
  <si>
    <t>Finizen</t>
  </si>
  <si>
    <t>ナミイルカ</t>
  </si>
  <si>
    <t>Dofin</t>
  </si>
  <si>
    <t>Normifin</t>
  </si>
  <si>
    <t>맨돌핀</t>
  </si>
  <si>
    <t>波普海豚</t>
  </si>
  <si>
    <t>Palafin</t>
  </si>
  <si>
    <t>イルカマン</t>
  </si>
  <si>
    <t>Superdofin</t>
  </si>
  <si>
    <t>Delfinator</t>
  </si>
  <si>
    <t>돌핀맨</t>
  </si>
  <si>
    <t>海豚侠</t>
  </si>
  <si>
    <t>Varoom</t>
  </si>
  <si>
    <t>ブロロン</t>
  </si>
  <si>
    <t>Vrombi</t>
  </si>
  <si>
    <t>Knattox</t>
  </si>
  <si>
    <t>부르롱</t>
  </si>
  <si>
    <t>噗隆隆</t>
  </si>
  <si>
    <t>Revavroom</t>
  </si>
  <si>
    <t>ブロロローム</t>
  </si>
  <si>
    <t>Vrombotor</t>
  </si>
  <si>
    <t>Knattatox</t>
  </si>
  <si>
    <t>부르르룸</t>
  </si>
  <si>
    <t>普隆隆姆</t>
  </si>
  <si>
    <t>Cyclizar</t>
  </si>
  <si>
    <t>モトトカゲ</t>
  </si>
  <si>
    <t>Motorizard</t>
  </si>
  <si>
    <t>Mopex</t>
  </si>
  <si>
    <t>모토마</t>
  </si>
  <si>
    <t>摩托蜥</t>
  </si>
  <si>
    <t>Orthworm</t>
  </si>
  <si>
    <t>ミミズズ</t>
  </si>
  <si>
    <t>Ferdeter</t>
  </si>
  <si>
    <t>Schlurm</t>
  </si>
  <si>
    <t>꿈트렁</t>
  </si>
  <si>
    <t>拖拖蚓</t>
  </si>
  <si>
    <t>Glimmet</t>
  </si>
  <si>
    <t>キラーメ</t>
  </si>
  <si>
    <t>Germéclat</t>
  </si>
  <si>
    <t>Lumispross</t>
  </si>
  <si>
    <t>초롱순</t>
  </si>
  <si>
    <t>晶光芽</t>
  </si>
  <si>
    <t>Glimmora</t>
  </si>
  <si>
    <t>キラフロル</t>
  </si>
  <si>
    <t>Floréclat</t>
  </si>
  <si>
    <t>Lumiflora</t>
  </si>
  <si>
    <t>킬라플로르</t>
  </si>
  <si>
    <t>晶光花</t>
  </si>
  <si>
    <t>Greavard</t>
  </si>
  <si>
    <t>ボチ</t>
  </si>
  <si>
    <t>Toutombe</t>
  </si>
  <si>
    <t>Gruff</t>
  </si>
  <si>
    <t>망망이</t>
  </si>
  <si>
    <t>墓仔狗</t>
  </si>
  <si>
    <t>Houndstone</t>
  </si>
  <si>
    <t>ハカドッグ</t>
  </si>
  <si>
    <t>Tomberro</t>
  </si>
  <si>
    <t>Friedwuff</t>
  </si>
  <si>
    <t>묘두기</t>
  </si>
  <si>
    <t>墓扬犬</t>
  </si>
  <si>
    <t>Flamigo</t>
  </si>
  <si>
    <t>カラミンゴ</t>
  </si>
  <si>
    <t>Flamenroule</t>
  </si>
  <si>
    <t>Flaminkno</t>
  </si>
  <si>
    <t>꼬이밍고</t>
  </si>
  <si>
    <t>缠红鹤</t>
  </si>
  <si>
    <t>Cetoddle</t>
  </si>
  <si>
    <t>アルクジラ</t>
  </si>
  <si>
    <t>Piétacé</t>
  </si>
  <si>
    <t>Flaniwal</t>
  </si>
  <si>
    <t>터벅고래</t>
  </si>
  <si>
    <t>走鲸</t>
  </si>
  <si>
    <t>Cetitan</t>
  </si>
  <si>
    <t>ハルクジラ</t>
  </si>
  <si>
    <t>Balbalèze</t>
  </si>
  <si>
    <t>Kolowal</t>
  </si>
  <si>
    <t>우락고래</t>
  </si>
  <si>
    <t>浩大鲸</t>
  </si>
  <si>
    <t>Veluza</t>
  </si>
  <si>
    <t>ミミガルーサ</t>
  </si>
  <si>
    <t>Délestin</t>
  </si>
  <si>
    <t>Agiluza</t>
  </si>
  <si>
    <t>가비루사</t>
  </si>
  <si>
    <t>轻身鳕</t>
  </si>
  <si>
    <t>Dondozo</t>
  </si>
  <si>
    <t>ヘイラッシャ</t>
  </si>
  <si>
    <t>Oyacata</t>
  </si>
  <si>
    <t>Heerashai</t>
  </si>
  <si>
    <t>어써러셔</t>
  </si>
  <si>
    <t>吃吼霸</t>
  </si>
  <si>
    <t>Tatsugiri</t>
  </si>
  <si>
    <t>シャリタツ</t>
  </si>
  <si>
    <t>Nigirigon</t>
  </si>
  <si>
    <t>Nigiragi</t>
  </si>
  <si>
    <t>싸리용</t>
  </si>
  <si>
    <t>米立龙</t>
  </si>
  <si>
    <t>Annihilape</t>
  </si>
  <si>
    <t>コノヨザル</t>
  </si>
  <si>
    <t>Courrousinge</t>
  </si>
  <si>
    <t>Epitaff</t>
  </si>
  <si>
    <t>저승갓숭</t>
  </si>
  <si>
    <t>弃世猴</t>
  </si>
  <si>
    <t>Clodsire</t>
  </si>
  <si>
    <t>ドオー</t>
  </si>
  <si>
    <t>Terraiste</t>
  </si>
  <si>
    <t>Suelord</t>
  </si>
  <si>
    <t>토오</t>
  </si>
  <si>
    <t>土王</t>
  </si>
  <si>
    <t>Farigiraf</t>
  </si>
  <si>
    <t>リキキリン</t>
  </si>
  <si>
    <t>키키링</t>
  </si>
  <si>
    <t>奇麒麟</t>
  </si>
  <si>
    <t>Dudunsparce</t>
  </si>
  <si>
    <t>ノココッチ</t>
  </si>
  <si>
    <t>Deusolourdo</t>
  </si>
  <si>
    <t>Dummimisel</t>
  </si>
  <si>
    <t>노고고치</t>
  </si>
  <si>
    <t>土龙节节</t>
  </si>
  <si>
    <t>Kingambit</t>
  </si>
  <si>
    <t>ドドゲザン</t>
  </si>
  <si>
    <t>Gladimperio</t>
  </si>
  <si>
    <t>대도각참</t>
  </si>
  <si>
    <t>仆刀将军</t>
  </si>
  <si>
    <t>Great Tusk</t>
  </si>
  <si>
    <t>イダイナキバ</t>
  </si>
  <si>
    <t>Fort-Ivoire</t>
  </si>
  <si>
    <t>Riesenzahn</t>
  </si>
  <si>
    <t>Colmilargo</t>
  </si>
  <si>
    <t>Grandizanne</t>
  </si>
  <si>
    <t>위대한엄니</t>
  </si>
  <si>
    <t>雄伟牙</t>
  </si>
  <si>
    <t>Scream Tail</t>
  </si>
  <si>
    <t>サケブシッポ</t>
  </si>
  <si>
    <t>Hurle-Queue</t>
  </si>
  <si>
    <t>Brüllschweif</t>
  </si>
  <si>
    <t>Colagrito</t>
  </si>
  <si>
    <t>Crinealato</t>
  </si>
  <si>
    <t>우렁찬꼬리</t>
  </si>
  <si>
    <t>吼叫尾</t>
  </si>
  <si>
    <t>Brute Bonnet</t>
  </si>
  <si>
    <t>アラブルタケ</t>
  </si>
  <si>
    <t>Fongus-Furie</t>
  </si>
  <si>
    <t>Wutpilz</t>
  </si>
  <si>
    <t>Furioseta</t>
  </si>
  <si>
    <t>Fungofurioso</t>
  </si>
  <si>
    <t>사나운버섯</t>
  </si>
  <si>
    <t>猛恶菇</t>
  </si>
  <si>
    <t>Flutter Mane</t>
  </si>
  <si>
    <t>ハバタクカミ</t>
  </si>
  <si>
    <t>Flotte-Mèche</t>
  </si>
  <si>
    <t>Flatterhaar</t>
  </si>
  <si>
    <t>Melenaleto</t>
  </si>
  <si>
    <t>Codaurlante</t>
  </si>
  <si>
    <t>날개치는머리</t>
  </si>
  <si>
    <t>振翼发</t>
  </si>
  <si>
    <t>Slither Wing</t>
  </si>
  <si>
    <t>チヲハウハネ</t>
  </si>
  <si>
    <t>Rampe-Ailes</t>
  </si>
  <si>
    <t>Kriechflügel</t>
  </si>
  <si>
    <t>Reptalada</t>
  </si>
  <si>
    <t>Alirasenti</t>
  </si>
  <si>
    <t>땅을기는날개</t>
  </si>
  <si>
    <t>爬地翅</t>
  </si>
  <si>
    <t>Sandy Shocks</t>
  </si>
  <si>
    <t>スナノケガワ</t>
  </si>
  <si>
    <t>Pelage-Sablé</t>
  </si>
  <si>
    <t>Sandfell</t>
  </si>
  <si>
    <t>Peldisabbia</t>
  </si>
  <si>
    <t>모래털가죽</t>
  </si>
  <si>
    <t>沙铁皮</t>
  </si>
  <si>
    <t>Iron Treads</t>
  </si>
  <si>
    <t>テツノワダチ</t>
  </si>
  <si>
    <t>Roue-de-Fer</t>
  </si>
  <si>
    <t>Eisenrad</t>
  </si>
  <si>
    <t>Ferrodada</t>
  </si>
  <si>
    <t>Solcoferreo</t>
  </si>
  <si>
    <t>무쇠바퀴</t>
  </si>
  <si>
    <t>铁辙迹</t>
  </si>
  <si>
    <t>Iron Bundle</t>
  </si>
  <si>
    <t>テツノツツミ</t>
  </si>
  <si>
    <t>Hotte-de-Fer</t>
  </si>
  <si>
    <t>Eisenbündel</t>
  </si>
  <si>
    <t>Ferrosaco</t>
  </si>
  <si>
    <t>Saccoferreo</t>
  </si>
  <si>
    <t>무쇠보따리</t>
  </si>
  <si>
    <t>铁包袱</t>
  </si>
  <si>
    <t>Iron Hands</t>
  </si>
  <si>
    <t>テツノカイナ</t>
  </si>
  <si>
    <t>Paume-de-Fer</t>
  </si>
  <si>
    <t>Eisenhand</t>
  </si>
  <si>
    <t>Ferropalmas</t>
  </si>
  <si>
    <t>Manoferrea</t>
  </si>
  <si>
    <t>무쇠손</t>
  </si>
  <si>
    <t>铁臂膀</t>
  </si>
  <si>
    <t>Iron Jugulis</t>
  </si>
  <si>
    <t>テツノコウベ</t>
  </si>
  <si>
    <t>Têtes-de-Fer</t>
  </si>
  <si>
    <t>Eisenhals</t>
  </si>
  <si>
    <t>Ferrocuello</t>
  </si>
  <si>
    <t>Colloferreo</t>
  </si>
  <si>
    <t>무쇠머리</t>
  </si>
  <si>
    <t>铁脖颈</t>
  </si>
  <si>
    <t>Iron Moth</t>
  </si>
  <si>
    <t>テツノドクガ</t>
  </si>
  <si>
    <t>Mite-de-Fer</t>
  </si>
  <si>
    <t>Eisenfalter</t>
  </si>
  <si>
    <t>Ferropolilla</t>
  </si>
  <si>
    <t>Falenaferrea</t>
  </si>
  <si>
    <t>무쇠독나방</t>
  </si>
  <si>
    <t>铁毒蛾</t>
  </si>
  <si>
    <t>Iron Thorns</t>
  </si>
  <si>
    <t>テツノイバラ</t>
  </si>
  <si>
    <t>Épine-de-Fer</t>
  </si>
  <si>
    <t>Eisendorn</t>
  </si>
  <si>
    <t>Ferropúas</t>
  </si>
  <si>
    <t>Spineferree</t>
  </si>
  <si>
    <t>무쇠가시</t>
  </si>
  <si>
    <t>铁荆棘</t>
  </si>
  <si>
    <t>Frigibax</t>
  </si>
  <si>
    <t>セビエ</t>
  </si>
  <si>
    <t>Frigodo</t>
  </si>
  <si>
    <t>Frospino</t>
  </si>
  <si>
    <t>드니차</t>
  </si>
  <si>
    <t>凉脊龙</t>
  </si>
  <si>
    <t>Arctibax</t>
  </si>
  <si>
    <t>セゴール</t>
  </si>
  <si>
    <t>Cryodo</t>
  </si>
  <si>
    <t>Cryospino</t>
  </si>
  <si>
    <t>드니꽁</t>
  </si>
  <si>
    <t>冻脊龙</t>
  </si>
  <si>
    <t>Baxcalibur</t>
  </si>
  <si>
    <t>セグレイブ</t>
  </si>
  <si>
    <t>Glaivodo</t>
  </si>
  <si>
    <t>Espinodon</t>
  </si>
  <si>
    <t>드닐레이브</t>
  </si>
  <si>
    <t>戟脊龙</t>
  </si>
  <si>
    <t>Gimmighoul</t>
  </si>
  <si>
    <t>コレクレー</t>
  </si>
  <si>
    <t>Mordudor</t>
  </si>
  <si>
    <t>Gierspenst</t>
  </si>
  <si>
    <t>모으령</t>
  </si>
  <si>
    <t>索财灵</t>
  </si>
  <si>
    <t>Gholdengo</t>
  </si>
  <si>
    <t>サーフゴー</t>
  </si>
  <si>
    <t>Gromago</t>
  </si>
  <si>
    <t>Monetigo</t>
  </si>
  <si>
    <t>타부자고</t>
  </si>
  <si>
    <t>褰富豪</t>
  </si>
  <si>
    <t>Wo-Chien</t>
  </si>
  <si>
    <t>チオンジェン</t>
  </si>
  <si>
    <t>Chongjian</t>
  </si>
  <si>
    <t>총지엔</t>
  </si>
  <si>
    <t>古简蜗</t>
  </si>
  <si>
    <t>Chien-Pao</t>
  </si>
  <si>
    <t>パオジアン</t>
  </si>
  <si>
    <t>Baojian</t>
  </si>
  <si>
    <t>파오젠</t>
  </si>
  <si>
    <t>古剑豹</t>
  </si>
  <si>
    <t>Ting-Lu</t>
  </si>
  <si>
    <t>ディンルー</t>
  </si>
  <si>
    <t>Dinglu</t>
  </si>
  <si>
    <t>딩루</t>
  </si>
  <si>
    <t>古鼎鹿</t>
  </si>
  <si>
    <t>Chi-Yu</t>
  </si>
  <si>
    <t>イーユイ</t>
  </si>
  <si>
    <t>Yuyu</t>
  </si>
  <si>
    <t>위유이</t>
  </si>
  <si>
    <t>古玉鱼</t>
  </si>
  <si>
    <t>Roaring Moon</t>
  </si>
  <si>
    <t>トドロクツキ</t>
  </si>
  <si>
    <t>Rugit-Lune</t>
  </si>
  <si>
    <t>Donnersichel</t>
  </si>
  <si>
    <t>Bramaluna</t>
  </si>
  <si>
    <t>Lunaruggente</t>
  </si>
  <si>
    <t>고동치는달</t>
  </si>
  <si>
    <t>轰鸣月</t>
  </si>
  <si>
    <t>Iron Valiant</t>
  </si>
  <si>
    <t>テツノブジン</t>
  </si>
  <si>
    <t>Garde-de-Fer</t>
  </si>
  <si>
    <t>Eisenkrieger</t>
  </si>
  <si>
    <t>Ferropaladin</t>
  </si>
  <si>
    <t>Eroeferreo</t>
  </si>
  <si>
    <t>무쇠무인</t>
  </si>
  <si>
    <t>铁武者</t>
  </si>
  <si>
    <t>Koraidon</t>
  </si>
  <si>
    <t>コライドン</t>
  </si>
  <si>
    <t>코라이돈</t>
  </si>
  <si>
    <t>故勒顿</t>
  </si>
  <si>
    <t>Miraidon</t>
  </si>
  <si>
    <t>ミライドン</t>
  </si>
  <si>
    <t>미라이돈</t>
  </si>
  <si>
    <t>密勒顿</t>
  </si>
  <si>
    <t>Walking Wake</t>
  </si>
  <si>
    <t>ウネルミナモ</t>
  </si>
  <si>
    <t>Serpente-Eau</t>
  </si>
  <si>
    <t>Windewoge</t>
  </si>
  <si>
    <t>Ondulagua</t>
  </si>
  <si>
    <t>Acquecrespe</t>
  </si>
  <si>
    <t>굽이치는물결</t>
  </si>
  <si>
    <t>波荡水</t>
  </si>
  <si>
    <t>Iron Leaves</t>
  </si>
  <si>
    <t>テツノイサハ</t>
  </si>
  <si>
    <t>Vert-de-Fer</t>
  </si>
  <si>
    <t>Eisenblatt</t>
  </si>
  <si>
    <t>무쇠잎새</t>
  </si>
  <si>
    <t>铁斑叶</t>
  </si>
  <si>
    <t>Dipplin</t>
  </si>
  <si>
    <t>カミッチュ</t>
  </si>
  <si>
    <t>Pomdramour</t>
  </si>
  <si>
    <t>Sirapfel</t>
  </si>
  <si>
    <t>과미르</t>
  </si>
  <si>
    <t>裹蜜虫</t>
  </si>
  <si>
    <t>Poltchageist</t>
  </si>
  <si>
    <t>チャデス</t>
  </si>
  <si>
    <t>Mortcha</t>
  </si>
  <si>
    <t>차데스</t>
  </si>
  <si>
    <t>斯魔茶</t>
  </si>
  <si>
    <t>Sinistcha</t>
  </si>
  <si>
    <t>ヤバソチャ</t>
  </si>
  <si>
    <t>Théffroyable</t>
  </si>
  <si>
    <t>Fatalitcha</t>
  </si>
  <si>
    <t>그우린차</t>
  </si>
  <si>
    <t>来悲粗茶</t>
  </si>
  <si>
    <t>Okidogi</t>
  </si>
  <si>
    <t>イイネイヌ</t>
  </si>
  <si>
    <t>Félicanis</t>
  </si>
  <si>
    <t>Boninu</t>
  </si>
  <si>
    <t>조타구</t>
  </si>
  <si>
    <t>够赞狗</t>
  </si>
  <si>
    <t>Munkidori</t>
  </si>
  <si>
    <t>マシマシラ</t>
  </si>
  <si>
    <t>Fortusimia</t>
  </si>
  <si>
    <t>Benesaru</t>
  </si>
  <si>
    <t>이야후</t>
  </si>
  <si>
    <t>愿增猿</t>
  </si>
  <si>
    <t>Fezandipiti</t>
  </si>
  <si>
    <t>キチキギス</t>
  </si>
  <si>
    <t>Favianos</t>
  </si>
  <si>
    <t>Beatori</t>
  </si>
  <si>
    <t>기로치</t>
  </si>
  <si>
    <t>吉雉鸡</t>
  </si>
  <si>
    <t>Ogerpon</t>
  </si>
  <si>
    <t>オーガポン</t>
  </si>
  <si>
    <t>오거폰</t>
  </si>
  <si>
    <t>厄诡椪</t>
  </si>
  <si>
    <t>Archaludon</t>
  </si>
  <si>
    <t>ブリジュラス</t>
  </si>
  <si>
    <t>Pondraclugon</t>
  </si>
  <si>
    <t>Briduradon</t>
  </si>
  <si>
    <t>브리두라스</t>
  </si>
  <si>
    <t>铝钢桥龙</t>
  </si>
  <si>
    <t>Hydrapple</t>
  </si>
  <si>
    <t>カミツオロチ</t>
  </si>
  <si>
    <t>Pomdorochi</t>
  </si>
  <si>
    <t>Hydrapfel</t>
  </si>
  <si>
    <t>과미드라</t>
  </si>
  <si>
    <t>蜜集大蛇</t>
  </si>
  <si>
    <t>Gouging Fire</t>
  </si>
  <si>
    <t>ウガツホムラ</t>
  </si>
  <si>
    <t>Feu-Perçant</t>
  </si>
  <si>
    <t>Keilflamme</t>
  </si>
  <si>
    <t>Flamariete</t>
  </si>
  <si>
    <t>Vampeaguzze</t>
  </si>
  <si>
    <t>꿰뚫는화염</t>
  </si>
  <si>
    <t>破空焰</t>
  </si>
  <si>
    <t>Raging Bolt</t>
  </si>
  <si>
    <t>タケルライコ</t>
  </si>
  <si>
    <t>Ire-Foudre</t>
  </si>
  <si>
    <t>Furienblitz</t>
  </si>
  <si>
    <t>Electrofuria</t>
  </si>
  <si>
    <t>Furiatonante</t>
  </si>
  <si>
    <t>날뛰는우레</t>
  </si>
  <si>
    <t>猛雷鼓</t>
  </si>
  <si>
    <t>Iron Boulder</t>
  </si>
  <si>
    <t>テツノイワオ</t>
  </si>
  <si>
    <t>Roc-de-Fer</t>
  </si>
  <si>
    <t>Eisenfels</t>
  </si>
  <si>
    <t>Ferromole</t>
  </si>
  <si>
    <t>Massoferreo</t>
  </si>
  <si>
    <t>무쇠암석</t>
  </si>
  <si>
    <t>铁磐岩</t>
  </si>
  <si>
    <t>Iron Crown</t>
  </si>
  <si>
    <t>テツノカシラ</t>
  </si>
  <si>
    <t>Chef-de-Fer</t>
  </si>
  <si>
    <t>Eisenhaupt</t>
  </si>
  <si>
    <t>Ferrotesta</t>
  </si>
  <si>
    <t>Capoferreo</t>
  </si>
  <si>
    <t>무쇠감투</t>
  </si>
  <si>
    <t>铁头壳</t>
  </si>
  <si>
    <t>Terapagos</t>
  </si>
  <si>
    <t>テラパゴス</t>
  </si>
  <si>
    <t>테라파고스</t>
  </si>
  <si>
    <t>太乐巴戈斯</t>
  </si>
  <si>
    <t>Pecharunt</t>
  </si>
  <si>
    <t>モモワロウ</t>
  </si>
  <si>
    <t>Pêchaminus</t>
  </si>
  <si>
    <t>Infamomo</t>
  </si>
  <si>
    <t>복숭악동</t>
  </si>
  <si>
    <t>桃歹郎</t>
  </si>
  <si>
    <t>Male</t>
  </si>
  <si>
    <t>オス</t>
  </si>
  <si>
    <t>Mâle</t>
  </si>
  <si>
    <t>Männlich</t>
  </si>
  <si>
    <t>Macho</t>
  </si>
  <si>
    <t>Maschio</t>
  </si>
  <si>
    <t>수컷</t>
  </si>
  <si>
    <t>雄性</t>
  </si>
  <si>
    <t>Female</t>
  </si>
  <si>
    <t>メス</t>
  </si>
  <si>
    <t>Femelle</t>
  </si>
  <si>
    <t>Weiblich</t>
  </si>
  <si>
    <t>Hembra</t>
  </si>
  <si>
    <t>Femmina</t>
  </si>
  <si>
    <t>암컷</t>
  </si>
  <si>
    <t>雌性</t>
  </si>
  <si>
    <t>Shiny</t>
  </si>
  <si>
    <t>ひかる</t>
  </si>
  <si>
    <t>Chromatique</t>
  </si>
  <si>
    <t>Schillerndes</t>
  </si>
  <si>
    <t>Variocolor</t>
  </si>
  <si>
    <t>Cromatico</t>
  </si>
  <si>
    <t>빛나는</t>
  </si>
  <si>
    <t>發光</t>
  </si>
  <si>
    <t>Normal Form</t>
  </si>
  <si>
    <t>ポワルンのすがた</t>
  </si>
  <si>
    <t>Forme Normale</t>
  </si>
  <si>
    <t>Normalform</t>
  </si>
  <si>
    <t>Forma Castform</t>
  </si>
  <si>
    <t>캐스퐁의 모습</t>
  </si>
  <si>
    <t>飄浮泡泡的樣子</t>
  </si>
  <si>
    <t>Sunny Form</t>
  </si>
  <si>
    <t>たいようのすがた</t>
  </si>
  <si>
    <t>Forme Solaire</t>
  </si>
  <si>
    <t>Sonnenform</t>
  </si>
  <si>
    <t>Forma Sol</t>
  </si>
  <si>
    <t>Forma Sole</t>
  </si>
  <si>
    <t>태양의 모습</t>
  </si>
  <si>
    <t>太陽的樣子</t>
  </si>
  <si>
    <t>Rainy Form</t>
  </si>
  <si>
    <t>あまみずのすがた</t>
  </si>
  <si>
    <t>Forme Eau de Pluie</t>
  </si>
  <si>
    <t>Regenform</t>
  </si>
  <si>
    <t>Forma Lluvia</t>
  </si>
  <si>
    <t>Forma Pioggia</t>
  </si>
  <si>
    <t>빗방울의 모습</t>
  </si>
  <si>
    <t>雨水的樣子</t>
  </si>
  <si>
    <t>Snowy Form</t>
  </si>
  <si>
    <t>ゆきぐものすがた</t>
  </si>
  <si>
    <t>Forme Blizzard</t>
  </si>
  <si>
    <t>Schneeform</t>
  </si>
  <si>
    <t>Forma Nieve</t>
  </si>
  <si>
    <t>Forma Nuvola di Neve</t>
  </si>
  <si>
    <t>설운의 모습</t>
  </si>
  <si>
    <t>雪雲的樣子</t>
  </si>
  <si>
    <t>ノーマルフォルム</t>
  </si>
  <si>
    <t>Forma Normale</t>
  </si>
  <si>
    <t>노말폼</t>
  </si>
  <si>
    <t>普通形態</t>
  </si>
  <si>
    <t>Attack Forme</t>
  </si>
  <si>
    <t>アタックフォルム</t>
  </si>
  <si>
    <t>Forme Attaque</t>
  </si>
  <si>
    <t>Angriffsform</t>
  </si>
  <si>
    <t>Forma Ataque</t>
  </si>
  <si>
    <t>Forma Attacco</t>
  </si>
  <si>
    <t>어택폼</t>
  </si>
  <si>
    <t>攻擊形態</t>
  </si>
  <si>
    <t>Defence Forme</t>
  </si>
  <si>
    <t>ヂィフェンスフォルム</t>
  </si>
  <si>
    <t>Forme Défense</t>
  </si>
  <si>
    <t>Verteidigungsform</t>
  </si>
  <si>
    <t>Forma Defensa</t>
  </si>
  <si>
    <t>Forma Difesa</t>
  </si>
  <si>
    <t>디펜스폼</t>
  </si>
  <si>
    <t>防禦形態</t>
  </si>
  <si>
    <t>Speed Forme</t>
  </si>
  <si>
    <t>スピードフォルム</t>
  </si>
  <si>
    <t>Forme Vitesse</t>
  </si>
  <si>
    <t>Initiativeform</t>
  </si>
  <si>
    <t>Forma Velocidad</t>
  </si>
  <si>
    <t>Forma Velocità</t>
  </si>
  <si>
    <t>스피드폼</t>
  </si>
  <si>
    <t>速度形態</t>
  </si>
  <si>
    <t>Plant Cloak</t>
  </si>
  <si>
    <t>くさきのミノ</t>
  </si>
  <si>
    <t>Cape Plante</t>
  </si>
  <si>
    <t>Pflanzenumhang</t>
  </si>
  <si>
    <t>Tronco Planta</t>
  </si>
  <si>
    <t>Manto Pianta</t>
  </si>
  <si>
    <t>초목도롱</t>
  </si>
  <si>
    <t>草木蓑衣</t>
  </si>
  <si>
    <t>Sandy Cloak</t>
  </si>
  <si>
    <t>すなちのミノ</t>
  </si>
  <si>
    <t>Cape Sable</t>
  </si>
  <si>
    <t>Sandumhang</t>
  </si>
  <si>
    <t>Tronco Arena</t>
  </si>
  <si>
    <t>Manto Sabbia</t>
  </si>
  <si>
    <t>모래땅도롱</t>
  </si>
  <si>
    <t>砂土蓑衣</t>
  </si>
  <si>
    <t>Trash Cloak</t>
  </si>
  <si>
    <t>ゴミのミノ</t>
  </si>
  <si>
    <t>Cape Déchet</t>
  </si>
  <si>
    <t>Lumpenumhang</t>
  </si>
  <si>
    <t>Tronco Basura</t>
  </si>
  <si>
    <t>Manto Scarti</t>
  </si>
  <si>
    <t>슈레도롱</t>
  </si>
  <si>
    <t>垃圾蓑衣</t>
  </si>
  <si>
    <t>Overcast Form</t>
  </si>
  <si>
    <t>ネガフォルム</t>
  </si>
  <si>
    <t>Temps Couvert</t>
  </si>
  <si>
    <t>Wolkenform</t>
  </si>
  <si>
    <t>Forma Encapotado</t>
  </si>
  <si>
    <t>Forma Nuvola</t>
  </si>
  <si>
    <t>네거폼</t>
  </si>
  <si>
    <t>陰天形態</t>
  </si>
  <si>
    <t>Sunshine Form</t>
  </si>
  <si>
    <t>ポシフォルム</t>
  </si>
  <si>
    <t>Temps Ensoleillé</t>
  </si>
  <si>
    <t>Forma Soleado</t>
  </si>
  <si>
    <t>Forma Splendore</t>
  </si>
  <si>
    <t>포지폼</t>
  </si>
  <si>
    <t>晴天形態</t>
  </si>
  <si>
    <t>West Sea</t>
  </si>
  <si>
    <t>にしのうみ</t>
  </si>
  <si>
    <t>Mer Occident</t>
  </si>
  <si>
    <t>Westliches Meer</t>
  </si>
  <si>
    <t>Mar Oest</t>
  </si>
  <si>
    <t>Mare Ovest</t>
  </si>
  <si>
    <t>서쪽바다</t>
  </si>
  <si>
    <t>西海</t>
  </si>
  <si>
    <t>East Sea</t>
  </si>
  <si>
    <t>ひがしのうみ</t>
  </si>
  <si>
    <t>Mer Orient</t>
  </si>
  <si>
    <t>Östliches Meer</t>
  </si>
  <si>
    <t>Mar Est</t>
  </si>
  <si>
    <t>Mare Est</t>
  </si>
  <si>
    <t>동쪽바다</t>
  </si>
  <si>
    <t>東海</t>
  </si>
  <si>
    <t>Heat Rotom</t>
  </si>
  <si>
    <t>Motisma Chaleur</t>
  </si>
  <si>
    <t>Hitze-Rotom</t>
  </si>
  <si>
    <t>Rotom Claor</t>
  </si>
  <si>
    <t>히트로토무</t>
  </si>
  <si>
    <t>加熱洛托姆</t>
  </si>
  <si>
    <t>Wash Rotom</t>
  </si>
  <si>
    <t>Motisma Lavage</t>
  </si>
  <si>
    <t>Wasch-Rotom</t>
  </si>
  <si>
    <t>Rotom Lavado</t>
  </si>
  <si>
    <t>Rotom Lavaggio</t>
  </si>
  <si>
    <t>워시로토무</t>
  </si>
  <si>
    <t>清洗洛托姆</t>
  </si>
  <si>
    <t>Frost Rotom</t>
  </si>
  <si>
    <t>Motisma Froid</t>
  </si>
  <si>
    <t>Frost-Rotom</t>
  </si>
  <si>
    <t>Rotom Frio</t>
  </si>
  <si>
    <t>Rotom Gelo</t>
  </si>
  <si>
    <t>프로스트로토무</t>
  </si>
  <si>
    <t>結冰洛托姆</t>
  </si>
  <si>
    <t>Fan Rotom</t>
  </si>
  <si>
    <t>Motisma Hélice</t>
  </si>
  <si>
    <t>Wirbel-Rotom</t>
  </si>
  <si>
    <t>Rotom Ventilador</t>
  </si>
  <si>
    <t>Rotom Vortice</t>
  </si>
  <si>
    <t>스핀로토무</t>
  </si>
  <si>
    <t>旋轉洛托姆</t>
  </si>
  <si>
    <t>Mow Rotom</t>
  </si>
  <si>
    <t>Motisma Tonte</t>
  </si>
  <si>
    <t>Schneid-Rotom</t>
  </si>
  <si>
    <t>Rotom Corte</t>
  </si>
  <si>
    <t>Rotom Taglio</t>
  </si>
  <si>
    <t>커트로토무</t>
  </si>
  <si>
    <t>切割洛托姆</t>
  </si>
  <si>
    <t>Altered Forme</t>
  </si>
  <si>
    <t>アナザーフォルム</t>
  </si>
  <si>
    <t>Forme Alternative</t>
  </si>
  <si>
    <t>Wandelform</t>
  </si>
  <si>
    <t>Forma Modificada</t>
  </si>
  <si>
    <t>Forma Alterata</t>
  </si>
  <si>
    <t>어나더폼</t>
  </si>
  <si>
    <t>別種形態</t>
  </si>
  <si>
    <t>Origin Forme</t>
  </si>
  <si>
    <t>オリジンフォルム</t>
  </si>
  <si>
    <t>Forme Originelle</t>
  </si>
  <si>
    <t>Urform</t>
  </si>
  <si>
    <t>Forma Origen</t>
  </si>
  <si>
    <t>Forma Origine</t>
  </si>
  <si>
    <t>오리진폼</t>
  </si>
  <si>
    <t>起源形態</t>
  </si>
  <si>
    <t>Land Forme</t>
  </si>
  <si>
    <t>ランドフォルム</t>
  </si>
  <si>
    <t>Forme Terrestre</t>
  </si>
  <si>
    <t>Landform</t>
  </si>
  <si>
    <t>Forma Tierra</t>
  </si>
  <si>
    <t>Forma Terra</t>
  </si>
  <si>
    <t>랜드폼</t>
  </si>
  <si>
    <t>陸上形態</t>
  </si>
  <si>
    <t>Sky Forme</t>
  </si>
  <si>
    <t>スカイフォルム</t>
  </si>
  <si>
    <t>Forme Céleste</t>
  </si>
  <si>
    <t>Zenitform</t>
  </si>
  <si>
    <t>Forma Cielo</t>
  </si>
  <si>
    <t>스카이폼</t>
  </si>
  <si>
    <t>天空形態</t>
  </si>
  <si>
    <t>NAME_FORM_NORMALTYPE</t>
  </si>
  <si>
    <t>Type Normal</t>
  </si>
  <si>
    <t>NAME_FORM_FIGHTINGTYPE</t>
  </si>
  <si>
    <t>Type Combat</t>
  </si>
  <si>
    <t>NAME_FORM_FLYINGTYPE</t>
  </si>
  <si>
    <t>Type Vol</t>
  </si>
  <si>
    <t>NAME_FORM_POISONTYPE</t>
  </si>
  <si>
    <t>Type Poison</t>
  </si>
  <si>
    <t>NAME_FORM_GROUNDTYPE</t>
  </si>
  <si>
    <t>Type Sol</t>
  </si>
  <si>
    <t>NAME_FORM_ROCKTYPE</t>
  </si>
  <si>
    <t>Type Roche</t>
  </si>
  <si>
    <t>NAME_FORM_BUGTYPE</t>
  </si>
  <si>
    <t>Type Insecte</t>
  </si>
  <si>
    <t>NAME_FORM_GHOSTTYPE</t>
  </si>
  <si>
    <t>Type Spectre</t>
  </si>
  <si>
    <t>NAME_FORM_STEELTYPE</t>
  </si>
  <si>
    <t>Type Acier</t>
  </si>
  <si>
    <t>NAME_FORM_FIRETYPE</t>
  </si>
  <si>
    <t>Type Feu</t>
  </si>
  <si>
    <t>NAME_FORM_WATERTYPE</t>
  </si>
  <si>
    <t>Type Eau</t>
  </si>
  <si>
    <t>NAME_FORM_GRASSTYPE</t>
  </si>
  <si>
    <t>Type Plante</t>
  </si>
  <si>
    <t>NAME_FORM_ELECTRICTYPE</t>
  </si>
  <si>
    <t>Type Électrik</t>
  </si>
  <si>
    <t>NAME_FORM_PSYCHICTYPE</t>
  </si>
  <si>
    <t>Type Psy</t>
  </si>
  <si>
    <t>NAME_FORM_ICETYPE</t>
  </si>
  <si>
    <t>Type Glace</t>
  </si>
  <si>
    <t>NAME_FORM_DRAGONTYPE</t>
  </si>
  <si>
    <t>Type Dragon</t>
  </si>
  <si>
    <t>NAME_FORM_DARKTYPE</t>
  </si>
  <si>
    <t>Type Ténèbres</t>
  </si>
  <si>
    <t>NAME_FORM_FAIRYTYPE</t>
  </si>
  <si>
    <t>Type Fée</t>
  </si>
  <si>
    <t>Red-Striped Form</t>
  </si>
  <si>
    <t>あかすじのすがた</t>
  </si>
  <si>
    <t>Motif Rouge</t>
  </si>
  <si>
    <t>Rotlinige Form</t>
  </si>
  <si>
    <t>Forma Raya Roja</t>
  </si>
  <si>
    <t>Forma Linearossa</t>
  </si>
  <si>
    <t>적색근의 모습</t>
  </si>
  <si>
    <t>紅條紋的樣子</t>
  </si>
  <si>
    <t>Blue-Striped Form</t>
  </si>
  <si>
    <t>あおすじのすがた</t>
  </si>
  <si>
    <t>Motif Bleu</t>
  </si>
  <si>
    <t>Blaulinige Form</t>
  </si>
  <si>
    <t>Forma Raya Azul</t>
  </si>
  <si>
    <t>Forma Lineablu</t>
  </si>
  <si>
    <t>청색근의 모습</t>
  </si>
  <si>
    <t>藍條紋的樣子</t>
  </si>
  <si>
    <t>Standard Mode</t>
  </si>
  <si>
    <t>ノーマルモード</t>
  </si>
  <si>
    <t>Mode Normal</t>
  </si>
  <si>
    <t>Normalmodus</t>
  </si>
  <si>
    <t>Modo Normal</t>
  </si>
  <si>
    <t>Stato Normale</t>
  </si>
  <si>
    <t>노말모드</t>
  </si>
  <si>
    <t>普通模式</t>
  </si>
  <si>
    <t>Spring Form</t>
  </si>
  <si>
    <t>はるのすがた</t>
  </si>
  <si>
    <t>Forme Printemps</t>
  </si>
  <si>
    <t>Frühlingsform</t>
  </si>
  <si>
    <t>Forma Primavera</t>
  </si>
  <si>
    <t>봄의 모습</t>
  </si>
  <si>
    <t>春天的樣子</t>
  </si>
  <si>
    <t>Summer Form</t>
  </si>
  <si>
    <t>なつのすがた</t>
  </si>
  <si>
    <t>Forme Été</t>
  </si>
  <si>
    <t>Sommerform</t>
  </si>
  <si>
    <t>Forma Verano</t>
  </si>
  <si>
    <t>Forma Estate</t>
  </si>
  <si>
    <t>여름의 모습</t>
  </si>
  <si>
    <t>夏天的樣子</t>
  </si>
  <si>
    <t>Autumn Form</t>
  </si>
  <si>
    <t>あきのすがた</t>
  </si>
  <si>
    <t>Forme Automne</t>
  </si>
  <si>
    <t>Herbstform</t>
  </si>
  <si>
    <t>Forma Otoño</t>
  </si>
  <si>
    <t>Forma Autunno</t>
  </si>
  <si>
    <t>가을의 모습</t>
  </si>
  <si>
    <t>秋天的樣子</t>
  </si>
  <si>
    <t>Winter Form</t>
  </si>
  <si>
    <t>ふゆのすがた</t>
  </si>
  <si>
    <t>Forme Hiver</t>
  </si>
  <si>
    <t>Winterform</t>
  </si>
  <si>
    <t>Forma Invierno</t>
  </si>
  <si>
    <t>Forma Inverno</t>
  </si>
  <si>
    <t>겨울의 모습</t>
  </si>
  <si>
    <t>冬天的樣子</t>
  </si>
  <si>
    <t>Incarnate Forme</t>
  </si>
  <si>
    <t>けしんフォルム</t>
  </si>
  <si>
    <t>Forme Avatar</t>
  </si>
  <si>
    <t>Inkarnationsform</t>
  </si>
  <si>
    <t>Forma Avatar</t>
  </si>
  <si>
    <t>Forma Incarnazione</t>
  </si>
  <si>
    <t>화신폼</t>
  </si>
  <si>
    <t>化身形態</t>
  </si>
  <si>
    <t>Therian Forme</t>
  </si>
  <si>
    <t>れいじゅうフォルム</t>
  </si>
  <si>
    <t>Forme Totémique</t>
  </si>
  <si>
    <t>Tiergeistform</t>
  </si>
  <si>
    <t>Forma Tótem</t>
  </si>
  <si>
    <t>Forma Totem</t>
  </si>
  <si>
    <t>영물폼</t>
  </si>
  <si>
    <t>靈獸形態</t>
  </si>
  <si>
    <t>Black Kyurem</t>
  </si>
  <si>
    <t>ブラックキュレム</t>
  </si>
  <si>
    <t>Kyurem Noir</t>
  </si>
  <si>
    <t>Schwarzes Kyurem</t>
  </si>
  <si>
    <t>Kyurem Negro</t>
  </si>
  <si>
    <t>Kyurem Nero</t>
  </si>
  <si>
    <t>블랙 큐레무</t>
  </si>
  <si>
    <t>闇黑酋雷姆</t>
  </si>
  <si>
    <t>White Kyurem</t>
  </si>
  <si>
    <t>ホワイトキュレム</t>
  </si>
  <si>
    <t>Kyurem Blanc</t>
  </si>
  <si>
    <t>Weißes Kyurem</t>
  </si>
  <si>
    <t>Kyurem Blanco</t>
  </si>
  <si>
    <t>Kyurem Bianco</t>
  </si>
  <si>
    <t>화이트 큐레무</t>
  </si>
  <si>
    <t>焰白酋雷姆</t>
  </si>
  <si>
    <t>Ordinary Form</t>
  </si>
  <si>
    <t>いつものすがた</t>
  </si>
  <si>
    <t>Aspect Normal</t>
  </si>
  <si>
    <t>Standardform</t>
  </si>
  <si>
    <t>Forma Habitual</t>
  </si>
  <si>
    <t>평상시 모습</t>
  </si>
  <si>
    <t>平常的樣子</t>
  </si>
  <si>
    <t>Resolute Form</t>
  </si>
  <si>
    <t>かくごのすがた</t>
  </si>
  <si>
    <t>Aspect Décidé</t>
  </si>
  <si>
    <t>Resolutform</t>
  </si>
  <si>
    <t>Forma Brío</t>
  </si>
  <si>
    <t>Forma Risoluta</t>
  </si>
  <si>
    <t>각오의 모습</t>
  </si>
  <si>
    <t>覺悟的樣子</t>
  </si>
  <si>
    <t>Aria Forme</t>
  </si>
  <si>
    <t>ボイスフォルム</t>
  </si>
  <si>
    <t>Forme Chant</t>
  </si>
  <si>
    <t>Gesangsform</t>
  </si>
  <si>
    <t>Forma Lírica</t>
  </si>
  <si>
    <t>Forma Canto</t>
  </si>
  <si>
    <t>보이스폼</t>
  </si>
  <si>
    <t>歌聲形態</t>
  </si>
  <si>
    <t>Pirouette Forme</t>
  </si>
  <si>
    <t>ステップフォルム</t>
  </si>
  <si>
    <t>Forme Danse</t>
  </si>
  <si>
    <t>Tanzform</t>
  </si>
  <si>
    <t>Forma Danza</t>
  </si>
  <si>
    <t>스텝폼</t>
  </si>
  <si>
    <t>舞步形態</t>
  </si>
  <si>
    <t>Ash Greninja</t>
  </si>
  <si>
    <t>サトシゲッコウガ</t>
  </si>
  <si>
    <t>Sachanobi</t>
  </si>
  <si>
    <t>Ash-Quajutsu</t>
  </si>
  <si>
    <t>Greninja Ash</t>
  </si>
  <si>
    <t>Greninja Forma Ash</t>
  </si>
  <si>
    <t>Archipelago Pattern</t>
  </si>
  <si>
    <t>ぐんとうもよう</t>
  </si>
  <si>
    <t>Motif Archipel</t>
  </si>
  <si>
    <t>Archipelmuster</t>
  </si>
  <si>
    <t>Motivo Isleño</t>
  </si>
  <si>
    <t>Motivo Arcipelago</t>
  </si>
  <si>
    <t>군도의 모양</t>
  </si>
  <si>
    <t>群島花紋</t>
  </si>
  <si>
    <t>Continental Pattern</t>
  </si>
  <si>
    <t>たいりくのもよう</t>
  </si>
  <si>
    <t>Motif Continent</t>
  </si>
  <si>
    <t>Kontinentalmuster</t>
  </si>
  <si>
    <t>Motivo Continental</t>
  </si>
  <si>
    <t>대륙의 모양</t>
  </si>
  <si>
    <t>大陸花紋</t>
  </si>
  <si>
    <t>Elegant Pattern</t>
  </si>
  <si>
    <t>みやびなもよう</t>
  </si>
  <si>
    <t>Motif Monarchie</t>
  </si>
  <si>
    <t>Prunkmuster</t>
  </si>
  <si>
    <t>Motivo Oriental</t>
  </si>
  <si>
    <t>Motivo Eleganza</t>
  </si>
  <si>
    <t>우아한 모양</t>
  </si>
  <si>
    <t>高雅花紋</t>
  </si>
  <si>
    <t>Garden Pattern</t>
  </si>
  <si>
    <t>ていえんのもよう</t>
  </si>
  <si>
    <t>Motif Verdure</t>
  </si>
  <si>
    <t>Ziergartenmuster</t>
  </si>
  <si>
    <t>Motivo Vergel</t>
  </si>
  <si>
    <t>Motivo Prato</t>
  </si>
  <si>
    <t>정원의 모양</t>
  </si>
  <si>
    <t>庭園花紋</t>
  </si>
  <si>
    <t>High Plains Pattern</t>
  </si>
  <si>
    <t>こうやのもよう</t>
  </si>
  <si>
    <t>Motif Sécheresse</t>
  </si>
  <si>
    <t>Dürremuster</t>
  </si>
  <si>
    <t>Motivo Estepa</t>
  </si>
  <si>
    <t>Motivo Deserto</t>
  </si>
  <si>
    <t>황야의 모양</t>
  </si>
  <si>
    <t>荒野花紋</t>
  </si>
  <si>
    <t>Icy Snow Pattern</t>
  </si>
  <si>
    <t>ひょうせつのもよう</t>
  </si>
  <si>
    <t>Motif Blizzard</t>
  </si>
  <si>
    <t>Frostmuster</t>
  </si>
  <si>
    <t>Motivo Polar</t>
  </si>
  <si>
    <t>Motivo Nevi Perenni</t>
  </si>
  <si>
    <t>빙설의 모양</t>
  </si>
  <si>
    <t>冰雪花紋</t>
  </si>
  <si>
    <t>Jungle Pattern</t>
  </si>
  <si>
    <t>ジャンガルのもよう</t>
  </si>
  <si>
    <t>Motif Jungle</t>
  </si>
  <si>
    <t>Dschungelmuster</t>
  </si>
  <si>
    <t>Motivo Jungla</t>
  </si>
  <si>
    <t>Motivo Giungla</t>
  </si>
  <si>
    <t>정글의 모양</t>
  </si>
  <si>
    <t>熱帶雨林花紋</t>
  </si>
  <si>
    <t>Marine Pattern</t>
  </si>
  <si>
    <t>マリンのもよう</t>
  </si>
  <si>
    <t>Motif Rivage</t>
  </si>
  <si>
    <t>Aquamarinmuster</t>
  </si>
  <si>
    <t>Motivo Marino</t>
  </si>
  <si>
    <t>마린의 모양</t>
  </si>
  <si>
    <t>大海花紋</t>
  </si>
  <si>
    <t>Meadow Pattern</t>
  </si>
  <si>
    <t>はなぞののもよう</t>
  </si>
  <si>
    <t>Motif Floraison</t>
  </si>
  <si>
    <t>Blumenmeermuster</t>
  </si>
  <si>
    <t>Motivo Floral</t>
  </si>
  <si>
    <t>Motivo Giardinfiore</t>
  </si>
  <si>
    <t>화원의 모양</t>
  </si>
  <si>
    <t>花園花紋</t>
  </si>
  <si>
    <t>Modern Pattern</t>
  </si>
  <si>
    <t>モダンなもよう</t>
  </si>
  <si>
    <t>Motif Métropole</t>
  </si>
  <si>
    <t>Innovationmuster</t>
  </si>
  <si>
    <t>Motivo Moderno</t>
  </si>
  <si>
    <t>Motivo Trendy</t>
  </si>
  <si>
    <t>모던한 모양</t>
  </si>
  <si>
    <t>摩登花紋</t>
  </si>
  <si>
    <t>Monsoon Pattern</t>
  </si>
  <si>
    <t>スコールのもよう</t>
  </si>
  <si>
    <t>Motif Cyclone</t>
  </si>
  <si>
    <t>Monsunmuster</t>
  </si>
  <si>
    <t>Motivo Monzón</t>
  </si>
  <si>
    <t>Motivo Pluviale</t>
  </si>
  <si>
    <t>스콜의 모양</t>
  </si>
  <si>
    <t>驟雨花紋</t>
  </si>
  <si>
    <t>Ocean Pattern</t>
  </si>
  <si>
    <t>オーシャンのもよう</t>
  </si>
  <si>
    <t>Motif Soleil Levant</t>
  </si>
  <si>
    <t>Ozeanmuster</t>
  </si>
  <si>
    <t>Motivo Océano</t>
  </si>
  <si>
    <t>Motivo Oceanico</t>
  </si>
  <si>
    <t>오션의 모양</t>
  </si>
  <si>
    <t>大洋花紋</t>
  </si>
  <si>
    <t>Polar Pattern</t>
  </si>
  <si>
    <t>ゆきぐにのもよう</t>
  </si>
  <si>
    <t>Motif Banquise</t>
  </si>
  <si>
    <t>Schneefeldmuster</t>
  </si>
  <si>
    <t>Motivo Taiga</t>
  </si>
  <si>
    <t>Motivo Nordico</t>
  </si>
  <si>
    <t>설국의 모양</t>
  </si>
  <si>
    <t>雪國花紋</t>
  </si>
  <si>
    <t>River Pattern</t>
  </si>
  <si>
    <t>だいがのもよう</t>
  </si>
  <si>
    <t>Motif Delta</t>
  </si>
  <si>
    <t>Flussdeltamuster</t>
  </si>
  <si>
    <t>Motivo Oasis</t>
  </si>
  <si>
    <t>Motivo Fluviale</t>
  </si>
  <si>
    <t>대하의 모양</t>
  </si>
  <si>
    <t>大河花紋</t>
  </si>
  <si>
    <t>Sandstorm Pattern</t>
  </si>
  <si>
    <t>さじんのもよう</t>
  </si>
  <si>
    <t>Motif Sable</t>
  </si>
  <si>
    <t>Sandmuster</t>
  </si>
  <si>
    <t>Motivo Desierto</t>
  </si>
  <si>
    <t>Motivo Sabbia</t>
  </si>
  <si>
    <t>사진의 모양</t>
  </si>
  <si>
    <t>沙塵花紋</t>
  </si>
  <si>
    <t>Savanna Pattern</t>
  </si>
  <si>
    <t>サバンナのもよう</t>
  </si>
  <si>
    <t>Motif Mangrove</t>
  </si>
  <si>
    <t>Savannenmuster</t>
  </si>
  <si>
    <t>Motivo Pantano</t>
  </si>
  <si>
    <t>Motivo Savana</t>
  </si>
  <si>
    <t>사바나의 모양</t>
  </si>
  <si>
    <t>熱帶草原花紋</t>
  </si>
  <si>
    <t>Sun Pattern</t>
  </si>
  <si>
    <t>たいようのもよう</t>
  </si>
  <si>
    <t>Motif Zénith</t>
  </si>
  <si>
    <t>Sonnenmuster</t>
  </si>
  <si>
    <t>Motivo Solar</t>
  </si>
  <si>
    <t>Motivo Solare</t>
  </si>
  <si>
    <t>태양의 모양</t>
  </si>
  <si>
    <t>太陽花紋</t>
  </si>
  <si>
    <t>Tundra Pattern</t>
  </si>
  <si>
    <t>せつげんのもよう</t>
  </si>
  <si>
    <t>Motif Glace</t>
  </si>
  <si>
    <t>Flockenmuster</t>
  </si>
  <si>
    <t>Motivo Tundra</t>
  </si>
  <si>
    <t>Motivo Manto di Neve</t>
  </si>
  <si>
    <t>설원의 모양</t>
  </si>
  <si>
    <t>雪原花紋</t>
  </si>
  <si>
    <t>NAME_FORM_POKEBALLPATTERN</t>
  </si>
  <si>
    <t>Poke Ball Pattern</t>
  </si>
  <si>
    <t>ファンシーなもよう</t>
  </si>
  <si>
    <t>Motif Poke Ball</t>
  </si>
  <si>
    <t>Motivo Poke Ball</t>
  </si>
  <si>
    <t>볼의 모양</t>
  </si>
  <si>
    <t>球球花紋</t>
  </si>
  <si>
    <t>Fancy Pattern</t>
  </si>
  <si>
    <t>ボールのもよう</t>
  </si>
  <si>
    <t>Motif Fantaisie</t>
  </si>
  <si>
    <t>Fantasiemuster</t>
  </si>
  <si>
    <t>Motivo Fantasía</t>
  </si>
  <si>
    <t>Motivo Sbarazzino</t>
  </si>
  <si>
    <t>팬시한 모양</t>
  </si>
  <si>
    <t>幻彩花紋</t>
  </si>
  <si>
    <t>Red Flower</t>
  </si>
  <si>
    <t>あかりはな</t>
  </si>
  <si>
    <t>Fleur Rouge</t>
  </si>
  <si>
    <t>Rotblütler</t>
  </si>
  <si>
    <t>Flor Roja</t>
  </si>
  <si>
    <t>Fiore Rosso</t>
  </si>
  <si>
    <t>빨간 꽃</t>
  </si>
  <si>
    <t>紅花</t>
  </si>
  <si>
    <t>Yellow Flower</t>
  </si>
  <si>
    <t>きりろのはな</t>
  </si>
  <si>
    <t>Fleur Jaune</t>
  </si>
  <si>
    <t>Gelbblütler</t>
  </si>
  <si>
    <t>Flor Amarilla</t>
  </si>
  <si>
    <t>Fiore Giallo</t>
  </si>
  <si>
    <t>노란 꽃</t>
  </si>
  <si>
    <t>黃花</t>
  </si>
  <si>
    <t>Orange Flower</t>
  </si>
  <si>
    <t>オレンジいろのはな</t>
  </si>
  <si>
    <t>Fleur Orange</t>
  </si>
  <si>
    <t>Orangeblütler</t>
  </si>
  <si>
    <t>Flor Naranja</t>
  </si>
  <si>
    <t>Fiore Arancione</t>
  </si>
  <si>
    <t>오렌지색 꽃</t>
  </si>
  <si>
    <t>橙花</t>
  </si>
  <si>
    <t>Blue Flower</t>
  </si>
  <si>
    <t>あおりはな</t>
  </si>
  <si>
    <t>Fleur Bleue</t>
  </si>
  <si>
    <t>Blaublütler</t>
  </si>
  <si>
    <t>Flor Azul</t>
  </si>
  <si>
    <t>Fiore Blu</t>
  </si>
  <si>
    <t>파란 꽃</t>
  </si>
  <si>
    <t>藍花</t>
  </si>
  <si>
    <t>White Flower</t>
  </si>
  <si>
    <t>しろりはな</t>
  </si>
  <si>
    <t>Fleur Blanche</t>
  </si>
  <si>
    <t>Weißblütler</t>
  </si>
  <si>
    <t>Flor Blanca</t>
  </si>
  <si>
    <t>Fiore Bianco</t>
  </si>
  <si>
    <t>하얀 꽃</t>
  </si>
  <si>
    <t>白花</t>
  </si>
  <si>
    <t>Eternal Flower</t>
  </si>
  <si>
    <t>えいえんのはな</t>
  </si>
  <si>
    <t>Fleur Éternelle</t>
  </si>
  <si>
    <t>Ewigblütler</t>
  </si>
  <si>
    <t>Flor Eterna</t>
  </si>
  <si>
    <t>Fiore Eterno</t>
  </si>
  <si>
    <t>영원의 꽃</t>
  </si>
  <si>
    <t>永恆之花</t>
  </si>
  <si>
    <t>Natural Form</t>
  </si>
  <si>
    <t>やせいのすがた</t>
  </si>
  <si>
    <t>Forme Sauvage</t>
  </si>
  <si>
    <t>Zottelform</t>
  </si>
  <si>
    <t>Forma Salvaje</t>
  </si>
  <si>
    <t>Forma Selvatica</t>
  </si>
  <si>
    <t>야생의 모습</t>
  </si>
  <si>
    <t>野生的樣子</t>
  </si>
  <si>
    <t>Heart Trim</t>
  </si>
  <si>
    <t>ハートカット</t>
  </si>
  <si>
    <t>Coupe Cœur</t>
  </si>
  <si>
    <t>Herzchenschnitt</t>
  </si>
  <si>
    <t>Corte Corazón</t>
  </si>
  <si>
    <t>Taglio Cuore</t>
  </si>
  <si>
    <t>하트컷</t>
  </si>
  <si>
    <t>心形造型</t>
  </si>
  <si>
    <t>Star Trim</t>
  </si>
  <si>
    <t>スターカット</t>
  </si>
  <si>
    <t>Sternchenschnitt</t>
  </si>
  <si>
    <t>Corte Estrella</t>
  </si>
  <si>
    <t>Taglio Stella</t>
  </si>
  <si>
    <t>스타컷</t>
  </si>
  <si>
    <t>星形造型</t>
  </si>
  <si>
    <t>Diamond Trim</t>
  </si>
  <si>
    <t>ダイヤカット</t>
  </si>
  <si>
    <t>Coupe Diamant</t>
  </si>
  <si>
    <t>Diamantenschnitt</t>
  </si>
  <si>
    <t>Corte Rondo</t>
  </si>
  <si>
    <t>Taglio Diamonte</t>
  </si>
  <si>
    <t>다이아컷</t>
  </si>
  <si>
    <t>菱形造型</t>
  </si>
  <si>
    <t>Debutante Trim</t>
  </si>
  <si>
    <t>レヂィカット</t>
  </si>
  <si>
    <t>Coupe Demoiselle</t>
  </si>
  <si>
    <t>Fräuleinschnitt</t>
  </si>
  <si>
    <t>Corte Señorita</t>
  </si>
  <si>
    <t>Taglio Signorina</t>
  </si>
  <si>
    <t>레이디컷</t>
  </si>
  <si>
    <t>淑女造型</t>
  </si>
  <si>
    <t>Matron Trim</t>
  </si>
  <si>
    <t>マダムカット</t>
  </si>
  <si>
    <t>Coupe Madame</t>
  </si>
  <si>
    <t>Damenschnitt</t>
  </si>
  <si>
    <t>Corte Dama</t>
  </si>
  <si>
    <t>Taglio Gentildonna</t>
  </si>
  <si>
    <t>마담컷</t>
  </si>
  <si>
    <t>貴婦造型</t>
  </si>
  <si>
    <t>Dandy Trim</t>
  </si>
  <si>
    <t>ジェントルカット</t>
  </si>
  <si>
    <t>Coupe Monsieur</t>
  </si>
  <si>
    <t>Kavaliersschnitt</t>
  </si>
  <si>
    <t>Corte Caballero</t>
  </si>
  <si>
    <t>Taglio Gentiluomo</t>
  </si>
  <si>
    <t>젠틀컷</t>
  </si>
  <si>
    <t>紳士造型</t>
  </si>
  <si>
    <t>La Reine Trim</t>
  </si>
  <si>
    <t>クイーンカット</t>
  </si>
  <si>
    <t>Coupe Reine</t>
  </si>
  <si>
    <t>Königinnenschnitt</t>
  </si>
  <si>
    <t>Corte Aristocrático</t>
  </si>
  <si>
    <t>Taglio Regina</t>
  </si>
  <si>
    <t>퀸컷</t>
  </si>
  <si>
    <t>女王造型</t>
  </si>
  <si>
    <t>Kabuki Trim</t>
  </si>
  <si>
    <t>カブキカット</t>
  </si>
  <si>
    <t>Coupe Kabuki</t>
  </si>
  <si>
    <t>Kabuki-Schnitt</t>
  </si>
  <si>
    <t>Corte Kabuki</t>
  </si>
  <si>
    <t>Taglio Kabuki</t>
  </si>
  <si>
    <t>가부키컷</t>
  </si>
  <si>
    <t>歌舞伎造型</t>
  </si>
  <si>
    <t>Pharaoh Trim</t>
  </si>
  <si>
    <t>キングドムカット</t>
  </si>
  <si>
    <t>Coupe Pharaon</t>
  </si>
  <si>
    <t>Herrscherschnitt</t>
  </si>
  <si>
    <t>Corte Faraónico</t>
  </si>
  <si>
    <t>Taglio Faraone</t>
  </si>
  <si>
    <t>킹덤컷</t>
  </si>
  <si>
    <t>國王造型</t>
  </si>
  <si>
    <t>Shield Forme</t>
  </si>
  <si>
    <t>シールドフォルム</t>
  </si>
  <si>
    <t>Forme Parade</t>
  </si>
  <si>
    <t>Schildform</t>
  </si>
  <si>
    <t>Forma Escudo</t>
  </si>
  <si>
    <t>Forma Scudo</t>
  </si>
  <si>
    <t>실드폼</t>
  </si>
  <si>
    <t>盾牌形態</t>
  </si>
  <si>
    <t>Blade Forme</t>
  </si>
  <si>
    <t>ブレードフォルム</t>
  </si>
  <si>
    <t>Forme Assaut</t>
  </si>
  <si>
    <t>Klingenform</t>
  </si>
  <si>
    <t>Forma Filo</t>
  </si>
  <si>
    <t>Forma Spada</t>
  </si>
  <si>
    <t>블레이드폼</t>
  </si>
  <si>
    <t>刀劍形態</t>
  </si>
  <si>
    <t>Small Size</t>
  </si>
  <si>
    <t>ちいさいサイズ</t>
  </si>
  <si>
    <t>Taille Mini</t>
  </si>
  <si>
    <t>Größe S</t>
  </si>
  <si>
    <t>Tamaño Pequeño</t>
  </si>
  <si>
    <t>Mini</t>
  </si>
  <si>
    <t>작은 사이즈</t>
  </si>
  <si>
    <t>小尺寸</t>
  </si>
  <si>
    <t>Average Size</t>
  </si>
  <si>
    <t>ふつうのサイズ</t>
  </si>
  <si>
    <t>Taille Normale</t>
  </si>
  <si>
    <t>Größe M</t>
  </si>
  <si>
    <t>Tamaño Normal</t>
  </si>
  <si>
    <t>Normale</t>
  </si>
  <si>
    <t>보통 사이즈</t>
  </si>
  <si>
    <t>普通尺寸</t>
  </si>
  <si>
    <t>Large Size</t>
  </si>
  <si>
    <t>おおきいサイズ</t>
  </si>
  <si>
    <t>Taille Maxi</t>
  </si>
  <si>
    <t>Größe L</t>
  </si>
  <si>
    <t>Tamaño Grande</t>
  </si>
  <si>
    <t>Grande</t>
  </si>
  <si>
    <t>큰 사이즈</t>
  </si>
  <si>
    <t>大尺寸</t>
  </si>
  <si>
    <t>Super Size</t>
  </si>
  <si>
    <t>とくだいサイズ</t>
  </si>
  <si>
    <t>Taille Ultra</t>
  </si>
  <si>
    <t>Größe XL</t>
  </si>
  <si>
    <t>Tamaño Extragrande</t>
  </si>
  <si>
    <t>Maxi</t>
  </si>
  <si>
    <t>특대 사이즈</t>
  </si>
  <si>
    <t>特大尺寸</t>
  </si>
  <si>
    <t>Neutral Mode</t>
  </si>
  <si>
    <t>リラックスモード</t>
  </si>
  <si>
    <t>Mode Paisible</t>
  </si>
  <si>
    <t>Ruhe-Modus</t>
  </si>
  <si>
    <t>Modo Relajado</t>
  </si>
  <si>
    <t>Modo Relax</t>
  </si>
  <si>
    <t>릴랙스모드</t>
  </si>
  <si>
    <t>放鬆模式</t>
  </si>
  <si>
    <t>Active Mode</t>
  </si>
  <si>
    <t>アクティブモード</t>
  </si>
  <si>
    <t>Mode Déchaîné</t>
  </si>
  <si>
    <t>Aktiv-Modus</t>
  </si>
  <si>
    <t>Modo Activo</t>
  </si>
  <si>
    <t>Modo Attivo</t>
  </si>
  <si>
    <t>액티브모드</t>
  </si>
  <si>
    <t>活躍模式</t>
  </si>
  <si>
    <t>10% Forme</t>
  </si>
  <si>
    <t>１０％フォルム</t>
  </si>
  <si>
    <t>Forme 10%</t>
  </si>
  <si>
    <t>10%-Zygarde</t>
  </si>
  <si>
    <t>Al 10%</t>
  </si>
  <si>
    <t>Forma 10%</t>
  </si>
  <si>
    <t>１０％폼</t>
  </si>
  <si>
    <t>１０％形態</t>
  </si>
  <si>
    <t>50% Forme</t>
  </si>
  <si>
    <t>５０％フォルム</t>
  </si>
  <si>
    <t>Forme 50%</t>
  </si>
  <si>
    <t>50%-Zygarde</t>
  </si>
  <si>
    <t>Al 50%</t>
  </si>
  <si>
    <t>Forma 50%</t>
  </si>
  <si>
    <t>５０％폼</t>
  </si>
  <si>
    <t>５０％形態</t>
  </si>
  <si>
    <t>Complete Forme</t>
  </si>
  <si>
    <t>パーフェクトフォルム</t>
  </si>
  <si>
    <t>Forme Parfaite</t>
  </si>
  <si>
    <t>Optimum-Zygarde</t>
  </si>
  <si>
    <t>Forma Completa</t>
  </si>
  <si>
    <t>Forma Perfetta</t>
  </si>
  <si>
    <t>퍼펙트폼</t>
  </si>
  <si>
    <t>完全體形態</t>
  </si>
  <si>
    <t>Hoopa Confined</t>
  </si>
  <si>
    <t>Hoopa Enchaîné</t>
  </si>
  <si>
    <t>Gebanntes Hoopa</t>
  </si>
  <si>
    <t>Hoopa Contendio</t>
  </si>
  <si>
    <t>Hoopa Vincolato</t>
  </si>
  <si>
    <t xml:space="preserve">굴레에 빠진 후파 </t>
  </si>
  <si>
    <t>懲戒胡帕</t>
  </si>
  <si>
    <t>Hoopa Unbound</t>
  </si>
  <si>
    <t>Hoopa Déchaîné</t>
  </si>
  <si>
    <t>Entfesseltes Hoopa</t>
  </si>
  <si>
    <t>Hoopa Desatado</t>
  </si>
  <si>
    <t>Hoopa Libero</t>
  </si>
  <si>
    <t>굴레를 벗어난 후파</t>
  </si>
  <si>
    <t>解放胡帕</t>
  </si>
  <si>
    <t>Alolan Form</t>
  </si>
  <si>
    <t>アローラのすがた</t>
  </si>
  <si>
    <t>Forme d'Alola</t>
  </si>
  <si>
    <t>Alola-Form</t>
  </si>
  <si>
    <t>Forma de Alola</t>
  </si>
  <si>
    <t>Forma di Alola</t>
  </si>
  <si>
    <t>알로라의 모습</t>
  </si>
  <si>
    <t>阿羅拉的樣子</t>
  </si>
  <si>
    <t>Baile Style</t>
  </si>
  <si>
    <t>めらめらスタイル</t>
  </si>
  <si>
    <t>Style Flamenco</t>
  </si>
  <si>
    <t>Flamenco-Stil</t>
  </si>
  <si>
    <t>Estilo Apasionado</t>
  </si>
  <si>
    <t>Stile Flamenco</t>
  </si>
  <si>
    <t>이글이글스타일</t>
  </si>
  <si>
    <t>熱辣熱辣風格</t>
  </si>
  <si>
    <t>NAME_FORM_POMPOMSTYLE</t>
  </si>
  <si>
    <t>Pom-Pom Style</t>
  </si>
  <si>
    <t>ぱちぱちスタイル</t>
  </si>
  <si>
    <t>Style Pom-Pom</t>
  </si>
  <si>
    <t>Cheerleading-Stil</t>
  </si>
  <si>
    <t>Estilo Animado</t>
  </si>
  <si>
    <t>Stile Cheerdance</t>
  </si>
  <si>
    <t>파칙파칙스타일</t>
  </si>
  <si>
    <t>啪滋啪滋風格</t>
  </si>
  <si>
    <t>NAME_FORM_PAUSTYLE</t>
  </si>
  <si>
    <t>Pa'u Style</t>
  </si>
  <si>
    <t>ふらふらスタイル</t>
  </si>
  <si>
    <t>Style Hula</t>
  </si>
  <si>
    <t>Hula-Stil</t>
  </si>
  <si>
    <t>Estilo Plácido</t>
  </si>
  <si>
    <t>Stile Hula</t>
  </si>
  <si>
    <t>훌라훌라스타일</t>
  </si>
  <si>
    <t>呼拉呼拉風格</t>
  </si>
  <si>
    <t>Sensu Style</t>
  </si>
  <si>
    <t>まいまいスタイル</t>
  </si>
  <si>
    <t>Style Buyō</t>
  </si>
  <si>
    <t>Buyo-Stil</t>
  </si>
  <si>
    <t>Estilo Refinado</t>
  </si>
  <si>
    <t>Stile Buyō</t>
  </si>
  <si>
    <t>하늘하늘스타일</t>
  </si>
  <si>
    <t>輕盈輕盈風格</t>
  </si>
  <si>
    <t>Midday Form</t>
  </si>
  <si>
    <t>まひるのすがた</t>
  </si>
  <si>
    <t>Forme Diurne</t>
  </si>
  <si>
    <t>Tagform</t>
  </si>
  <si>
    <t>Forma Diurna</t>
  </si>
  <si>
    <t>Forma Giorno</t>
  </si>
  <si>
    <t>한낮의 모습</t>
  </si>
  <si>
    <t>白晝的樣子</t>
  </si>
  <si>
    <t>Midnight Form</t>
  </si>
  <si>
    <t>まよなのすがた</t>
  </si>
  <si>
    <t>Forme Nocturne</t>
  </si>
  <si>
    <t>Nachtform</t>
  </si>
  <si>
    <t>Forma Nocturna</t>
  </si>
  <si>
    <t>Forma Notte</t>
  </si>
  <si>
    <t>한밤중의 모습</t>
  </si>
  <si>
    <t>黑夜的樣子</t>
  </si>
  <si>
    <t>Dusk Form</t>
  </si>
  <si>
    <t>たそがれのすがた</t>
  </si>
  <si>
    <t>Forme Crépusculaire</t>
  </si>
  <si>
    <t>Zwielichtform</t>
  </si>
  <si>
    <t>Forma Crepuscular</t>
  </si>
  <si>
    <t>Forma Crepuscolo</t>
  </si>
  <si>
    <t>황혼의 모습</t>
  </si>
  <si>
    <t>黃昏的樣子</t>
  </si>
  <si>
    <t>Solo Form</t>
  </si>
  <si>
    <t>たんどくのすがた</t>
  </si>
  <si>
    <t>Forme Solitaire</t>
  </si>
  <si>
    <t>Einzelform</t>
  </si>
  <si>
    <t>Forma Individual</t>
  </si>
  <si>
    <t>Forma Individuale</t>
  </si>
  <si>
    <t>단독의 모습</t>
  </si>
  <si>
    <t>單獨的樣子</t>
  </si>
  <si>
    <t>School Form</t>
  </si>
  <si>
    <t>むれたすがた</t>
  </si>
  <si>
    <t>Forme Banc</t>
  </si>
  <si>
    <t>Schwarmform</t>
  </si>
  <si>
    <t>Forma Banco</t>
  </si>
  <si>
    <t>군집의 모습</t>
  </si>
  <si>
    <t>魚群的樣子</t>
  </si>
  <si>
    <t>Type: Normal</t>
  </si>
  <si>
    <t>Type: Fighting</t>
  </si>
  <si>
    <t>Type: Combat</t>
  </si>
  <si>
    <t>Type: Flying</t>
  </si>
  <si>
    <t>Type: Vol</t>
  </si>
  <si>
    <t>Type: Poison</t>
  </si>
  <si>
    <t>Type: Ground</t>
  </si>
  <si>
    <t>Type: Sol</t>
  </si>
  <si>
    <t>Type: Rock</t>
  </si>
  <si>
    <t>Type: Roche</t>
  </si>
  <si>
    <t>Type: Bug</t>
  </si>
  <si>
    <t>Type: Insecte</t>
  </si>
  <si>
    <t>Type: Ghost</t>
  </si>
  <si>
    <t>Type: Spectre</t>
  </si>
  <si>
    <t>Type: Steel</t>
  </si>
  <si>
    <t>Type: Acier</t>
  </si>
  <si>
    <t>Type: Fire</t>
  </si>
  <si>
    <t>Type: Feu</t>
  </si>
  <si>
    <t>Type: Water</t>
  </si>
  <si>
    <t>Type: Eau</t>
  </si>
  <si>
    <t>Type: Grass</t>
  </si>
  <si>
    <t>Type: Plante</t>
  </si>
  <si>
    <t>Type: Electric</t>
  </si>
  <si>
    <t>Type: Électrik</t>
  </si>
  <si>
    <t>Type: Psychic</t>
  </si>
  <si>
    <t>Type: Psy</t>
  </si>
  <si>
    <t>Type: Ice</t>
  </si>
  <si>
    <t>Type: Glace</t>
  </si>
  <si>
    <t>Type: Dragon</t>
  </si>
  <si>
    <t>Type: Dark</t>
  </si>
  <si>
    <t>Type: Ténèbres</t>
  </si>
  <si>
    <t>Type: Fairy</t>
  </si>
  <si>
    <t>Type: Fée</t>
  </si>
  <si>
    <t>Meteor Form</t>
  </si>
  <si>
    <t>りゅうせいのすがた</t>
  </si>
  <si>
    <t>Forme Météore</t>
  </si>
  <si>
    <t>Meteorform</t>
  </si>
  <si>
    <t>Forma Meteorito</t>
  </si>
  <si>
    <t>Forma Meteora</t>
  </si>
  <si>
    <t>유성의 모습</t>
  </si>
  <si>
    <t>流星的样子</t>
  </si>
  <si>
    <t>Red Core</t>
  </si>
  <si>
    <t>あかりろのコア</t>
  </si>
  <si>
    <t>Noyau Rouge</t>
  </si>
  <si>
    <t>Roter Kern</t>
  </si>
  <si>
    <t>Núcleo Rojo</t>
  </si>
  <si>
    <t>Nucleo Rosso</t>
  </si>
  <si>
    <t>빨간색 코어</t>
  </si>
  <si>
    <t>紅色核心</t>
  </si>
  <si>
    <t>Orange Core</t>
  </si>
  <si>
    <t>だいだいいろのコア</t>
  </si>
  <si>
    <t>Noyau Orange</t>
  </si>
  <si>
    <t>Oranger Kern</t>
  </si>
  <si>
    <t>Núcleo Naranja</t>
  </si>
  <si>
    <t>Nucleo Arancione</t>
  </si>
  <si>
    <t>주황색 코어</t>
  </si>
  <si>
    <t>橙色核心</t>
  </si>
  <si>
    <t>Yellow Core</t>
  </si>
  <si>
    <t>きりろのコア</t>
  </si>
  <si>
    <t>Noyau Jaune</t>
  </si>
  <si>
    <t>Gelber Kern</t>
  </si>
  <si>
    <t>Núcleo Amarillo</t>
  </si>
  <si>
    <t>Nucleo Giallo</t>
  </si>
  <si>
    <t>노란색 코어</t>
  </si>
  <si>
    <t>黃色核心</t>
  </si>
  <si>
    <t>Green Core</t>
  </si>
  <si>
    <t>みどりろのコア</t>
  </si>
  <si>
    <t>Noyau Vert</t>
  </si>
  <si>
    <t>Grüner Kern</t>
  </si>
  <si>
    <t>Núcleo Verde</t>
  </si>
  <si>
    <t>Nucleo Verde</t>
  </si>
  <si>
    <t>초록색 코어</t>
  </si>
  <si>
    <t>綠色核心</t>
  </si>
  <si>
    <t>Blue Core</t>
  </si>
  <si>
    <t>みずりろのコア</t>
  </si>
  <si>
    <t>Noyau Bleu</t>
  </si>
  <si>
    <t>Hellblauer Kern</t>
  </si>
  <si>
    <t>Núcleo Azul</t>
  </si>
  <si>
    <t>Nucleo Azzurro</t>
  </si>
  <si>
    <t>옥색 코어</t>
  </si>
  <si>
    <t>淺藍色核心</t>
  </si>
  <si>
    <t>Indigo Core</t>
  </si>
  <si>
    <t>あおりろのコア</t>
  </si>
  <si>
    <t>Noyau Indigo</t>
  </si>
  <si>
    <t>Blauer Kern</t>
  </si>
  <si>
    <t>Núcleo Añil</t>
  </si>
  <si>
    <t>Nucleo Indaco</t>
  </si>
  <si>
    <t>파란색 코어</t>
  </si>
  <si>
    <t>藍色核心</t>
  </si>
  <si>
    <t>Violet Core</t>
  </si>
  <si>
    <t>むらさきりろのコア</t>
  </si>
  <si>
    <t>Noyau Violet</t>
  </si>
  <si>
    <t>Violetter Kern</t>
  </si>
  <si>
    <t>Núcleo Violeta</t>
  </si>
  <si>
    <t>Nucleo Violetto</t>
  </si>
  <si>
    <t>보라색 코어</t>
  </si>
  <si>
    <t>紫色核心</t>
  </si>
  <si>
    <t>Disguised Form</t>
  </si>
  <si>
    <t>ばけたすがた</t>
  </si>
  <si>
    <t>Forme Déguisée</t>
  </si>
  <si>
    <t>Verkleidete Form</t>
  </si>
  <si>
    <t>Forma Encubierta</t>
  </si>
  <si>
    <t>Forma Mascherata</t>
  </si>
  <si>
    <t>둔갑한 모습</t>
  </si>
  <si>
    <t>化形的樣子</t>
  </si>
  <si>
    <t>Busted Form</t>
  </si>
  <si>
    <t>ばれたすがた</t>
  </si>
  <si>
    <t>Forme Démasquée</t>
  </si>
  <si>
    <t>Entlarvte Form</t>
  </si>
  <si>
    <t>Forma Descubierta</t>
  </si>
  <si>
    <t>Forma Smascherata</t>
  </si>
  <si>
    <t>들킨 모습</t>
  </si>
  <si>
    <t>現形的樣子</t>
  </si>
  <si>
    <t>Dusk Mane</t>
  </si>
  <si>
    <t>たそがれのたてがみ</t>
  </si>
  <si>
    <t>Crinière du Couchant</t>
  </si>
  <si>
    <t>Abendmähne</t>
  </si>
  <si>
    <t>Melena Crepuscular</t>
  </si>
  <si>
    <t>Criniera del Vespro</t>
  </si>
  <si>
    <t>황혼의 갈기</t>
  </si>
  <si>
    <t>黃昏之鬃</t>
  </si>
  <si>
    <t>Dawn Wings</t>
  </si>
  <si>
    <t>あかつものつばさ</t>
  </si>
  <si>
    <t>Ailes du Crépuscule</t>
  </si>
  <si>
    <t>Morgenschwingen</t>
  </si>
  <si>
    <t>Alas del Alba</t>
  </si>
  <si>
    <t>Ali dell'Aurora</t>
  </si>
  <si>
    <t>새벽의 날개</t>
  </si>
  <si>
    <t>拂曉之翼</t>
  </si>
  <si>
    <t>Ultra Necrozma</t>
  </si>
  <si>
    <t>ウルトラネクロスマ</t>
  </si>
  <si>
    <t>Ultra-Necrozma</t>
  </si>
  <si>
    <t>UltraNecrozma</t>
  </si>
  <si>
    <t>울트라네크로즈마</t>
  </si>
  <si>
    <t>究極奈克洛茲瑪</t>
  </si>
  <si>
    <t>Original Color</t>
  </si>
  <si>
    <t>５００ねんもえのいろ</t>
  </si>
  <si>
    <t>Couleur du Passé</t>
  </si>
  <si>
    <t>Originalfarbe</t>
  </si>
  <si>
    <t>Color Vetusto</t>
  </si>
  <si>
    <t>Colore Antico</t>
  </si>
  <si>
    <t>５００년 전의 색</t>
  </si>
  <si>
    <t>５００年前的顏色</t>
  </si>
  <si>
    <t>Galarian Form</t>
  </si>
  <si>
    <t>ガラルのすがた</t>
  </si>
  <si>
    <t>Forme de Galar</t>
  </si>
  <si>
    <t>Galar-Form</t>
  </si>
  <si>
    <t>Forma de Galar</t>
  </si>
  <si>
    <t>Forma di Galar</t>
  </si>
  <si>
    <t>가라르의 모습</t>
  </si>
  <si>
    <t>伽勒爾的樣子</t>
  </si>
  <si>
    <t>Gulping Form</t>
  </si>
  <si>
    <t>うのみのすがた</t>
  </si>
  <si>
    <t>Forme Gobe-Tout</t>
  </si>
  <si>
    <t>Schlingform</t>
  </si>
  <si>
    <t>Forma Tragatodo</t>
  </si>
  <si>
    <t>Forma Inghiottitutto</t>
  </si>
  <si>
    <t>그대로 삼킨 모습</t>
  </si>
  <si>
    <t>一口吞的樣子</t>
  </si>
  <si>
    <t>Gorging Form</t>
  </si>
  <si>
    <t>まのみのすがた</t>
  </si>
  <si>
    <t>Forme Gobe-Chu</t>
  </si>
  <si>
    <t>Stopfform</t>
  </si>
  <si>
    <t>Forma Engulletodo</t>
  </si>
  <si>
    <t>Forma Inghiottintero</t>
  </si>
  <si>
    <t>통째로 삼킨 모습</t>
  </si>
  <si>
    <t>大口吞的樣子</t>
  </si>
  <si>
    <t>Amped Form</t>
  </si>
  <si>
    <t>ハイなすがた</t>
  </si>
  <si>
    <t>Forme Aigüe</t>
  </si>
  <si>
    <t>Hoch-Form</t>
  </si>
  <si>
    <t>Forma Aguda</t>
  </si>
  <si>
    <t>Forma Melodia</t>
  </si>
  <si>
    <t>하이한 모습</t>
  </si>
  <si>
    <t>高調的樣子</t>
  </si>
  <si>
    <t>Low Key Form</t>
  </si>
  <si>
    <t>ローなすがた</t>
  </si>
  <si>
    <t>Forme Grave</t>
  </si>
  <si>
    <t>Tief-Form</t>
  </si>
  <si>
    <t>Forma Grave</t>
  </si>
  <si>
    <t>Forma Basso</t>
  </si>
  <si>
    <t>로우한 모습</t>
  </si>
  <si>
    <t>低調的樣子</t>
  </si>
  <si>
    <t>Phony Form</t>
  </si>
  <si>
    <t>がんさくフォルム</t>
  </si>
  <si>
    <t>Forme Contrefaçon</t>
  </si>
  <si>
    <t>Fälschungsform</t>
  </si>
  <si>
    <t>Forma Acaica</t>
  </si>
  <si>
    <t>Forma Contraffatta</t>
  </si>
  <si>
    <t>위작품</t>
  </si>
  <si>
    <t>贗品形態</t>
  </si>
  <si>
    <t>Antique Form</t>
  </si>
  <si>
    <t>しんさくフォルム</t>
  </si>
  <si>
    <t>Forme Authentique</t>
  </si>
  <si>
    <t>Originalform</t>
  </si>
  <si>
    <t>Forma Genuina</t>
  </si>
  <si>
    <t>Forma Autentica</t>
  </si>
  <si>
    <t>진작품</t>
  </si>
  <si>
    <t>真品形態</t>
  </si>
  <si>
    <t>Vanilla Cream</t>
  </si>
  <si>
    <t>ミルキィバニラ</t>
  </si>
  <si>
    <t>Lait Vanille</t>
  </si>
  <si>
    <t>Vanille-Creme</t>
  </si>
  <si>
    <t>Crema de Vainilla</t>
  </si>
  <si>
    <t xml:space="preserve">Lattevaniglia </t>
  </si>
  <si>
    <t>밀키바닐라</t>
  </si>
  <si>
    <t>奶香香草</t>
  </si>
  <si>
    <t>Ruby Cream</t>
  </si>
  <si>
    <t>ミルキィルビー</t>
  </si>
  <si>
    <t>Lait Ruby</t>
  </si>
  <si>
    <t>Ruby-Creme</t>
  </si>
  <si>
    <t>Crema Rosa</t>
  </si>
  <si>
    <t xml:space="preserve">Latterosa </t>
  </si>
  <si>
    <t>밀키루비</t>
  </si>
  <si>
    <t>奶香紅鑽</t>
  </si>
  <si>
    <t>Matcha Cream</t>
  </si>
  <si>
    <t>ミルキィまっちゃ</t>
  </si>
  <si>
    <t>Lait Matcha</t>
  </si>
  <si>
    <t>Matcha-Creme</t>
  </si>
  <si>
    <t>Crema de Té</t>
  </si>
  <si>
    <t xml:space="preserve">Lattematcha </t>
  </si>
  <si>
    <t>밀키말차</t>
  </si>
  <si>
    <t>奶香抹茶</t>
  </si>
  <si>
    <t>Mint Cream</t>
  </si>
  <si>
    <t>ミルキィミント</t>
  </si>
  <si>
    <t>Lait Menthe</t>
  </si>
  <si>
    <t>Minz-Creme</t>
  </si>
  <si>
    <t>Crema de Menta</t>
  </si>
  <si>
    <t xml:space="preserve">Lattementa </t>
  </si>
  <si>
    <t>밀키민트</t>
  </si>
  <si>
    <t>奶香薄荷</t>
  </si>
  <si>
    <t>Lemon Cream</t>
  </si>
  <si>
    <t>ミルキィレモン</t>
  </si>
  <si>
    <t>Lait Citron</t>
  </si>
  <si>
    <t>Zitronen-Creme</t>
  </si>
  <si>
    <t>Crema de Limón</t>
  </si>
  <si>
    <t xml:space="preserve">Lattelimone </t>
  </si>
  <si>
    <t>밀키레몬</t>
  </si>
  <si>
    <t>奶香檸檬</t>
  </si>
  <si>
    <t>Salted Cream</t>
  </si>
  <si>
    <t>ミルキィサルト</t>
  </si>
  <si>
    <t>Lait Salé</t>
  </si>
  <si>
    <t>Salz-Creme</t>
  </si>
  <si>
    <t>Crema Salada</t>
  </si>
  <si>
    <t xml:space="preserve">Lattesale </t>
  </si>
  <si>
    <t>밀키솔트</t>
  </si>
  <si>
    <t>奶香雪鹽</t>
  </si>
  <si>
    <t>Ruby Swirl</t>
  </si>
  <si>
    <t>ルビーミックス</t>
  </si>
  <si>
    <t>Mélange Ruby</t>
  </si>
  <si>
    <t>Ruby-Mix</t>
  </si>
  <si>
    <t>Mezcla Rosa</t>
  </si>
  <si>
    <t xml:space="preserve">Rosamix </t>
  </si>
  <si>
    <t>루비믹스</t>
  </si>
  <si>
    <t>紅鑽綜合</t>
  </si>
  <si>
    <t>Caramel Swirl</t>
  </si>
  <si>
    <t>キャラメルミックス</t>
  </si>
  <si>
    <t>Mélange Caramel</t>
  </si>
  <si>
    <t>Karamell-Mix</t>
  </si>
  <si>
    <t>Mezcla Caramelo</t>
  </si>
  <si>
    <t xml:space="preserve">Caramelmix </t>
  </si>
  <si>
    <t>캐러멜믹스</t>
  </si>
  <si>
    <t>焦糖綜合</t>
  </si>
  <si>
    <t>Rainbow Swirl</t>
  </si>
  <si>
    <t>トリプルミックス</t>
  </si>
  <si>
    <t>Mélange Tricolore</t>
  </si>
  <si>
    <t>Trio-Mix</t>
  </si>
  <si>
    <t>Tres Sabores</t>
  </si>
  <si>
    <t xml:space="preserve">Triplomix </t>
  </si>
  <si>
    <t>트리플믹스</t>
  </si>
  <si>
    <t>三色綜合</t>
  </si>
  <si>
    <t>Noice Face</t>
  </si>
  <si>
    <t>ナイスフェイス</t>
  </si>
  <si>
    <t>Tête Dégel</t>
  </si>
  <si>
    <t>Wohlfühlkopf</t>
  </si>
  <si>
    <t>Cara Deshielo</t>
  </si>
  <si>
    <t>Liquefaccia</t>
  </si>
  <si>
    <t>나이스페이스</t>
  </si>
  <si>
    <t>解凍頭</t>
  </si>
  <si>
    <t>Full Belly Mode</t>
  </si>
  <si>
    <t>まんぷくもよう</t>
  </si>
  <si>
    <t>Mode Rassasié</t>
  </si>
  <si>
    <t>Pappsattmuster</t>
  </si>
  <si>
    <t>Forma Saciada</t>
  </si>
  <si>
    <t>Motivo Panciapiena</t>
  </si>
  <si>
    <t>배부른 모양</t>
  </si>
  <si>
    <t>滿腹花紋</t>
  </si>
  <si>
    <t>Hangry Mode</t>
  </si>
  <si>
    <t>はらぺこもよう</t>
  </si>
  <si>
    <t>Mode Affamé</t>
  </si>
  <si>
    <t>Kohldampfmuster</t>
  </si>
  <si>
    <t>Forma Voraz</t>
  </si>
  <si>
    <t>Motivo Panciavuota</t>
  </si>
  <si>
    <t>배고픈 모양</t>
  </si>
  <si>
    <t>空腹花紋</t>
  </si>
  <si>
    <t>Hero of Many Battles</t>
  </si>
  <si>
    <t>れきせんのゆうしゃ</t>
  </si>
  <si>
    <t>Héros Aguerri</t>
  </si>
  <si>
    <t>Heldenhafter Krieger</t>
  </si>
  <si>
    <t>Guerrero Avezado</t>
  </si>
  <si>
    <t>Eroe di Mille Lotte</t>
  </si>
  <si>
    <t>역전의 용사</t>
  </si>
  <si>
    <t>百戰勇者</t>
  </si>
  <si>
    <t>Crowned Sword</t>
  </si>
  <si>
    <t>けんのおう</t>
  </si>
  <si>
    <t>Épée Suprême</t>
  </si>
  <si>
    <t>König des Schwertes</t>
  </si>
  <si>
    <t>Espada Suprema</t>
  </si>
  <si>
    <t>Re delle Spade</t>
  </si>
  <si>
    <t>검왕</t>
  </si>
  <si>
    <t>劍之王</t>
  </si>
  <si>
    <t>Crowned Shield</t>
  </si>
  <si>
    <t>たてのおう</t>
  </si>
  <si>
    <t>Bouclier Suprême</t>
  </si>
  <si>
    <t>König des Schildes</t>
  </si>
  <si>
    <t>Ecudo Supremo</t>
  </si>
  <si>
    <t>Re degli Scudi</t>
  </si>
  <si>
    <t>방패왕</t>
  </si>
  <si>
    <t>盾之王</t>
  </si>
  <si>
    <t>Eternamax</t>
  </si>
  <si>
    <t>ムゲンダイマックス</t>
  </si>
  <si>
    <t>Infinimax</t>
  </si>
  <si>
    <t>Unendynamax</t>
  </si>
  <si>
    <t>Dinamax Infinito</t>
  </si>
  <si>
    <t>Dynamax Infinito</t>
  </si>
  <si>
    <t>무한다이맥스</t>
  </si>
  <si>
    <t>無極巨化</t>
  </si>
  <si>
    <t>Single Strike Style</t>
  </si>
  <si>
    <t>いちげきのかた</t>
  </si>
  <si>
    <t>Style Poing Final</t>
  </si>
  <si>
    <t>Fokussierten Stil</t>
  </si>
  <si>
    <t>Estilo Brusco</t>
  </si>
  <si>
    <t>Stile Singolcolpo</t>
  </si>
  <si>
    <t>일격의 태세</t>
  </si>
  <si>
    <t>一擊流</t>
  </si>
  <si>
    <t>Rapid Strike Style</t>
  </si>
  <si>
    <t>れんげきのかた</t>
  </si>
  <si>
    <t>Style Mille Poings</t>
  </si>
  <si>
    <t>Fließenden Stil</t>
  </si>
  <si>
    <t>Estilo Fluido</t>
  </si>
  <si>
    <t>Stile Pluricolpo</t>
  </si>
  <si>
    <t>연격의 태세</t>
  </si>
  <si>
    <t>連擊流</t>
  </si>
  <si>
    <t>Dada</t>
  </si>
  <si>
    <t>とうちゃん</t>
  </si>
  <si>
    <t>Papa</t>
  </si>
  <si>
    <t>Papá</t>
  </si>
  <si>
    <t>Papà</t>
  </si>
  <si>
    <t>아빠</t>
  </si>
  <si>
    <t>阿爸</t>
  </si>
  <si>
    <t>Ice Rider</t>
  </si>
  <si>
    <t>はくばじょうのすがた</t>
  </si>
  <si>
    <t>Cavalier du Froid</t>
  </si>
  <si>
    <t>Schimmelreiter</t>
  </si>
  <si>
    <t>Jinete Glacial</t>
  </si>
  <si>
    <t>Cavaliere Glaciale</t>
  </si>
  <si>
    <t>백마 탄 모습</t>
  </si>
  <si>
    <t>騎白馬的樣子</t>
  </si>
  <si>
    <t>Shadow Rider</t>
  </si>
  <si>
    <t>こくばじょうのすがた</t>
  </si>
  <si>
    <t>Cavalier d'Effroi</t>
  </si>
  <si>
    <t>Rappenreiter</t>
  </si>
  <si>
    <t>Jinete Espectral</t>
  </si>
  <si>
    <t>Cavaliere Spettrale</t>
  </si>
  <si>
    <t>흑마 탄 모습</t>
  </si>
  <si>
    <t>騎黑馬的樣子</t>
  </si>
  <si>
    <t>Hisuian Form</t>
  </si>
  <si>
    <t>ヒスイのすがた</t>
  </si>
  <si>
    <t>Forme de Hisui</t>
  </si>
  <si>
    <t>Hisui-Form</t>
  </si>
  <si>
    <t>Forma de Hisui</t>
  </si>
  <si>
    <t>Forma di Hisui</t>
  </si>
  <si>
    <t>히스이의 모습</t>
  </si>
  <si>
    <t>洗翠的樣子</t>
  </si>
  <si>
    <t>White-Striped Form</t>
  </si>
  <si>
    <t>しろすじのすがた</t>
  </si>
  <si>
    <t>Motif Blanc</t>
  </si>
  <si>
    <t>Weißlinige Form</t>
  </si>
  <si>
    <t>Forma Raya Blanca</t>
  </si>
  <si>
    <t>Forma Lineabianca</t>
  </si>
  <si>
    <t>백색근의 모습</t>
  </si>
  <si>
    <t>白条纹的樣子</t>
  </si>
  <si>
    <t>Paldean Form</t>
  </si>
  <si>
    <t>パルデアのすがた</t>
  </si>
  <si>
    <t>Forme de Paldea</t>
  </si>
  <si>
    <t>Paldea-Form</t>
  </si>
  <si>
    <t>Forma de Paldea</t>
  </si>
  <si>
    <t>Forma di Paldea</t>
  </si>
  <si>
    <t>팔데아 모습</t>
  </si>
  <si>
    <t>帕底亞的樣子</t>
  </si>
  <si>
    <t>Combat Breed</t>
  </si>
  <si>
    <t>コンバットしゅ</t>
  </si>
  <si>
    <t>Race Combative</t>
  </si>
  <si>
    <t>Gefechtvariante</t>
  </si>
  <si>
    <t>Variedad Combatiente</t>
  </si>
  <si>
    <t>Varietà Combattiva</t>
  </si>
  <si>
    <t>컴뱃종</t>
  </si>
  <si>
    <t>鬥戰種</t>
  </si>
  <si>
    <t>Blaze Breed</t>
  </si>
  <si>
    <t>ブレイズしゅ</t>
  </si>
  <si>
    <t>Race Flamboyante</t>
  </si>
  <si>
    <t>Flammenvariante</t>
  </si>
  <si>
    <t>Variedad Ardiente</t>
  </si>
  <si>
    <t>Varietà Infuocata</t>
  </si>
  <si>
    <t>블레이즈종</t>
  </si>
  <si>
    <t>火熾種</t>
  </si>
  <si>
    <t>Aqua Breed</t>
  </si>
  <si>
    <t>ウォーターしゅ</t>
  </si>
  <si>
    <t>Race Aquatique</t>
  </si>
  <si>
    <t>Flutenvariante</t>
  </si>
  <si>
    <t>Variedad Acuática</t>
  </si>
  <si>
    <t>Varietà Acquatica</t>
  </si>
  <si>
    <t>워터종</t>
  </si>
  <si>
    <t>水瀾種</t>
  </si>
  <si>
    <t>Family of Three</t>
  </si>
  <si>
    <t>３びきかぞく</t>
  </si>
  <si>
    <t>Familie de Trois</t>
  </si>
  <si>
    <t>Dreierfamilie</t>
  </si>
  <si>
    <t>Familia de Tres</t>
  </si>
  <si>
    <t>Trifamiglia</t>
  </si>
  <si>
    <t>세 식구</t>
  </si>
  <si>
    <t>三隻家庭</t>
  </si>
  <si>
    <t>Family of Four</t>
  </si>
  <si>
    <t>４びきかぞく</t>
  </si>
  <si>
    <t>Familie de Quatre</t>
  </si>
  <si>
    <t>Viererfamilie</t>
  </si>
  <si>
    <t>Familia de Cuatro</t>
  </si>
  <si>
    <t>Quadrifamiglia</t>
  </si>
  <si>
    <t>네 식구</t>
  </si>
  <si>
    <t>四隻家庭</t>
  </si>
  <si>
    <t>Green Plumage</t>
  </si>
  <si>
    <t>グリーンフェザー</t>
  </si>
  <si>
    <t>Plumage Vert</t>
  </si>
  <si>
    <t>Grüngefiedert</t>
  </si>
  <si>
    <t>Plumaje Verde</t>
  </si>
  <si>
    <t>Piume Verdi</t>
  </si>
  <si>
    <t>그린 페더</t>
  </si>
  <si>
    <t>綠羽毛</t>
  </si>
  <si>
    <t>Blue Plumage</t>
  </si>
  <si>
    <t>ブルーフェザー</t>
  </si>
  <si>
    <t>Plumage Bleu</t>
  </si>
  <si>
    <t>Blaugefiedert</t>
  </si>
  <si>
    <t>Plumaje Azul</t>
  </si>
  <si>
    <t>Piume Azzurre</t>
  </si>
  <si>
    <t>블루 페더</t>
  </si>
  <si>
    <t>藍羽毛</t>
  </si>
  <si>
    <t>Yellow Plumage</t>
  </si>
  <si>
    <t>イエローフェザー</t>
  </si>
  <si>
    <t>Plumage Jaune</t>
  </si>
  <si>
    <t>Gelbgefiedert</t>
  </si>
  <si>
    <t>Plumaje Amarillo</t>
  </si>
  <si>
    <t>Piume Gialle</t>
  </si>
  <si>
    <t>옐로 페더</t>
  </si>
  <si>
    <t>黃羽毛</t>
  </si>
  <si>
    <t>White Plumage</t>
  </si>
  <si>
    <t>ホワイトフェザー</t>
  </si>
  <si>
    <t>Plumage Blanc</t>
  </si>
  <si>
    <t>Weißgefiedert</t>
  </si>
  <si>
    <t>Plumaje Blanco</t>
  </si>
  <si>
    <t>Piume Bianche</t>
  </si>
  <si>
    <t>화이트 페더</t>
  </si>
  <si>
    <t>白羽毛</t>
  </si>
  <si>
    <t>Two-Segment Form</t>
  </si>
  <si>
    <t>ふたふしフォルム</t>
  </si>
  <si>
    <t>Forme Double</t>
  </si>
  <si>
    <t>Zweisegmentform</t>
  </si>
  <si>
    <t>Forma Binodular</t>
  </si>
  <si>
    <t>Forma Bimetamero</t>
  </si>
  <si>
    <t>두 마디폼</t>
  </si>
  <si>
    <t>二节形态</t>
  </si>
  <si>
    <t>Three-Segment Form</t>
  </si>
  <si>
    <t>みつふしフォルム</t>
  </si>
  <si>
    <t>Forme Triple</t>
  </si>
  <si>
    <t>Dreisegmentform</t>
  </si>
  <si>
    <t>Forma Trinodular</t>
  </si>
  <si>
    <t>Forma Trimetamero</t>
  </si>
  <si>
    <t>세 마디폼</t>
  </si>
  <si>
    <t>三节形态</t>
  </si>
  <si>
    <t>Zero Form</t>
  </si>
  <si>
    <t>ナイーブフォルム</t>
  </si>
  <si>
    <t>Forme Ordinaire</t>
  </si>
  <si>
    <t>Alltagsform</t>
  </si>
  <si>
    <t>Forma Ingenua</t>
  </si>
  <si>
    <t>나이브폼</t>
  </si>
  <si>
    <t>平凡形态</t>
  </si>
  <si>
    <t>Hero Form</t>
  </si>
  <si>
    <t>マイティフォルム</t>
  </si>
  <si>
    <t>Forme Super</t>
  </si>
  <si>
    <t>Heldenform</t>
  </si>
  <si>
    <t>Forma Heroica</t>
  </si>
  <si>
    <t>Forma Possente</t>
  </si>
  <si>
    <t>마이티폼</t>
  </si>
  <si>
    <t>全能形态</t>
  </si>
  <si>
    <t>Curly Form</t>
  </si>
  <si>
    <t>そったすがた</t>
  </si>
  <si>
    <t>Forme Courbée</t>
  </si>
  <si>
    <t>Gebogene Form</t>
  </si>
  <si>
    <t>Forma Curvada</t>
  </si>
  <si>
    <t>Forma Arcuata</t>
  </si>
  <si>
    <t>젖힌 모습</t>
  </si>
  <si>
    <t>上弓姿勢</t>
  </si>
  <si>
    <t>Droopy Form</t>
  </si>
  <si>
    <t>たれたすがた</t>
  </si>
  <si>
    <t>Forme Affalée</t>
  </si>
  <si>
    <t>Hängende Form</t>
  </si>
  <si>
    <t>Forma Lánguida</t>
  </si>
  <si>
    <t>Forma Adagiata</t>
  </si>
  <si>
    <t>늘어진 모습</t>
  </si>
  <si>
    <t>下垂姿勢</t>
  </si>
  <si>
    <t>Stretchy Form</t>
  </si>
  <si>
    <t>のびたすがた</t>
  </si>
  <si>
    <t>Forme Raide</t>
  </si>
  <si>
    <t>Gestreckte Form</t>
  </si>
  <si>
    <t>Forma Racta</t>
  </si>
  <si>
    <t>Forma Tesa</t>
  </si>
  <si>
    <t>뻗은 모습</t>
  </si>
  <si>
    <t>平挺姿勢</t>
  </si>
  <si>
    <t>Chest Form</t>
  </si>
  <si>
    <t>はこフォルム</t>
  </si>
  <si>
    <t>Forme Coffre</t>
  </si>
  <si>
    <t>Truhenform</t>
  </si>
  <si>
    <t>Forma Cofre</t>
  </si>
  <si>
    <t>Forma Scrigno</t>
  </si>
  <si>
    <t>상자폼</t>
  </si>
  <si>
    <t>寶箱形態</t>
  </si>
  <si>
    <t>Roaming Form</t>
  </si>
  <si>
    <t>とほフォルム</t>
  </si>
  <si>
    <t>Forme Marche</t>
  </si>
  <si>
    <t>Wanderform</t>
  </si>
  <si>
    <t>Forma Andante</t>
  </si>
  <si>
    <t>Forma Ambulante</t>
  </si>
  <si>
    <t>도보폼</t>
  </si>
  <si>
    <t>徒步形態</t>
  </si>
  <si>
    <t>Limited Power</t>
  </si>
  <si>
    <t>せいげんけいたい</t>
  </si>
  <si>
    <t>Forme Limitée</t>
  </si>
  <si>
    <t>Gehemmte Gestalt</t>
  </si>
  <si>
    <t>Fisonomía Limitada</t>
  </si>
  <si>
    <t>Foggia Parziale</t>
  </si>
  <si>
    <t>제한형태</t>
  </si>
  <si>
    <t>制限形態</t>
  </si>
  <si>
    <t>Sprinting Build</t>
  </si>
  <si>
    <t>しっそうけいたい</t>
  </si>
  <si>
    <t>Forme de Course</t>
  </si>
  <si>
    <t>Sprintgestalt</t>
  </si>
  <si>
    <t>Fisonomía Carrera</t>
  </si>
  <si>
    <t>Foggia Scattante</t>
  </si>
  <si>
    <t>질주형태</t>
  </si>
  <si>
    <t>疾馳形態</t>
  </si>
  <si>
    <t>Swimming Build</t>
  </si>
  <si>
    <t>ゆうえいけいたい</t>
  </si>
  <si>
    <t>Forme de Nage</t>
  </si>
  <si>
    <t>Schwimmgestalt</t>
  </si>
  <si>
    <t>Fisonomía Nado</t>
  </si>
  <si>
    <t>Foggia Nautica</t>
  </si>
  <si>
    <t>유영형태</t>
  </si>
  <si>
    <t>破浪形態</t>
  </si>
  <si>
    <t>Gliding Build</t>
  </si>
  <si>
    <t>かっくうけいたい</t>
  </si>
  <si>
    <t>Forme de Vol</t>
  </si>
  <si>
    <t>Schwingengestalt</t>
  </si>
  <si>
    <t>Fisonomía Planeo</t>
  </si>
  <si>
    <t>Foggia Librata</t>
  </si>
  <si>
    <t>활공형태</t>
  </si>
  <si>
    <t>乘風形態</t>
  </si>
  <si>
    <t>Apex Build</t>
  </si>
  <si>
    <t>かんぜんけいたい</t>
  </si>
  <si>
    <t>Forme Finale</t>
  </si>
  <si>
    <t>Volkommene Gestalt</t>
  </si>
  <si>
    <t>Fisonomía Plena</t>
  </si>
  <si>
    <t>Foggia Integrale</t>
  </si>
  <si>
    <t>완전형태</t>
  </si>
  <si>
    <t>完全形態</t>
  </si>
  <si>
    <t>Lower Power</t>
  </si>
  <si>
    <t>リミテッドモード</t>
  </si>
  <si>
    <t>Mode Bridé</t>
  </si>
  <si>
    <t>Begranzter Modus</t>
  </si>
  <si>
    <t>Modo Limitado</t>
  </si>
  <si>
    <t>Assetto Limitato</t>
  </si>
  <si>
    <t>리미티드모드</t>
  </si>
  <si>
    <t>受限模式</t>
  </si>
  <si>
    <t>Drive Mode</t>
  </si>
  <si>
    <t>ドライブモード</t>
  </si>
  <si>
    <t>Mode Terrestre</t>
  </si>
  <si>
    <t>Fahrmodus</t>
  </si>
  <si>
    <t>Modo Conducción</t>
  </si>
  <si>
    <t>Assetto Sprint</t>
  </si>
  <si>
    <t>드라이브모드</t>
  </si>
  <si>
    <t>行駛模式</t>
  </si>
  <si>
    <t>Aquatic Mode</t>
  </si>
  <si>
    <t>フロートモード</t>
  </si>
  <si>
    <t>Mode Aquatique</t>
  </si>
  <si>
    <t>Wassermodus</t>
  </si>
  <si>
    <t>Modo Flote</t>
  </si>
  <si>
    <t>Assetto Nuoto</t>
  </si>
  <si>
    <t>플로트모드</t>
  </si>
  <si>
    <t>浮水模式</t>
  </si>
  <si>
    <t>Glide Mode</t>
  </si>
  <si>
    <t>グライドモード</t>
  </si>
  <si>
    <t>Mode Aérien</t>
  </si>
  <si>
    <t>Gleitmodus</t>
  </si>
  <si>
    <t>Modo Planeo</t>
  </si>
  <si>
    <t>Assetto Planata</t>
  </si>
  <si>
    <t>글라이드모드</t>
  </si>
  <si>
    <t>滑翔模式</t>
  </si>
  <si>
    <t>Ultimate Mode</t>
  </si>
  <si>
    <t>コンプリートモード</t>
  </si>
  <si>
    <t>Mode Ultime</t>
  </si>
  <si>
    <t>Kompletter Modus</t>
  </si>
  <si>
    <t>Modo Pleno</t>
  </si>
  <si>
    <t>Assetto Completo</t>
  </si>
  <si>
    <t>컴플리트모드</t>
  </si>
  <si>
    <t>完整模式</t>
  </si>
  <si>
    <t>Bloodmoon</t>
  </si>
  <si>
    <t>アカツキ</t>
  </si>
  <si>
    <t>Lune Vermeille</t>
  </si>
  <si>
    <t>Blutmond</t>
  </si>
  <si>
    <t>Luna Carmesí</t>
  </si>
  <si>
    <t>Luna Cremisi</t>
  </si>
  <si>
    <t>붉은 달</t>
  </si>
  <si>
    <t>赫月</t>
  </si>
  <si>
    <t>Counterfeit Form</t>
  </si>
  <si>
    <t>マガイモノのすがた</t>
  </si>
  <si>
    <t>Forme Imitation</t>
  </si>
  <si>
    <t>Imitationsform</t>
  </si>
  <si>
    <t>Forma Fraudulenta</t>
  </si>
  <si>
    <t>Forma Taroccata</t>
  </si>
  <si>
    <t>가짜배기의 모습</t>
  </si>
  <si>
    <t>冒牌货的样子</t>
  </si>
  <si>
    <t>Artisan Form</t>
  </si>
  <si>
    <t>タカイモノのすがた</t>
  </si>
  <si>
    <t>Forme Onéreuse</t>
  </si>
  <si>
    <t>Kostbarkeitsform</t>
  </si>
  <si>
    <t>Forma Opulenta</t>
  </si>
  <si>
    <t>Forma Pregiata</t>
  </si>
  <si>
    <t>알짜배기의 모습</t>
  </si>
  <si>
    <t>高档货的样子</t>
  </si>
  <si>
    <t>Unremarkable Form</t>
  </si>
  <si>
    <t>ボンサクのすがた</t>
  </si>
  <si>
    <t>Forme Médiocre</t>
  </si>
  <si>
    <t>Simple Form</t>
  </si>
  <si>
    <t>Forma Mediocre</t>
  </si>
  <si>
    <t>Forma Dozzinale</t>
  </si>
  <si>
    <t>범작의 모습</t>
  </si>
  <si>
    <t>凡作的样子</t>
  </si>
  <si>
    <t>Masterpiece Form</t>
  </si>
  <si>
    <t>ケッサクのすがた</t>
  </si>
  <si>
    <t>Forme Exceptionnelle</t>
  </si>
  <si>
    <t>Edle Form</t>
  </si>
  <si>
    <t>Forma Exquisita</t>
  </si>
  <si>
    <t>Forma Eccezionale</t>
  </si>
  <si>
    <t>걸작의 모습</t>
  </si>
  <si>
    <t>杰作的样子</t>
  </si>
  <si>
    <t>Teal Mask</t>
  </si>
  <si>
    <t>みどりのめん</t>
  </si>
  <si>
    <t>Masque Turquoise</t>
  </si>
  <si>
    <t>Türkisgrüne Maske</t>
  </si>
  <si>
    <t>Máscara Turquesa</t>
  </si>
  <si>
    <t>Maschera Turchese</t>
  </si>
  <si>
    <t>벽록의 가면</t>
  </si>
  <si>
    <t>碧草面具</t>
  </si>
  <si>
    <t>Wellspring Mask</t>
  </si>
  <si>
    <t>いどのめん</t>
  </si>
  <si>
    <t>Masque du Puits</t>
  </si>
  <si>
    <t>Brunnenmaske</t>
  </si>
  <si>
    <t>Máscara Fuente</t>
  </si>
  <si>
    <t>Maschera Pozzo</t>
  </si>
  <si>
    <t>우물의 가면</t>
  </si>
  <si>
    <t>水井面具</t>
  </si>
  <si>
    <t>Hearthflame Mask</t>
  </si>
  <si>
    <t>かまどのめん</t>
  </si>
  <si>
    <t>Masque du Fourneau</t>
  </si>
  <si>
    <t>Ofenmaske</t>
  </si>
  <si>
    <t>Máscara Horno</t>
  </si>
  <si>
    <t>Maschera Focolare</t>
  </si>
  <si>
    <t>화덕의 가면</t>
  </si>
  <si>
    <t>火灶面具</t>
  </si>
  <si>
    <t>Cornerstone Mask</t>
  </si>
  <si>
    <t>いしずえのめん</t>
  </si>
  <si>
    <t>Masque de la Pierre</t>
  </si>
  <si>
    <t>Fundamentmaske</t>
  </si>
  <si>
    <t>Máscara Cimiento</t>
  </si>
  <si>
    <t>Maschera Fondamenta</t>
  </si>
  <si>
    <t>주춧돌의 가면</t>
  </si>
  <si>
    <t>础石面具</t>
  </si>
  <si>
    <t>普通形态</t>
  </si>
  <si>
    <t>Terastal Form</t>
  </si>
  <si>
    <t>太晶形态</t>
  </si>
  <si>
    <t>Seed</t>
  </si>
  <si>
    <t>たね</t>
  </si>
  <si>
    <t>Graine</t>
  </si>
  <si>
    <t>Samen</t>
  </si>
  <si>
    <t>Semilla</t>
  </si>
  <si>
    <t>Seme</t>
  </si>
  <si>
    <t>씨앗</t>
  </si>
  <si>
    <t>種子</t>
  </si>
  <si>
    <t>Lizard</t>
  </si>
  <si>
    <t>とかげ</t>
  </si>
  <si>
    <t>Lézard</t>
  </si>
  <si>
    <t>Echse</t>
  </si>
  <si>
    <t>Lagartija</t>
  </si>
  <si>
    <t>Lucertola</t>
  </si>
  <si>
    <t>도롱뇽</t>
  </si>
  <si>
    <t>蜥蜴</t>
  </si>
  <si>
    <t>Flame</t>
  </si>
  <si>
    <t>かえん</t>
  </si>
  <si>
    <t>Flamme</t>
  </si>
  <si>
    <t>Llama</t>
  </si>
  <si>
    <t>Fiamma</t>
  </si>
  <si>
    <t>화염</t>
  </si>
  <si>
    <t>火焰</t>
  </si>
  <si>
    <t>Tiny Turtle</t>
  </si>
  <si>
    <t>かめのこ</t>
  </si>
  <si>
    <t>Minitortue</t>
  </si>
  <si>
    <t>Minikröte</t>
  </si>
  <si>
    <t>Tortuguita</t>
  </si>
  <si>
    <t>Tartaghina</t>
  </si>
  <si>
    <t>꼬마거북</t>
  </si>
  <si>
    <t>小龜</t>
  </si>
  <si>
    <t>Turtle</t>
  </si>
  <si>
    <t>かめ</t>
  </si>
  <si>
    <t>Tortue</t>
  </si>
  <si>
    <t>Kröte</t>
  </si>
  <si>
    <t>Tortuga</t>
  </si>
  <si>
    <t>Tartaruga</t>
  </si>
  <si>
    <t>거북</t>
  </si>
  <si>
    <t>龟</t>
  </si>
  <si>
    <t>Shellfish</t>
  </si>
  <si>
    <t>こうら</t>
  </si>
  <si>
    <t>Carapace</t>
  </si>
  <si>
    <t>Schaltier</t>
  </si>
  <si>
    <t>Marisco</t>
  </si>
  <si>
    <t>Crostaceo</t>
  </si>
  <si>
    <t>껍질</t>
  </si>
  <si>
    <t>甲殼</t>
  </si>
  <si>
    <t>Worm</t>
  </si>
  <si>
    <t>いもむし</t>
  </si>
  <si>
    <t>Ver</t>
  </si>
  <si>
    <t>Wurm</t>
  </si>
  <si>
    <t>Gusano</t>
  </si>
  <si>
    <t>Baco</t>
  </si>
  <si>
    <t>애벌레</t>
  </si>
  <si>
    <t>蟲寶寶</t>
  </si>
  <si>
    <t>Cocoon</t>
  </si>
  <si>
    <t>さなぎ</t>
  </si>
  <si>
    <t>Cocon</t>
  </si>
  <si>
    <t>Kokon</t>
  </si>
  <si>
    <t>Capullo</t>
  </si>
  <si>
    <t>Bozzolo</t>
  </si>
  <si>
    <t>번데기</t>
  </si>
  <si>
    <t>蛹</t>
  </si>
  <si>
    <t>Butterfly</t>
  </si>
  <si>
    <t>ちょうちょ</t>
  </si>
  <si>
    <t>Papillon</t>
  </si>
  <si>
    <t>Falter</t>
  </si>
  <si>
    <t>Mariposa</t>
  </si>
  <si>
    <t>Farfalla</t>
  </si>
  <si>
    <t>나비</t>
  </si>
  <si>
    <t>蝴蝶</t>
  </si>
  <si>
    <t>Hairy Bug</t>
  </si>
  <si>
    <t>えむし</t>
  </si>
  <si>
    <t>Insectopic</t>
  </si>
  <si>
    <t>Raupe</t>
  </si>
  <si>
    <t>Oruga</t>
  </si>
  <si>
    <t>Millepiedi</t>
  </si>
  <si>
    <t>송충이</t>
  </si>
  <si>
    <t>毛毛蟲</t>
  </si>
  <si>
    <t>Poison Bee</t>
  </si>
  <si>
    <t>どくばち</t>
  </si>
  <si>
    <t>Guêpoison</t>
  </si>
  <si>
    <t>Giftbiene</t>
  </si>
  <si>
    <t>Abeja Ven.</t>
  </si>
  <si>
    <t>Velenape</t>
  </si>
  <si>
    <t>독벌</t>
  </si>
  <si>
    <t>毒蜂</t>
  </si>
  <si>
    <t>Tiny Bird</t>
  </si>
  <si>
    <t>ことり</t>
  </si>
  <si>
    <t>Minoiseau</t>
  </si>
  <si>
    <t>Kleinvogel</t>
  </si>
  <si>
    <t>Pajarito</t>
  </si>
  <si>
    <t>Uccellino</t>
  </si>
  <si>
    <t>아기새</t>
  </si>
  <si>
    <t>小鳥</t>
  </si>
  <si>
    <t>Bird</t>
  </si>
  <si>
    <t>とり</t>
  </si>
  <si>
    <t>Oiseau</t>
  </si>
  <si>
    <t>Vogel</t>
  </si>
  <si>
    <t>Pájaro</t>
  </si>
  <si>
    <t>Uccello</t>
  </si>
  <si>
    <t>새</t>
  </si>
  <si>
    <t>鳥</t>
  </si>
  <si>
    <t>Mouse</t>
  </si>
  <si>
    <t>ねずみ</t>
  </si>
  <si>
    <t>Souris</t>
  </si>
  <si>
    <t>Maus</t>
  </si>
  <si>
    <t>Ratón</t>
  </si>
  <si>
    <t>Topo</t>
  </si>
  <si>
    <t>쥐</t>
  </si>
  <si>
    <t>鼠</t>
  </si>
  <si>
    <t>Beak</t>
  </si>
  <si>
    <t>くちばし</t>
  </si>
  <si>
    <t>Bec-Oiseau</t>
  </si>
  <si>
    <t>Pickvogel</t>
  </si>
  <si>
    <t>Pico</t>
  </si>
  <si>
    <t>Becco</t>
  </si>
  <si>
    <t>부리</t>
  </si>
  <si>
    <t>鳥嘴</t>
  </si>
  <si>
    <t>Snake</t>
  </si>
  <si>
    <t>へび</t>
  </si>
  <si>
    <t>Serpent</t>
  </si>
  <si>
    <t>Schlange</t>
  </si>
  <si>
    <t>Serpiente</t>
  </si>
  <si>
    <t>Serpente</t>
  </si>
  <si>
    <t>뱀</t>
  </si>
  <si>
    <t>蛇</t>
  </si>
  <si>
    <t>Cobra</t>
  </si>
  <si>
    <t>コブラ</t>
  </si>
  <si>
    <t>Kobra</t>
  </si>
  <si>
    <t>코브라</t>
  </si>
  <si>
    <t>眼鏡蛇</t>
  </si>
  <si>
    <t>CATEGORY_NIDORAN-F</t>
  </si>
  <si>
    <t>Poison Pin</t>
  </si>
  <si>
    <t>どくばり</t>
  </si>
  <si>
    <t>Vénépic</t>
  </si>
  <si>
    <t>Giftdorn</t>
  </si>
  <si>
    <t>Pin Veneno</t>
  </si>
  <si>
    <t>Velenago</t>
  </si>
  <si>
    <t>독침</t>
  </si>
  <si>
    <t>毒針</t>
  </si>
  <si>
    <t>Drill</t>
  </si>
  <si>
    <t>ドリル</t>
  </si>
  <si>
    <t>Perceur</t>
  </si>
  <si>
    <t>Bohrer</t>
  </si>
  <si>
    <t>Taladro</t>
  </si>
  <si>
    <t>Trapano</t>
  </si>
  <si>
    <t>드릴</t>
  </si>
  <si>
    <t>鑽錐</t>
  </si>
  <si>
    <t>CATEGORY_NIDORAN-M</t>
  </si>
  <si>
    <t>ようせい</t>
  </si>
  <si>
    <t>Fata</t>
  </si>
  <si>
    <t>요정</t>
  </si>
  <si>
    <t>Fox</t>
  </si>
  <si>
    <t>きつね</t>
  </si>
  <si>
    <t>Renard</t>
  </si>
  <si>
    <t>Fuchs</t>
  </si>
  <si>
    <t>Zorro</t>
  </si>
  <si>
    <t>Volpe</t>
  </si>
  <si>
    <t>여우</t>
  </si>
  <si>
    <t>狐狸</t>
  </si>
  <si>
    <t>Balloon</t>
  </si>
  <si>
    <t>ふうせん</t>
  </si>
  <si>
    <t>Bouboule</t>
  </si>
  <si>
    <t>Ballon</t>
  </si>
  <si>
    <t>Globo</t>
  </si>
  <si>
    <t>Pallone</t>
  </si>
  <si>
    <t>풍선</t>
  </si>
  <si>
    <t>氣球</t>
  </si>
  <si>
    <t>Bat</t>
  </si>
  <si>
    <t>こうもり</t>
  </si>
  <si>
    <t>Chovsouris</t>
  </si>
  <si>
    <t>Fledermaus</t>
  </si>
  <si>
    <t>Murciélago</t>
  </si>
  <si>
    <t>Pipistrello</t>
  </si>
  <si>
    <t>박쥐</t>
  </si>
  <si>
    <t>蝙蝠</t>
  </si>
  <si>
    <t>Weed</t>
  </si>
  <si>
    <t>ぎっそう</t>
  </si>
  <si>
    <t>Racine</t>
  </si>
  <si>
    <t>Unkraut</t>
  </si>
  <si>
    <t>Hierbajo</t>
  </si>
  <si>
    <t>Malerba</t>
  </si>
  <si>
    <t>잡초</t>
  </si>
  <si>
    <t>雜草</t>
  </si>
  <si>
    <t>Flower</t>
  </si>
  <si>
    <t>フラワー</t>
  </si>
  <si>
    <t>Fleur</t>
  </si>
  <si>
    <t>Blume</t>
  </si>
  <si>
    <t>Flor</t>
  </si>
  <si>
    <t>Fiore</t>
  </si>
  <si>
    <t>꽃</t>
  </si>
  <si>
    <t>花</t>
  </si>
  <si>
    <t>Mushroom</t>
  </si>
  <si>
    <t>きのこ</t>
  </si>
  <si>
    <t>Champignon</t>
  </si>
  <si>
    <t>Pilz</t>
  </si>
  <si>
    <t>Hongo</t>
  </si>
  <si>
    <t>Fungo</t>
  </si>
  <si>
    <t>버섯</t>
  </si>
  <si>
    <t>蘑菇</t>
  </si>
  <si>
    <t>Insect</t>
  </si>
  <si>
    <t>こんちゅう</t>
  </si>
  <si>
    <t>Vermine</t>
  </si>
  <si>
    <t>Insekt</t>
  </si>
  <si>
    <t>Insecto</t>
  </si>
  <si>
    <t>Insetto</t>
  </si>
  <si>
    <t>곤충</t>
  </si>
  <si>
    <t>昆蟲</t>
  </si>
  <si>
    <t>Poison Moth</t>
  </si>
  <si>
    <t>どくが</t>
  </si>
  <si>
    <t>Papipoison</t>
  </si>
  <si>
    <t>Giftmotte</t>
  </si>
  <si>
    <t>Polilla Ven.</t>
  </si>
  <si>
    <t>Velentarma</t>
  </si>
  <si>
    <t>독나방</t>
  </si>
  <si>
    <t>毒蛾</t>
  </si>
  <si>
    <t>Mole</t>
  </si>
  <si>
    <t>もぐら</t>
  </si>
  <si>
    <t>Taupe</t>
  </si>
  <si>
    <t>Maulwurf</t>
  </si>
  <si>
    <t>Talpa</t>
  </si>
  <si>
    <t>두더지</t>
  </si>
  <si>
    <t>鼴鼠</t>
  </si>
  <si>
    <t>Scratch Cat</t>
  </si>
  <si>
    <t>ばけねこ</t>
  </si>
  <si>
    <t>Chadégout</t>
  </si>
  <si>
    <t>Katze</t>
  </si>
  <si>
    <t>Gato Araña</t>
  </si>
  <si>
    <t>Graffimiao</t>
  </si>
  <si>
    <t>요괴고양이</t>
  </si>
  <si>
    <t>妖怪貓</t>
  </si>
  <si>
    <t>Classy Cat</t>
  </si>
  <si>
    <t>シャムネコ</t>
  </si>
  <si>
    <t>Chadeville</t>
  </si>
  <si>
    <t>Rassekatze</t>
  </si>
  <si>
    <t>Gato Fino</t>
  </si>
  <si>
    <t>Nobilgatto</t>
  </si>
  <si>
    <t>샴고양이</t>
  </si>
  <si>
    <t>暹羅貓</t>
  </si>
  <si>
    <t>Duck</t>
  </si>
  <si>
    <t>あひる</t>
  </si>
  <si>
    <t>Canard</t>
  </si>
  <si>
    <t>Ente</t>
  </si>
  <si>
    <t>Pato</t>
  </si>
  <si>
    <t>Papero</t>
  </si>
  <si>
    <t>오리</t>
  </si>
  <si>
    <t>鴨</t>
  </si>
  <si>
    <t>Pig Monkey</t>
  </si>
  <si>
    <t>ぶたざる</t>
  </si>
  <si>
    <t>Porsinge</t>
  </si>
  <si>
    <t>Schwein / Affe</t>
  </si>
  <si>
    <t>Mono Cerdo</t>
  </si>
  <si>
    <t>Suinpanzé</t>
  </si>
  <si>
    <t>돈숭이</t>
  </si>
  <si>
    <t>豬猴</t>
  </si>
  <si>
    <t>Puppy</t>
  </si>
  <si>
    <t>こいぬ</t>
  </si>
  <si>
    <t>Chiot</t>
  </si>
  <si>
    <t>Welpen</t>
  </si>
  <si>
    <t>Perrito</t>
  </si>
  <si>
    <t>Cagnolino</t>
  </si>
  <si>
    <t>강아지</t>
  </si>
  <si>
    <t>小狗</t>
  </si>
  <si>
    <t>Legendary</t>
  </si>
  <si>
    <t>でんせつ</t>
  </si>
  <si>
    <t>Légendaire</t>
  </si>
  <si>
    <t>Legendär</t>
  </si>
  <si>
    <t>Legendario</t>
  </si>
  <si>
    <t>Leggenda</t>
  </si>
  <si>
    <t>전설</t>
  </si>
  <si>
    <t>傳說</t>
  </si>
  <si>
    <t>Tadpole</t>
  </si>
  <si>
    <t>おたま</t>
  </si>
  <si>
    <t>Têtard</t>
  </si>
  <si>
    <t>Kaulquappe</t>
  </si>
  <si>
    <t>Renacuajo</t>
  </si>
  <si>
    <t>Girino</t>
  </si>
  <si>
    <t>올챙이</t>
  </si>
  <si>
    <t>蝌蚪</t>
  </si>
  <si>
    <t>Psi</t>
  </si>
  <si>
    <t>ねんりき</t>
  </si>
  <si>
    <t>Psy</t>
  </si>
  <si>
    <t>Psico</t>
  </si>
  <si>
    <t>초능력</t>
  </si>
  <si>
    <t>念力</t>
  </si>
  <si>
    <t>Superpower</t>
  </si>
  <si>
    <t>かいりき</t>
  </si>
  <si>
    <t>Colosse</t>
  </si>
  <si>
    <t>Kraftprotz</t>
  </si>
  <si>
    <t>Superpoder</t>
  </si>
  <si>
    <t>Megaforza</t>
  </si>
  <si>
    <t>괴력</t>
  </si>
  <si>
    <t>Flycatcher</t>
  </si>
  <si>
    <t>ハエトリ</t>
  </si>
  <si>
    <t>Carnivore</t>
  </si>
  <si>
    <t>Fliegentot</t>
  </si>
  <si>
    <t>Matamoscas</t>
  </si>
  <si>
    <t>Moschivoro</t>
  </si>
  <si>
    <t>파리잡이</t>
  </si>
  <si>
    <t>捕蠅</t>
  </si>
  <si>
    <t>Jellyfish</t>
  </si>
  <si>
    <t>くらげ</t>
  </si>
  <si>
    <t>Mollusque</t>
  </si>
  <si>
    <t>Qualle</t>
  </si>
  <si>
    <t>Medusa</t>
  </si>
  <si>
    <t>해파리</t>
  </si>
  <si>
    <t>水母</t>
  </si>
  <si>
    <t>がんせき</t>
  </si>
  <si>
    <t>암석</t>
  </si>
  <si>
    <t>Megaton</t>
  </si>
  <si>
    <t>メガトン</t>
  </si>
  <si>
    <t>Titanesque</t>
  </si>
  <si>
    <t>Urgestein</t>
  </si>
  <si>
    <t>Megatón</t>
  </si>
  <si>
    <t>Megatone</t>
  </si>
  <si>
    <t>메가톤</t>
  </si>
  <si>
    <t>重量級</t>
  </si>
  <si>
    <t>Fire Horse</t>
  </si>
  <si>
    <t>ひのうま</t>
  </si>
  <si>
    <t>Cheval Feu</t>
  </si>
  <si>
    <t>Feuerpferd</t>
  </si>
  <si>
    <t>Caballo F.</t>
  </si>
  <si>
    <t>Cavalfuoco</t>
  </si>
  <si>
    <t>불의말</t>
  </si>
  <si>
    <t>火馬</t>
  </si>
  <si>
    <t>Unique Horn</t>
  </si>
  <si>
    <t>いっかく</t>
  </si>
  <si>
    <t>Monocorne</t>
  </si>
  <si>
    <t>Einhorn</t>
  </si>
  <si>
    <t>Unicorne</t>
  </si>
  <si>
    <t>Singolcorno</t>
  </si>
  <si>
    <t>일각</t>
  </si>
  <si>
    <t>一角</t>
  </si>
  <si>
    <t>Dopey</t>
  </si>
  <si>
    <t>まぬけ</t>
  </si>
  <si>
    <t>Crétin</t>
  </si>
  <si>
    <t>Schnarcher</t>
  </si>
  <si>
    <t>Atontado</t>
  </si>
  <si>
    <t>Ronfone</t>
  </si>
  <si>
    <t>얼간이</t>
  </si>
  <si>
    <t>憨憨</t>
  </si>
  <si>
    <t>Hermit Crab</t>
  </si>
  <si>
    <t>やどかり</t>
  </si>
  <si>
    <t>Symbiose</t>
  </si>
  <si>
    <t>Ermitaño</t>
  </si>
  <si>
    <t>Paguro</t>
  </si>
  <si>
    <t>기생</t>
  </si>
  <si>
    <t>寄居蟹</t>
  </si>
  <si>
    <t>Magnétique</t>
  </si>
  <si>
    <t>자석</t>
  </si>
  <si>
    <t>磁鐵</t>
  </si>
  <si>
    <t>Wild Duck</t>
  </si>
  <si>
    <t>かるがも</t>
  </si>
  <si>
    <t>Canard Fou</t>
  </si>
  <si>
    <t>Wildente</t>
  </si>
  <si>
    <t>Pato Salvaje</t>
  </si>
  <si>
    <t>Salvanatra</t>
  </si>
  <si>
    <t>천둥오리</t>
  </si>
  <si>
    <t>黃嘴鴨</t>
  </si>
  <si>
    <t>Twin Bird</t>
  </si>
  <si>
    <t>ふたごどり</t>
  </si>
  <si>
    <t>Duoiseau</t>
  </si>
  <si>
    <t>Duovogel</t>
  </si>
  <si>
    <t>Ave Gemela</t>
  </si>
  <si>
    <t>Biucello</t>
  </si>
  <si>
    <t>쌍둥이새</t>
  </si>
  <si>
    <t>兩頭鳥</t>
  </si>
  <si>
    <t>Triple Bird</t>
  </si>
  <si>
    <t>みつごどり</t>
  </si>
  <si>
    <t>Trioiseau</t>
  </si>
  <si>
    <t>Trivogel</t>
  </si>
  <si>
    <t>Ave Triple</t>
  </si>
  <si>
    <t>Triucello</t>
  </si>
  <si>
    <t>세쌍둥이새</t>
  </si>
  <si>
    <t>三頭鳥</t>
  </si>
  <si>
    <t>Sea Lion</t>
  </si>
  <si>
    <t>あしか</t>
  </si>
  <si>
    <t>Otarie</t>
  </si>
  <si>
    <t>Seehund</t>
  </si>
  <si>
    <t>León Marino</t>
  </si>
  <si>
    <t>강치</t>
  </si>
  <si>
    <t>海獅</t>
  </si>
  <si>
    <t>ヘドロ</t>
  </si>
  <si>
    <t>Dégueu</t>
  </si>
  <si>
    <t>Schlamm</t>
  </si>
  <si>
    <t>Lodo</t>
  </si>
  <si>
    <t>Melma</t>
  </si>
  <si>
    <t>진흙</t>
  </si>
  <si>
    <t>污泥</t>
  </si>
  <si>
    <t>Bivalve</t>
  </si>
  <si>
    <t>２まいがい</t>
  </si>
  <si>
    <t>Muschel</t>
  </si>
  <si>
    <t>Bivalvo</t>
  </si>
  <si>
    <t>두조개</t>
  </si>
  <si>
    <t>雙殼貝</t>
  </si>
  <si>
    <t>Gas</t>
  </si>
  <si>
    <t>ガスじょう</t>
  </si>
  <si>
    <t>Gaz</t>
  </si>
  <si>
    <t>가스</t>
  </si>
  <si>
    <t>氣體狀</t>
  </si>
  <si>
    <t>Shadow</t>
  </si>
  <si>
    <t>シャドー</t>
  </si>
  <si>
    <t>Ombre</t>
  </si>
  <si>
    <t>Schatten</t>
  </si>
  <si>
    <t>Sombra</t>
  </si>
  <si>
    <t>Ombra</t>
  </si>
  <si>
    <t>그림자</t>
  </si>
  <si>
    <t>影子</t>
  </si>
  <si>
    <t>Rock Snake</t>
  </si>
  <si>
    <t>いわへび</t>
  </si>
  <si>
    <t>Serpenroc</t>
  </si>
  <si>
    <t>Felsnatter</t>
  </si>
  <si>
    <t>Serp. Roca</t>
  </si>
  <si>
    <t>Serpesasso</t>
  </si>
  <si>
    <t>돌뱀</t>
  </si>
  <si>
    <t>岩蛇</t>
  </si>
  <si>
    <t>さいみん</t>
  </si>
  <si>
    <t>최면</t>
  </si>
  <si>
    <t>催眠</t>
  </si>
  <si>
    <t>River Crab</t>
  </si>
  <si>
    <t>さわがけ</t>
  </si>
  <si>
    <t>Doux Crabe</t>
  </si>
  <si>
    <t>Krabbe</t>
  </si>
  <si>
    <t>Cangrejo</t>
  </si>
  <si>
    <t>Granchio</t>
  </si>
  <si>
    <t>게</t>
  </si>
  <si>
    <t>清水蟹</t>
  </si>
  <si>
    <t>Pincer</t>
  </si>
  <si>
    <t>はさみ</t>
  </si>
  <si>
    <t>Pince</t>
  </si>
  <si>
    <t>Kneifer</t>
  </si>
  <si>
    <t>Tenaza</t>
  </si>
  <si>
    <t>Chela</t>
  </si>
  <si>
    <t>집게</t>
  </si>
  <si>
    <t>鉗子</t>
  </si>
  <si>
    <t>Ball</t>
  </si>
  <si>
    <t>ボール</t>
  </si>
  <si>
    <t>Balle</t>
  </si>
  <si>
    <t>Bola</t>
  </si>
  <si>
    <t>볼</t>
  </si>
  <si>
    <t>球</t>
  </si>
  <si>
    <t>CATEGORY_VOLTORB-H</t>
  </si>
  <si>
    <t>Sphere</t>
  </si>
  <si>
    <t>きゅうたい</t>
  </si>
  <si>
    <t>Sphère</t>
  </si>
  <si>
    <t>Kugel</t>
  </si>
  <si>
    <t>Esfera</t>
  </si>
  <si>
    <t>Sfera</t>
  </si>
  <si>
    <t>구체</t>
  </si>
  <si>
    <t>丸</t>
  </si>
  <si>
    <t>CATEGORY_ELECTRODE-H</t>
  </si>
  <si>
    <t>Egg</t>
  </si>
  <si>
    <t>たまご</t>
  </si>
  <si>
    <t>Œuf</t>
  </si>
  <si>
    <t>Ei</t>
  </si>
  <si>
    <t>Huevo</t>
  </si>
  <si>
    <t>Uovo</t>
  </si>
  <si>
    <t>알</t>
  </si>
  <si>
    <t>蛋</t>
  </si>
  <si>
    <t>Coconut</t>
  </si>
  <si>
    <t>やしのみ</t>
  </si>
  <si>
    <t>Fruitpalme</t>
  </si>
  <si>
    <t>Palmfrucht</t>
  </si>
  <si>
    <t>Coco</t>
  </si>
  <si>
    <t>Nocecocco</t>
  </si>
  <si>
    <t>야자열매</t>
  </si>
  <si>
    <t>椰子</t>
  </si>
  <si>
    <t>こどく</t>
  </si>
  <si>
    <t>Solitaire</t>
  </si>
  <si>
    <t>Einsam</t>
  </si>
  <si>
    <t>Solitario</t>
  </si>
  <si>
    <t>고독</t>
  </si>
  <si>
    <t>孤獨</t>
  </si>
  <si>
    <t>Bone Keeper</t>
  </si>
  <si>
    <t>ほねずき</t>
  </si>
  <si>
    <t>Gard'Os</t>
  </si>
  <si>
    <t>Knochenfan</t>
  </si>
  <si>
    <t>Apilahueso</t>
  </si>
  <si>
    <t>Guardaossi</t>
  </si>
  <si>
    <t>뼈다귀</t>
  </si>
  <si>
    <t>愛骨</t>
  </si>
  <si>
    <t>Kicking</t>
  </si>
  <si>
    <t>キック</t>
  </si>
  <si>
    <t>Latteur</t>
  </si>
  <si>
    <t>Kicker</t>
  </si>
  <si>
    <t>Patada</t>
  </si>
  <si>
    <t>Tiracalci</t>
  </si>
  <si>
    <t>킥</t>
  </si>
  <si>
    <t>踢腿</t>
  </si>
  <si>
    <t>Punching</t>
  </si>
  <si>
    <t>パンチ</t>
  </si>
  <si>
    <t>Puncheur</t>
  </si>
  <si>
    <t>Puncher</t>
  </si>
  <si>
    <t>Puñetazo</t>
  </si>
  <si>
    <t>Tirapugni</t>
  </si>
  <si>
    <t>펀치</t>
  </si>
  <si>
    <t>拳擊</t>
  </si>
  <si>
    <t>Licking</t>
  </si>
  <si>
    <t>なめまわし</t>
  </si>
  <si>
    <t>Lécheur</t>
  </si>
  <si>
    <t>Schlecker</t>
  </si>
  <si>
    <t>Lametazo</t>
  </si>
  <si>
    <t>Linguaccia</t>
  </si>
  <si>
    <t>핥기</t>
  </si>
  <si>
    <t>舔舔</t>
  </si>
  <si>
    <t>Gaz Mortel</t>
  </si>
  <si>
    <t>Velenuvola</t>
  </si>
  <si>
    <t>독가스</t>
  </si>
  <si>
    <t>毒氣</t>
  </si>
  <si>
    <t>とげとげ</t>
  </si>
  <si>
    <t>Piquant</t>
  </si>
  <si>
    <t>Clavos</t>
  </si>
  <si>
    <t>Punzoni</t>
  </si>
  <si>
    <t>뿔</t>
  </si>
  <si>
    <t>尖尖</t>
  </si>
  <si>
    <t>Vine</t>
  </si>
  <si>
    <t>ツルじょう</t>
  </si>
  <si>
    <t>Vigne</t>
  </si>
  <si>
    <t>Ranke</t>
  </si>
  <si>
    <t>Enredadera</t>
  </si>
  <si>
    <t>Liana</t>
  </si>
  <si>
    <t>넝쿨</t>
  </si>
  <si>
    <t>藤蔓狀</t>
  </si>
  <si>
    <t>Parent</t>
  </si>
  <si>
    <t>おやこ</t>
  </si>
  <si>
    <t>Maternel</t>
  </si>
  <si>
    <t>Muttertier</t>
  </si>
  <si>
    <t>Padres</t>
  </si>
  <si>
    <t>Genitore</t>
  </si>
  <si>
    <t>가족</t>
  </si>
  <si>
    <t>親子</t>
  </si>
  <si>
    <t>Goldfish</t>
  </si>
  <si>
    <t>きんぎょ</t>
  </si>
  <si>
    <t>Poisson</t>
  </si>
  <si>
    <t>Goldfisch</t>
  </si>
  <si>
    <t>Pez Color</t>
  </si>
  <si>
    <t>Pescerosso</t>
  </si>
  <si>
    <t>금붕어</t>
  </si>
  <si>
    <t>金魚</t>
  </si>
  <si>
    <t>Star Shape</t>
  </si>
  <si>
    <t>ほしがた</t>
  </si>
  <si>
    <t>Étoile</t>
  </si>
  <si>
    <t>Sternform</t>
  </si>
  <si>
    <t>Estrellada</t>
  </si>
  <si>
    <t>Stella</t>
  </si>
  <si>
    <t>별</t>
  </si>
  <si>
    <t>星形</t>
  </si>
  <si>
    <t>Mysterious</t>
  </si>
  <si>
    <t>なぞの</t>
  </si>
  <si>
    <t>Mystérieux</t>
  </si>
  <si>
    <t>Mysteriös</t>
  </si>
  <si>
    <t>Misterioso</t>
  </si>
  <si>
    <t>수수께끼</t>
  </si>
  <si>
    <t>謎</t>
  </si>
  <si>
    <t>CATEGORY_MRMIME</t>
  </si>
  <si>
    <t>Bloqueur</t>
  </si>
  <si>
    <t>Sperre</t>
  </si>
  <si>
    <t>Mantis</t>
  </si>
  <si>
    <t>かまきり</t>
  </si>
  <si>
    <t>Mante</t>
  </si>
  <si>
    <t>Mantide</t>
  </si>
  <si>
    <t>버마재비</t>
  </si>
  <si>
    <t>螳螂</t>
  </si>
  <si>
    <t>Human Shape</t>
  </si>
  <si>
    <t>ひとがた</t>
  </si>
  <si>
    <t>Humanoïde</t>
  </si>
  <si>
    <t>Humanotyp</t>
  </si>
  <si>
    <t>Forma Humana</t>
  </si>
  <si>
    <t>Umanoide</t>
  </si>
  <si>
    <t>인간형태</t>
  </si>
  <si>
    <t>人形</t>
  </si>
  <si>
    <t>でんげき</t>
  </si>
  <si>
    <t>Électrique</t>
  </si>
  <si>
    <t>Elettrico</t>
  </si>
  <si>
    <t>電擊</t>
  </si>
  <si>
    <t>Spitfire</t>
  </si>
  <si>
    <t>ひふき</t>
  </si>
  <si>
    <t>Crache-Feu</t>
  </si>
  <si>
    <t>Brenner</t>
  </si>
  <si>
    <t>Escupefuego</t>
  </si>
  <si>
    <t>Sputafuoco</t>
  </si>
  <si>
    <t>불뿜기</t>
  </si>
  <si>
    <t>吐火</t>
  </si>
  <si>
    <t>Stag Beetle</t>
  </si>
  <si>
    <t>くわがた</t>
  </si>
  <si>
    <t>Scarabée</t>
  </si>
  <si>
    <t>Kneifkäfer</t>
  </si>
  <si>
    <t>Escarabajo</t>
  </si>
  <si>
    <t>Cervolante</t>
  </si>
  <si>
    <t>뿔집게</t>
  </si>
  <si>
    <t>鍬形蟲</t>
  </si>
  <si>
    <t>Wild Bull</t>
  </si>
  <si>
    <t>あばれうし</t>
  </si>
  <si>
    <t>Buffle</t>
  </si>
  <si>
    <t>Wildbulle</t>
  </si>
  <si>
    <t>Toro Bravo</t>
  </si>
  <si>
    <t>Torobrado</t>
  </si>
  <si>
    <t>성난소</t>
  </si>
  <si>
    <t>暴牛</t>
  </si>
  <si>
    <t>Fish</t>
  </si>
  <si>
    <t>さかな</t>
  </si>
  <si>
    <t>Fisch</t>
  </si>
  <si>
    <t>Pez</t>
  </si>
  <si>
    <t>Pesce</t>
  </si>
  <si>
    <t>물고기</t>
  </si>
  <si>
    <t>魚</t>
  </si>
  <si>
    <t>Atrocious</t>
  </si>
  <si>
    <t>きょうあく</t>
  </si>
  <si>
    <t>Terrifiant</t>
  </si>
  <si>
    <t>Grausam</t>
  </si>
  <si>
    <t>Atrocidad</t>
  </si>
  <si>
    <t>Atroce</t>
  </si>
  <si>
    <t>흉악</t>
  </si>
  <si>
    <t>凶惡</t>
  </si>
  <si>
    <t>Transport</t>
  </si>
  <si>
    <t>のりもの</t>
  </si>
  <si>
    <t>Transporte</t>
  </si>
  <si>
    <t>Transporto</t>
  </si>
  <si>
    <t>탈것</t>
  </si>
  <si>
    <t>乘載</t>
  </si>
  <si>
    <t>Mutante</t>
  </si>
  <si>
    <t>Evolution</t>
  </si>
  <si>
    <t>しんか</t>
  </si>
  <si>
    <t>Évolutif</t>
  </si>
  <si>
    <t>Evolución</t>
  </si>
  <si>
    <t>Evoluzione</t>
  </si>
  <si>
    <t>진화</t>
  </si>
  <si>
    <t>進化</t>
  </si>
  <si>
    <t>Bubble Jet</t>
  </si>
  <si>
    <t>あわはき</t>
  </si>
  <si>
    <t>Bulleur</t>
  </si>
  <si>
    <t>Blubblase</t>
  </si>
  <si>
    <t>Burbuja</t>
  </si>
  <si>
    <t>Bollajet</t>
  </si>
  <si>
    <t>거품뿜기</t>
  </si>
  <si>
    <t>吐泡</t>
  </si>
  <si>
    <t>Lightning</t>
  </si>
  <si>
    <t>かみなり</t>
  </si>
  <si>
    <t>Orage</t>
  </si>
  <si>
    <t>Blitz</t>
  </si>
  <si>
    <t>Relámpago</t>
  </si>
  <si>
    <t>Luminoso</t>
  </si>
  <si>
    <t>번개</t>
  </si>
  <si>
    <t>雷</t>
  </si>
  <si>
    <t>ほのお</t>
  </si>
  <si>
    <t>불꽃</t>
  </si>
  <si>
    <t>火</t>
  </si>
  <si>
    <t>Virtual</t>
  </si>
  <si>
    <t>バーチャル</t>
  </si>
  <si>
    <t>Virtuel</t>
  </si>
  <si>
    <t>Virtuell</t>
  </si>
  <si>
    <t>Virtuale</t>
  </si>
  <si>
    <t>가상</t>
  </si>
  <si>
    <t>虛擬</t>
  </si>
  <si>
    <t>Spiral</t>
  </si>
  <si>
    <t>うずまき</t>
  </si>
  <si>
    <t>Spirale</t>
  </si>
  <si>
    <t>Espiral</t>
  </si>
  <si>
    <t>소용돌이</t>
  </si>
  <si>
    <t>漩渦</t>
  </si>
  <si>
    <t>Fossil</t>
  </si>
  <si>
    <t>かせき</t>
  </si>
  <si>
    <t>Fossile</t>
  </si>
  <si>
    <t>Fósil</t>
  </si>
  <si>
    <t>화석</t>
  </si>
  <si>
    <t>化石</t>
  </si>
  <si>
    <t>Sleeping</t>
  </si>
  <si>
    <t>いねむり</t>
  </si>
  <si>
    <t>Pionceur</t>
  </si>
  <si>
    <t>Tagträumer</t>
  </si>
  <si>
    <t>Dormir</t>
  </si>
  <si>
    <t>Sonno</t>
  </si>
  <si>
    <t>졸음</t>
  </si>
  <si>
    <t>瞌睡</t>
  </si>
  <si>
    <t>Freeze</t>
  </si>
  <si>
    <t>れいとう</t>
  </si>
  <si>
    <t>Glaciaire</t>
  </si>
  <si>
    <t>Eis</t>
  </si>
  <si>
    <t>Congelar</t>
  </si>
  <si>
    <t>Gelo</t>
  </si>
  <si>
    <t>냉동</t>
  </si>
  <si>
    <t>冰凍</t>
  </si>
  <si>
    <t>Elektro</t>
  </si>
  <si>
    <t>Strong Legs</t>
  </si>
  <si>
    <t>けんきゃく</t>
  </si>
  <si>
    <t>Fort-Pied</t>
  </si>
  <si>
    <t>Läufer</t>
  </si>
  <si>
    <t>Patas Recias</t>
  </si>
  <si>
    <t>Zampeforti</t>
  </si>
  <si>
    <t>건각</t>
  </si>
  <si>
    <t>健脚</t>
  </si>
  <si>
    <t>Malevolent</t>
  </si>
  <si>
    <t>じゃあく</t>
  </si>
  <si>
    <t>Maléfique</t>
  </si>
  <si>
    <t>Bosheits</t>
  </si>
  <si>
    <t>Malignidad</t>
  </si>
  <si>
    <t>Malvagità</t>
  </si>
  <si>
    <t>사악</t>
  </si>
  <si>
    <t>Genetic</t>
  </si>
  <si>
    <t>いでんし</t>
  </si>
  <si>
    <t>Génétique</t>
  </si>
  <si>
    <t>Genmutant</t>
  </si>
  <si>
    <t>Genético</t>
  </si>
  <si>
    <t>Genetico</t>
  </si>
  <si>
    <t>유전</t>
  </si>
  <si>
    <t>基因</t>
  </si>
  <si>
    <t>New Species</t>
  </si>
  <si>
    <t>しんしゅ</t>
  </si>
  <si>
    <t>Nouveau</t>
  </si>
  <si>
    <t>Neue Art</t>
  </si>
  <si>
    <t>N. Especie</t>
  </si>
  <si>
    <t>Novaspecie</t>
  </si>
  <si>
    <t>신종</t>
  </si>
  <si>
    <t>新種</t>
  </si>
  <si>
    <t>Leaf</t>
  </si>
  <si>
    <t>はっぱ</t>
  </si>
  <si>
    <t>Feuille</t>
  </si>
  <si>
    <t>Laub</t>
  </si>
  <si>
    <t>Hoja</t>
  </si>
  <si>
    <t>Foglia</t>
  </si>
  <si>
    <t>잎사귀</t>
  </si>
  <si>
    <t>葉子</t>
  </si>
  <si>
    <t>Herb</t>
  </si>
  <si>
    <t>ハーブ</t>
  </si>
  <si>
    <t>Herbe</t>
  </si>
  <si>
    <t>Kräuter</t>
  </si>
  <si>
    <t>Hierba</t>
  </si>
  <si>
    <t>Erbe</t>
  </si>
  <si>
    <t>허브</t>
  </si>
  <si>
    <t>芳草</t>
  </si>
  <si>
    <t>Fire Mouse</t>
  </si>
  <si>
    <t>ひねずみ</t>
  </si>
  <si>
    <t>Souris Feu</t>
  </si>
  <si>
    <t>Feuermaus</t>
  </si>
  <si>
    <t>Ratón Fuego</t>
  </si>
  <si>
    <t>Fuocotopo</t>
  </si>
  <si>
    <t>불쥐</t>
  </si>
  <si>
    <t>火鼠</t>
  </si>
  <si>
    <t>Volcano</t>
  </si>
  <si>
    <t>かざん</t>
  </si>
  <si>
    <t>Volcan</t>
  </si>
  <si>
    <t>Vulkan</t>
  </si>
  <si>
    <t>Volcán</t>
  </si>
  <si>
    <t>화산</t>
  </si>
  <si>
    <t>火山</t>
  </si>
  <si>
    <t>Ghost Flame</t>
  </si>
  <si>
    <t>おにび</t>
  </si>
  <si>
    <t>Feu Follet</t>
  </si>
  <si>
    <t>Irrlicht</t>
  </si>
  <si>
    <t>Fuego Fatuo</t>
  </si>
  <si>
    <t>Fuocofatuo</t>
  </si>
  <si>
    <t>도깨비불</t>
  </si>
  <si>
    <t>鬼火</t>
  </si>
  <si>
    <t>Big Jaw</t>
  </si>
  <si>
    <t>おおあご</t>
  </si>
  <si>
    <t>Mâchoire</t>
  </si>
  <si>
    <t>Großmaul</t>
  </si>
  <si>
    <t>Fauces</t>
  </si>
  <si>
    <t>Mascellone</t>
  </si>
  <si>
    <t>큰턱</t>
  </si>
  <si>
    <t>大顎</t>
  </si>
  <si>
    <t>Scout</t>
  </si>
  <si>
    <t>みはり</t>
  </si>
  <si>
    <t>Espion</t>
  </si>
  <si>
    <t>Späher</t>
  </si>
  <si>
    <t>Explorador</t>
  </si>
  <si>
    <t>Esplorante</t>
  </si>
  <si>
    <t>망보기</t>
  </si>
  <si>
    <t>放哨</t>
  </si>
  <si>
    <t>Long Body</t>
  </si>
  <si>
    <t>どうなが</t>
  </si>
  <si>
    <t>Allongé</t>
  </si>
  <si>
    <t>Langleib</t>
  </si>
  <si>
    <t>Alargado</t>
  </si>
  <si>
    <t>Lungocorpo</t>
  </si>
  <si>
    <t>긴몸통</t>
  </si>
  <si>
    <t>長軀幹</t>
  </si>
  <si>
    <t>Owl</t>
  </si>
  <si>
    <t>ふくろう</t>
  </si>
  <si>
    <t>Hibou</t>
  </si>
  <si>
    <t>Eule</t>
  </si>
  <si>
    <t>Búho</t>
  </si>
  <si>
    <t>Gufo</t>
  </si>
  <si>
    <t>부엉이</t>
  </si>
  <si>
    <t>貓頭鷹</t>
  </si>
  <si>
    <t>Five Star</t>
  </si>
  <si>
    <t>いつつぼし</t>
  </si>
  <si>
    <t>5 Étoiles</t>
  </si>
  <si>
    <t>Fünf-Punkt</t>
  </si>
  <si>
    <t>5 Estrellas</t>
  </si>
  <si>
    <t>Pentastra</t>
  </si>
  <si>
    <t>별다섯</t>
  </si>
  <si>
    <t>五星</t>
  </si>
  <si>
    <t>String Spit</t>
  </si>
  <si>
    <t>いとはき</t>
  </si>
  <si>
    <t>Crache-Fil</t>
  </si>
  <si>
    <t>Fadenwurf</t>
  </si>
  <si>
    <t>Escupesoga</t>
  </si>
  <si>
    <t>Tela</t>
  </si>
  <si>
    <t>실뿜기</t>
  </si>
  <si>
    <t>吐絲</t>
  </si>
  <si>
    <t>Long Leg</t>
  </si>
  <si>
    <t>あしなが</t>
  </si>
  <si>
    <t>Long-Patte</t>
  </si>
  <si>
    <t>Langbein</t>
  </si>
  <si>
    <t>Pata Larga</t>
  </si>
  <si>
    <t>Lungazampa</t>
  </si>
  <si>
    <t>롱다리</t>
  </si>
  <si>
    <t>長腿</t>
  </si>
  <si>
    <t>Angler</t>
  </si>
  <si>
    <t>あんこう</t>
  </si>
  <si>
    <t>Rape</t>
  </si>
  <si>
    <t>Pescatore</t>
  </si>
  <si>
    <t>아귀</t>
  </si>
  <si>
    <t>琵琶魚</t>
  </si>
  <si>
    <t>Light</t>
  </si>
  <si>
    <t>ライト</t>
  </si>
  <si>
    <t>Lumière</t>
  </si>
  <si>
    <t>Leuchte</t>
  </si>
  <si>
    <t>Luz</t>
  </si>
  <si>
    <t>Luce</t>
  </si>
  <si>
    <t>라이트</t>
  </si>
  <si>
    <t>燈</t>
  </si>
  <si>
    <t>Tiny Mouse</t>
  </si>
  <si>
    <t>こねずみ</t>
  </si>
  <si>
    <t>Minisouris</t>
  </si>
  <si>
    <t>Babymaus</t>
  </si>
  <si>
    <t>Ratoncito</t>
  </si>
  <si>
    <t>Topino</t>
  </si>
  <si>
    <t>아기쥐</t>
  </si>
  <si>
    <t>小鼠</t>
  </si>
  <si>
    <t>Spike Ball</t>
  </si>
  <si>
    <t>はりたま</t>
  </si>
  <si>
    <t>Balle Pic</t>
  </si>
  <si>
    <t>Zackenball</t>
  </si>
  <si>
    <t>Bolaclavos</t>
  </si>
  <si>
    <t>Pallapunte</t>
  </si>
  <si>
    <t>바늘알</t>
  </si>
  <si>
    <t>針球</t>
  </si>
  <si>
    <t>Happiness</t>
  </si>
  <si>
    <t>しあわせ</t>
  </si>
  <si>
    <t>Bonheur</t>
  </si>
  <si>
    <t>Freude</t>
  </si>
  <si>
    <t>Felicidad</t>
  </si>
  <si>
    <t>Felicità</t>
  </si>
  <si>
    <t>행복</t>
  </si>
  <si>
    <t>幸福</t>
  </si>
  <si>
    <t>Mystic</t>
  </si>
  <si>
    <t>せいれい</t>
  </si>
  <si>
    <t>Mystique</t>
  </si>
  <si>
    <t>Mystik</t>
  </si>
  <si>
    <t>Místico</t>
  </si>
  <si>
    <t>Magico</t>
  </si>
  <si>
    <t>정령</t>
  </si>
  <si>
    <t>神秘</t>
  </si>
  <si>
    <t>Wool</t>
  </si>
  <si>
    <t>わたげ</t>
  </si>
  <si>
    <t>Laine</t>
  </si>
  <si>
    <t>Wolle</t>
  </si>
  <si>
    <t>Lana</t>
  </si>
  <si>
    <t>솜털</t>
  </si>
  <si>
    <t>綿毛</t>
  </si>
  <si>
    <t>Aqua Mouse</t>
  </si>
  <si>
    <t>みずねずみ</t>
  </si>
  <si>
    <t>Aquasouris</t>
  </si>
  <si>
    <t>Aquamaus</t>
  </si>
  <si>
    <t>Ratón Agua</t>
  </si>
  <si>
    <t>Acquatopo</t>
  </si>
  <si>
    <t>물쥐</t>
  </si>
  <si>
    <t>水鼠</t>
  </si>
  <si>
    <t>Aqua Rabbit</t>
  </si>
  <si>
    <t>みずうさぎ</t>
  </si>
  <si>
    <t>Aqualapin</t>
  </si>
  <si>
    <t>Aquahase</t>
  </si>
  <si>
    <t>Conejo Agua</t>
  </si>
  <si>
    <t>Acquaniglio</t>
  </si>
  <si>
    <t>물토끼</t>
  </si>
  <si>
    <t>水兔</t>
  </si>
  <si>
    <t>Imitation</t>
  </si>
  <si>
    <t>まね</t>
  </si>
  <si>
    <t>Imitación</t>
  </si>
  <si>
    <t>Imitazione</t>
  </si>
  <si>
    <t>흉내</t>
  </si>
  <si>
    <t>模仿</t>
  </si>
  <si>
    <t>Frog</t>
  </si>
  <si>
    <t>かえる</t>
  </si>
  <si>
    <t>Grenouille</t>
  </si>
  <si>
    <t>Frosch</t>
  </si>
  <si>
    <t>Rana</t>
  </si>
  <si>
    <t>개구리</t>
  </si>
  <si>
    <t>蛙</t>
  </si>
  <si>
    <t>Cottonweed</t>
  </si>
  <si>
    <t>わたくさ</t>
  </si>
  <si>
    <t>Pissenlit</t>
  </si>
  <si>
    <t>Löwenzahn</t>
  </si>
  <si>
    <t>Algadón</t>
  </si>
  <si>
    <t>Gramigna</t>
  </si>
  <si>
    <t>솜풀</t>
  </si>
  <si>
    <t>棉草</t>
  </si>
  <si>
    <t>Long Tail</t>
  </si>
  <si>
    <t>おなが</t>
  </si>
  <si>
    <t>Longqueue</t>
  </si>
  <si>
    <t>Langschweif</t>
  </si>
  <si>
    <t>Cola Larga</t>
  </si>
  <si>
    <t>Lungacoda</t>
  </si>
  <si>
    <t>긴꼬리</t>
  </si>
  <si>
    <t>長尾</t>
  </si>
  <si>
    <t>Sun</t>
  </si>
  <si>
    <t>たいよう</t>
  </si>
  <si>
    <t>Soleil</t>
  </si>
  <si>
    <t>Sonne</t>
  </si>
  <si>
    <t>Sol</t>
  </si>
  <si>
    <t>Sole</t>
  </si>
  <si>
    <t>태양</t>
  </si>
  <si>
    <t>太陽</t>
  </si>
  <si>
    <t>Clear Wing</t>
  </si>
  <si>
    <t>うすばね</t>
  </si>
  <si>
    <t>Translaile</t>
  </si>
  <si>
    <t>Libelle</t>
  </si>
  <si>
    <t>Ala Clara</t>
  </si>
  <si>
    <t>Alachiara</t>
  </si>
  <si>
    <t>얇은날개</t>
  </si>
  <si>
    <t>薄翼</t>
  </si>
  <si>
    <t>Water Fish</t>
  </si>
  <si>
    <t>みずうお</t>
  </si>
  <si>
    <t>Pez Agua</t>
  </si>
  <si>
    <t>Acquapesce</t>
  </si>
  <si>
    <t>수어</t>
  </si>
  <si>
    <t>水魚</t>
  </si>
  <si>
    <t>Poison Fish</t>
  </si>
  <si>
    <t>どくうお</t>
  </si>
  <si>
    <t>Poizzon</t>
  </si>
  <si>
    <t>Giftfisch</t>
  </si>
  <si>
    <t>Pez Veneno</t>
  </si>
  <si>
    <t>Velenpesce</t>
  </si>
  <si>
    <t>독물고기</t>
  </si>
  <si>
    <t>毒魚</t>
  </si>
  <si>
    <t>Moonlight</t>
  </si>
  <si>
    <t>げっこう</t>
  </si>
  <si>
    <t>Lune</t>
  </si>
  <si>
    <t>Mondschein</t>
  </si>
  <si>
    <t>Luz Lunar</t>
  </si>
  <si>
    <t>Lucelunare</t>
  </si>
  <si>
    <t>달빛</t>
  </si>
  <si>
    <t>月光</t>
  </si>
  <si>
    <t>Darkness</t>
  </si>
  <si>
    <t>くらやみ</t>
  </si>
  <si>
    <t>Obscurité</t>
  </si>
  <si>
    <t>Finsternis</t>
  </si>
  <si>
    <t>Oscuridad</t>
  </si>
  <si>
    <t>Oscurità</t>
  </si>
  <si>
    <t>어둠</t>
  </si>
  <si>
    <t>黑暗</t>
  </si>
  <si>
    <t>Royal</t>
  </si>
  <si>
    <t>おうじゃ</t>
  </si>
  <si>
    <t>Monarch</t>
  </si>
  <si>
    <t>Regio</t>
  </si>
  <si>
    <t>Reale</t>
  </si>
  <si>
    <t>임금</t>
  </si>
  <si>
    <t>王者</t>
  </si>
  <si>
    <t>Hexpert</t>
  </si>
  <si>
    <t>じゅじゅつし</t>
  </si>
  <si>
    <t>Ensorceleur</t>
  </si>
  <si>
    <t>Hexenmeister</t>
  </si>
  <si>
    <t>Chamán</t>
  </si>
  <si>
    <t>Stregone</t>
  </si>
  <si>
    <t>술사</t>
  </si>
  <si>
    <t>诅咒师</t>
  </si>
  <si>
    <t>よなき</t>
  </si>
  <si>
    <t>Strident</t>
  </si>
  <si>
    <t>Kreischer</t>
  </si>
  <si>
    <t>야명</t>
  </si>
  <si>
    <t>夜啼</t>
  </si>
  <si>
    <t>Symbol</t>
  </si>
  <si>
    <t>シンボル</t>
  </si>
  <si>
    <t>Symbolique</t>
  </si>
  <si>
    <t>Simbolo</t>
  </si>
  <si>
    <t>심볼</t>
  </si>
  <si>
    <t>象徵</t>
  </si>
  <si>
    <t>Patient</t>
  </si>
  <si>
    <t>がまん</t>
  </si>
  <si>
    <t>Geduld</t>
  </si>
  <si>
    <t>Paciente</t>
  </si>
  <si>
    <t>Pazienza</t>
  </si>
  <si>
    <t>참기</t>
  </si>
  <si>
    <t>忍耐</t>
  </si>
  <si>
    <t>Long Neck</t>
  </si>
  <si>
    <t>くびなが</t>
  </si>
  <si>
    <t>Long-Cou</t>
  </si>
  <si>
    <t>Langhals</t>
  </si>
  <si>
    <t>Gran Cuello</t>
  </si>
  <si>
    <t>Lungocollo</t>
  </si>
  <si>
    <t>긴목</t>
  </si>
  <si>
    <t>長頸</t>
  </si>
  <si>
    <t>Bagworm</t>
  </si>
  <si>
    <t>みのむし</t>
  </si>
  <si>
    <t>Ver Caché</t>
  </si>
  <si>
    <t>Beutelwurm</t>
  </si>
  <si>
    <t>Larva</t>
  </si>
  <si>
    <t>도롱이벌레</t>
  </si>
  <si>
    <t>蓑衣蟲</t>
  </si>
  <si>
    <t>Land Snake</t>
  </si>
  <si>
    <t>つちへび</t>
  </si>
  <si>
    <t>Serptierra</t>
  </si>
  <si>
    <t>Terraserpe</t>
  </si>
  <si>
    <t>땅뱀</t>
  </si>
  <si>
    <t>地蛇</t>
  </si>
  <si>
    <t>Fly Scorpion</t>
  </si>
  <si>
    <t>とばさそり</t>
  </si>
  <si>
    <t>Scorpivol</t>
  </si>
  <si>
    <t>Flugskorpi</t>
  </si>
  <si>
    <t>Escorpiala</t>
  </si>
  <si>
    <t>Aliscorpio</t>
  </si>
  <si>
    <t>날전갈</t>
  </si>
  <si>
    <t>飛蠍</t>
  </si>
  <si>
    <t>Iron Snake</t>
  </si>
  <si>
    <t>てつへび</t>
  </si>
  <si>
    <t>Serpenfer</t>
  </si>
  <si>
    <t>Stahlboa</t>
  </si>
  <si>
    <t>Serpférrea</t>
  </si>
  <si>
    <t>Ferroserpe</t>
  </si>
  <si>
    <t>철뱀</t>
  </si>
  <si>
    <t>鐵蛇</t>
  </si>
  <si>
    <t>Mold</t>
  </si>
  <si>
    <t>はっこう</t>
  </si>
  <si>
    <t>Pourri</t>
  </si>
  <si>
    <t>Schimmel</t>
  </si>
  <si>
    <t>Moho</t>
  </si>
  <si>
    <t>Muffa</t>
  </si>
  <si>
    <t>발효</t>
  </si>
  <si>
    <t>發酵</t>
  </si>
  <si>
    <t>Single Horn</t>
  </si>
  <si>
    <t>１ぽんツノ</t>
  </si>
  <si>
    <t>Einzelhorn</t>
  </si>
  <si>
    <t>Unicornio</t>
  </si>
  <si>
    <t>Monocorno</t>
  </si>
  <si>
    <t>외뿔</t>
  </si>
  <si>
    <t>獨角</t>
  </si>
  <si>
    <t>Sharp Claw</t>
  </si>
  <si>
    <t>かぎづめ</t>
  </si>
  <si>
    <t>Grifacérée</t>
  </si>
  <si>
    <t>Stichklaue</t>
  </si>
  <si>
    <t>Garra Filo</t>
  </si>
  <si>
    <t>Lamartigli</t>
  </si>
  <si>
    <t>갈고리손톱</t>
  </si>
  <si>
    <t>鉤爪</t>
  </si>
  <si>
    <t>Little Bear</t>
  </si>
  <si>
    <t>こぐま</t>
  </si>
  <si>
    <t>Mini Ours</t>
  </si>
  <si>
    <t>Kleinbär</t>
  </si>
  <si>
    <t>Osito</t>
  </si>
  <si>
    <t>Orsetto</t>
  </si>
  <si>
    <t>아기곰</t>
  </si>
  <si>
    <t>小熊</t>
  </si>
  <si>
    <t>Hibernator</t>
  </si>
  <si>
    <t>とうみん</t>
  </si>
  <si>
    <t>Hibernant</t>
  </si>
  <si>
    <t>Schläfer</t>
  </si>
  <si>
    <t>Hibernante</t>
  </si>
  <si>
    <t>Letargo</t>
  </si>
  <si>
    <t>동면</t>
  </si>
  <si>
    <t>冬眠</t>
  </si>
  <si>
    <t>Lava</t>
  </si>
  <si>
    <t>ようがん</t>
  </si>
  <si>
    <t>Lave</t>
  </si>
  <si>
    <t>용암</t>
  </si>
  <si>
    <t>熔岩</t>
  </si>
  <si>
    <t>Pig</t>
  </si>
  <si>
    <t>いのぶた</t>
  </si>
  <si>
    <t>Cochon</t>
  </si>
  <si>
    <t>Ferkel</t>
  </si>
  <si>
    <t>Cerdo</t>
  </si>
  <si>
    <t>Maiale</t>
  </si>
  <si>
    <t>산돼지</t>
  </si>
  <si>
    <t>小豬</t>
  </si>
  <si>
    <t>Swine</t>
  </si>
  <si>
    <t>いのしし</t>
  </si>
  <si>
    <t>Porc</t>
  </si>
  <si>
    <t>Schwein</t>
  </si>
  <si>
    <t>Puerco</t>
  </si>
  <si>
    <t>Suino</t>
  </si>
  <si>
    <t>멧돼지</t>
  </si>
  <si>
    <t>野豬</t>
  </si>
  <si>
    <t>Coral</t>
  </si>
  <si>
    <t>さんご</t>
  </si>
  <si>
    <t>Corail</t>
  </si>
  <si>
    <t>Koralle</t>
  </si>
  <si>
    <t>Corallo</t>
  </si>
  <si>
    <t>산호</t>
  </si>
  <si>
    <t>珊瑚</t>
  </si>
  <si>
    <t>Jet</t>
  </si>
  <si>
    <t>ふんしゃ</t>
  </si>
  <si>
    <t>Hochdruck</t>
  </si>
  <si>
    <t>Reactor</t>
  </si>
  <si>
    <t>분사</t>
  </si>
  <si>
    <t>噴射</t>
  </si>
  <si>
    <t>Delivery</t>
  </si>
  <si>
    <t>はこびや</t>
  </si>
  <si>
    <t>Livraison</t>
  </si>
  <si>
    <t>Lieferant</t>
  </si>
  <si>
    <t>Reparto</t>
  </si>
  <si>
    <t>Consegna</t>
  </si>
  <si>
    <t>배달</t>
  </si>
  <si>
    <t>搬運</t>
  </si>
  <si>
    <t>Kite</t>
  </si>
  <si>
    <t>カイト</t>
  </si>
  <si>
    <t>Cervolant</t>
  </si>
  <si>
    <t>Flugrochen</t>
  </si>
  <si>
    <t>Milano</t>
  </si>
  <si>
    <t>Aquilone</t>
  </si>
  <si>
    <t>연</t>
  </si>
  <si>
    <t>風箏</t>
  </si>
  <si>
    <t>Armor Bird</t>
  </si>
  <si>
    <t>よろいとり</t>
  </si>
  <si>
    <t>Armoiseau</t>
  </si>
  <si>
    <t>Flugstahl</t>
  </si>
  <si>
    <t>Coraza Ave</t>
  </si>
  <si>
    <t>Armuccello</t>
  </si>
  <si>
    <t>갑옷새</t>
  </si>
  <si>
    <t>鋼甲鳥</t>
  </si>
  <si>
    <t>Dark</t>
  </si>
  <si>
    <t>ダーク</t>
  </si>
  <si>
    <t>Sombre</t>
  </si>
  <si>
    <t>Hades</t>
  </si>
  <si>
    <t>Siniestro</t>
  </si>
  <si>
    <t>Buio</t>
  </si>
  <si>
    <t>다크</t>
  </si>
  <si>
    <t>陰暗</t>
  </si>
  <si>
    <t>Long Nose</t>
  </si>
  <si>
    <t>ながはな</t>
  </si>
  <si>
    <t>Longnez</t>
  </si>
  <si>
    <t>Langrüssel</t>
  </si>
  <si>
    <t>Narizotas</t>
  </si>
  <si>
    <t>Nasone</t>
  </si>
  <si>
    <t>긴코</t>
  </si>
  <si>
    <t>長鼻</t>
  </si>
  <si>
    <t>Armor</t>
  </si>
  <si>
    <t>よろい</t>
  </si>
  <si>
    <t>Armure</t>
  </si>
  <si>
    <t>Panzer</t>
  </si>
  <si>
    <t>Coraza</t>
  </si>
  <si>
    <t>Armadura</t>
  </si>
  <si>
    <t>鎧甲</t>
  </si>
  <si>
    <t>Big Horn</t>
  </si>
  <si>
    <t>おおツノ</t>
  </si>
  <si>
    <t>Maxi Corne</t>
  </si>
  <si>
    <t>Vielender</t>
  </si>
  <si>
    <t>Chifrudo</t>
  </si>
  <si>
    <t>Grancorno</t>
  </si>
  <si>
    <t>큰뿔</t>
  </si>
  <si>
    <t>大角</t>
  </si>
  <si>
    <t>Painter</t>
  </si>
  <si>
    <t>えかき</t>
  </si>
  <si>
    <t>Peintre</t>
  </si>
  <si>
    <t>Maler</t>
  </si>
  <si>
    <t>Pintor</t>
  </si>
  <si>
    <t>Pittore</t>
  </si>
  <si>
    <t>그림장이</t>
  </si>
  <si>
    <t>畫畫</t>
  </si>
  <si>
    <t>Scuffle</t>
  </si>
  <si>
    <t>けんか</t>
  </si>
  <si>
    <t>Bagarreur</t>
  </si>
  <si>
    <t>Racker</t>
  </si>
  <si>
    <t>Peleón</t>
  </si>
  <si>
    <t>Baruffa</t>
  </si>
  <si>
    <t>싸움</t>
  </si>
  <si>
    <t>打鬥</t>
  </si>
  <si>
    <t>Headstand</t>
  </si>
  <si>
    <t>さかだち</t>
  </si>
  <si>
    <t>Poirier</t>
  </si>
  <si>
    <t>Kopfstand</t>
  </si>
  <si>
    <t>Boca Abajo</t>
  </si>
  <si>
    <t>Verticale</t>
  </si>
  <si>
    <t>물구나무</t>
  </si>
  <si>
    <t>倒立</t>
  </si>
  <si>
    <t>Kiss</t>
  </si>
  <si>
    <t>くちづけ</t>
  </si>
  <si>
    <t>Bisou</t>
  </si>
  <si>
    <t>Kuss</t>
  </si>
  <si>
    <t>Beso</t>
  </si>
  <si>
    <t>Bacio</t>
  </si>
  <si>
    <t>뽀뽀</t>
  </si>
  <si>
    <t>親吻</t>
  </si>
  <si>
    <t>전류</t>
  </si>
  <si>
    <t>電氣</t>
  </si>
  <si>
    <t>Live Coal</t>
  </si>
  <si>
    <t>ひだね</t>
  </si>
  <si>
    <t>Charbon</t>
  </si>
  <si>
    <t>Glutherd</t>
  </si>
  <si>
    <t>Ascuas</t>
  </si>
  <si>
    <t>Carbonvivo</t>
  </si>
  <si>
    <t>불씨</t>
  </si>
  <si>
    <t>火種</t>
  </si>
  <si>
    <t>Milk Cow</t>
  </si>
  <si>
    <t>ちちうし</t>
  </si>
  <si>
    <t>Vachalait</t>
  </si>
  <si>
    <t>Milchkuh</t>
  </si>
  <si>
    <t>Lechera</t>
  </si>
  <si>
    <t>Bovino</t>
  </si>
  <si>
    <t>젖소</t>
  </si>
  <si>
    <t>乳牛</t>
  </si>
  <si>
    <t>いかずち</t>
  </si>
  <si>
    <t>Foudre</t>
  </si>
  <si>
    <t>우뢰</t>
  </si>
  <si>
    <t>天雷</t>
  </si>
  <si>
    <t>Aurora</t>
  </si>
  <si>
    <t>オーロラ</t>
  </si>
  <si>
    <t>Aurore</t>
  </si>
  <si>
    <t>Polarlicht</t>
  </si>
  <si>
    <t>오로라</t>
  </si>
  <si>
    <t>極光</t>
  </si>
  <si>
    <t>Rock Skin</t>
  </si>
  <si>
    <t>いわはだ</t>
  </si>
  <si>
    <t>Peaupierre</t>
  </si>
  <si>
    <t>Felshaut</t>
  </si>
  <si>
    <t>Piel Roca</t>
  </si>
  <si>
    <t>Peldisasso</t>
  </si>
  <si>
    <t>바위표면</t>
  </si>
  <si>
    <t>岩石膚</t>
  </si>
  <si>
    <t>Hard Shell</t>
  </si>
  <si>
    <t>だんがん</t>
  </si>
  <si>
    <t>Carapadure</t>
  </si>
  <si>
    <t>Hartschale</t>
  </si>
  <si>
    <t>Caparazón</t>
  </si>
  <si>
    <t>Guscioduro</t>
  </si>
  <si>
    <t>탄환</t>
  </si>
  <si>
    <t>子彈</t>
  </si>
  <si>
    <t>Diving</t>
  </si>
  <si>
    <t>せんすい</t>
  </si>
  <si>
    <t>Plongeon</t>
  </si>
  <si>
    <t>Taucher</t>
  </si>
  <si>
    <t>Immersione</t>
  </si>
  <si>
    <t>Buceo</t>
  </si>
  <si>
    <t>잠수</t>
  </si>
  <si>
    <t>潛水</t>
  </si>
  <si>
    <t>Rainbow</t>
  </si>
  <si>
    <t>にじいろ</t>
  </si>
  <si>
    <t>Arcenciel</t>
  </si>
  <si>
    <t>Regenbogen</t>
  </si>
  <si>
    <t>Arcoíris</t>
  </si>
  <si>
    <t>Arcobaleno</t>
  </si>
  <si>
    <t>무지개색</t>
  </si>
  <si>
    <t>虹色</t>
  </si>
  <si>
    <t>Time Travel</t>
  </si>
  <si>
    <t>ときわたり</t>
  </si>
  <si>
    <t>Temporel</t>
  </si>
  <si>
    <t>Zeitreise</t>
  </si>
  <si>
    <t>Viajetiempo</t>
  </si>
  <si>
    <t>Tempovia</t>
  </si>
  <si>
    <t>시간이동</t>
  </si>
  <si>
    <t>時空穿越</t>
  </si>
  <si>
    <t>Wood Gecko</t>
  </si>
  <si>
    <t>もりトカゲ</t>
  </si>
  <si>
    <t>Bois Gecko</t>
  </si>
  <si>
    <t>Waldgecko</t>
  </si>
  <si>
    <t>Geco Bosque</t>
  </si>
  <si>
    <t>Legnogeco</t>
  </si>
  <si>
    <t>숲도마뱀</t>
  </si>
  <si>
    <t>林蜥</t>
  </si>
  <si>
    <t>Forest</t>
  </si>
  <si>
    <t>みつりん</t>
  </si>
  <si>
    <t>Forêt</t>
  </si>
  <si>
    <t>Dschungel</t>
  </si>
  <si>
    <t>Monte</t>
  </si>
  <si>
    <t>Foresta</t>
  </si>
  <si>
    <t>밀림</t>
  </si>
  <si>
    <t>密林</t>
  </si>
  <si>
    <t>Chick</t>
  </si>
  <si>
    <t>ひよこ</t>
  </si>
  <si>
    <t>Poussin</t>
  </si>
  <si>
    <t>Küken</t>
  </si>
  <si>
    <t>Polluelo</t>
  </si>
  <si>
    <t>Pulcino</t>
  </si>
  <si>
    <t>풋내기</t>
  </si>
  <si>
    <t>雛雞</t>
  </si>
  <si>
    <t>Young Fowl</t>
  </si>
  <si>
    <t>わかどり</t>
  </si>
  <si>
    <t>Poulet</t>
  </si>
  <si>
    <t>Kleinhahn</t>
  </si>
  <si>
    <t>Ave Corral</t>
  </si>
  <si>
    <t>Rampollo</t>
  </si>
  <si>
    <t>꼬마닭</t>
  </si>
  <si>
    <t>幼雞</t>
  </si>
  <si>
    <t>Ardent</t>
  </si>
  <si>
    <t>Llameante</t>
  </si>
  <si>
    <t>Vampe</t>
  </si>
  <si>
    <t>Mud Fish</t>
  </si>
  <si>
    <t>ぬまうお</t>
  </si>
  <si>
    <t>Poissonboue</t>
  </si>
  <si>
    <t>Lehmhüpfer</t>
  </si>
  <si>
    <t>Pez Lodo</t>
  </si>
  <si>
    <t>Fango Pesce</t>
  </si>
  <si>
    <t>늪물고기</t>
  </si>
  <si>
    <t>沼魚</t>
  </si>
  <si>
    <t>Tiny Raccoon</t>
  </si>
  <si>
    <t>まめだぬき</t>
  </si>
  <si>
    <t>Petit Raton</t>
  </si>
  <si>
    <t>Kleindachs</t>
  </si>
  <si>
    <t>Mapachito</t>
  </si>
  <si>
    <t>Procione</t>
  </si>
  <si>
    <t>앙증너구리</t>
  </si>
  <si>
    <t>豆貍</t>
  </si>
  <si>
    <t>Rushing</t>
  </si>
  <si>
    <t>とっしん</t>
  </si>
  <si>
    <t>Fonceur</t>
  </si>
  <si>
    <t>Sprinter</t>
  </si>
  <si>
    <t>Lanzado</t>
  </si>
  <si>
    <t>Sfrecciante</t>
  </si>
  <si>
    <t>돌진</t>
  </si>
  <si>
    <t>猛衝</t>
  </si>
  <si>
    <t>Water Weed</t>
  </si>
  <si>
    <t>うきくさ</t>
  </si>
  <si>
    <t>Aquaplante</t>
  </si>
  <si>
    <t>Wasserlinse</t>
  </si>
  <si>
    <t>Alga</t>
  </si>
  <si>
    <t>개구리밥</t>
  </si>
  <si>
    <t>浮萍</t>
  </si>
  <si>
    <t>Giocoso</t>
  </si>
  <si>
    <t>명랑함</t>
  </si>
  <si>
    <t>Carefree</t>
  </si>
  <si>
    <t>のうてんき</t>
  </si>
  <si>
    <t>Insouciant</t>
  </si>
  <si>
    <t>Sorglos</t>
  </si>
  <si>
    <t>Optimista</t>
  </si>
  <si>
    <t>Spensierato</t>
  </si>
  <si>
    <t>행복하기</t>
  </si>
  <si>
    <t>樂天</t>
  </si>
  <si>
    <t>Acorn</t>
  </si>
  <si>
    <t>どんぐり</t>
  </si>
  <si>
    <t>Gland</t>
  </si>
  <si>
    <t>Eichelnuss</t>
  </si>
  <si>
    <t>Bellota</t>
  </si>
  <si>
    <t>Ghianda</t>
  </si>
  <si>
    <t>도토리</t>
  </si>
  <si>
    <t>橡實</t>
  </si>
  <si>
    <t>Wily</t>
  </si>
  <si>
    <t>いじわる</t>
  </si>
  <si>
    <t>Malin</t>
  </si>
  <si>
    <t>Hinterlist</t>
  </si>
  <si>
    <t>Astuto</t>
  </si>
  <si>
    <t>Scaltro</t>
  </si>
  <si>
    <t>꾀부리기</t>
  </si>
  <si>
    <t>捉弄</t>
  </si>
  <si>
    <t>Wicked</t>
  </si>
  <si>
    <t>よこしま</t>
  </si>
  <si>
    <t>Malveillant</t>
  </si>
  <si>
    <t>Verschlagen</t>
  </si>
  <si>
    <t>Malvado</t>
  </si>
  <si>
    <t>Burbero</t>
  </si>
  <si>
    <t>부정하기</t>
  </si>
  <si>
    <t>邪惡</t>
  </si>
  <si>
    <t>Tiny Swallow</t>
  </si>
  <si>
    <t>こツベメ</t>
  </si>
  <si>
    <t>Minirondel</t>
  </si>
  <si>
    <t>Schwälblein</t>
  </si>
  <si>
    <t>Pequebuche</t>
  </si>
  <si>
    <t>Rondinella</t>
  </si>
  <si>
    <t>아기제비</t>
  </si>
  <si>
    <t>幼燕</t>
  </si>
  <si>
    <t>Swallow</t>
  </si>
  <si>
    <t>ツベメ</t>
  </si>
  <si>
    <t>Hirondelle</t>
  </si>
  <si>
    <t>Schwalbe</t>
  </si>
  <si>
    <t>Buche</t>
  </si>
  <si>
    <t>Rondine</t>
  </si>
  <si>
    <t>제비</t>
  </si>
  <si>
    <t>燕子</t>
  </si>
  <si>
    <t>Seagull</t>
  </si>
  <si>
    <t>うみねこ</t>
  </si>
  <si>
    <t>Mouette</t>
  </si>
  <si>
    <t>Seemöwe</t>
  </si>
  <si>
    <t>Gaviota</t>
  </si>
  <si>
    <t>Gabbiano</t>
  </si>
  <si>
    <t>괭이갈매기</t>
  </si>
  <si>
    <t>海鷗</t>
  </si>
  <si>
    <t>Water Bird</t>
  </si>
  <si>
    <t>みずどり</t>
  </si>
  <si>
    <t>Oiseaudo</t>
  </si>
  <si>
    <t>Wasservogel</t>
  </si>
  <si>
    <t>Ave Agua</t>
  </si>
  <si>
    <t>Alacquatico</t>
  </si>
  <si>
    <t>물새</t>
  </si>
  <si>
    <t>水鳥</t>
  </si>
  <si>
    <t>Feeling</t>
  </si>
  <si>
    <t>きもち</t>
  </si>
  <si>
    <t>Sentiment</t>
  </si>
  <si>
    <t>Gefühl</t>
  </si>
  <si>
    <t>Sensible</t>
  </si>
  <si>
    <t>Sensazione</t>
  </si>
  <si>
    <t>느낌</t>
  </si>
  <si>
    <t>心情</t>
  </si>
  <si>
    <t>Emotion</t>
  </si>
  <si>
    <t>かんじょう</t>
  </si>
  <si>
    <t>Émotion</t>
  </si>
  <si>
    <t>Sensorio</t>
  </si>
  <si>
    <t>Emozione</t>
  </si>
  <si>
    <t>감정</t>
  </si>
  <si>
    <t>感情</t>
  </si>
  <si>
    <t>Embrace</t>
  </si>
  <si>
    <t>ほうよう</t>
  </si>
  <si>
    <t>Étreinte</t>
  </si>
  <si>
    <t>Umarmung</t>
  </si>
  <si>
    <t>Envolvente</t>
  </si>
  <si>
    <t>Abbraccio</t>
  </si>
  <si>
    <t>포용</t>
  </si>
  <si>
    <t>包容</t>
  </si>
  <si>
    <t>Pond Skater</t>
  </si>
  <si>
    <t>あめんぼ</t>
  </si>
  <si>
    <t>Maresurfeur</t>
  </si>
  <si>
    <t>Wassergeher</t>
  </si>
  <si>
    <t>Zapatero</t>
  </si>
  <si>
    <t>Sfiorapozze</t>
  </si>
  <si>
    <t>소금쟁이</t>
  </si>
  <si>
    <t>水黽</t>
  </si>
  <si>
    <t>Eyeball</t>
  </si>
  <si>
    <t>めだま</t>
  </si>
  <si>
    <t>Boule Œil</t>
  </si>
  <si>
    <t>Auge</t>
  </si>
  <si>
    <t>Globocular</t>
  </si>
  <si>
    <t>Occhi</t>
  </si>
  <si>
    <t>안구</t>
  </si>
  <si>
    <t>眼珠</t>
  </si>
  <si>
    <t>Slacker</t>
  </si>
  <si>
    <t>なまけもの</t>
  </si>
  <si>
    <t>Flâneur</t>
  </si>
  <si>
    <t>Faulpelz</t>
  </si>
  <si>
    <t>Gandul</t>
  </si>
  <si>
    <t>Ozioso</t>
  </si>
  <si>
    <t>게으름뱅이</t>
  </si>
  <si>
    <t>懶人</t>
  </si>
  <si>
    <t>Wild Monkey</t>
  </si>
  <si>
    <t>あばれザル</t>
  </si>
  <si>
    <t>Turbusinge</t>
  </si>
  <si>
    <t>Wildaffe</t>
  </si>
  <si>
    <t>Mono Feroz</t>
  </si>
  <si>
    <t>Indocile</t>
  </si>
  <si>
    <t>성난원숭이</t>
  </si>
  <si>
    <t>暴猿</t>
  </si>
  <si>
    <t>Lazy</t>
  </si>
  <si>
    <t>ものぐさ</t>
  </si>
  <si>
    <t>Fainéant</t>
  </si>
  <si>
    <t>Müßig</t>
  </si>
  <si>
    <t xml:space="preserve">Holgazán        </t>
  </si>
  <si>
    <t>Pigrizia</t>
  </si>
  <si>
    <t>나태함</t>
  </si>
  <si>
    <t>怕麻煩</t>
  </si>
  <si>
    <t>Trainee</t>
  </si>
  <si>
    <t>したづみ</t>
  </si>
  <si>
    <t>Apprenti</t>
  </si>
  <si>
    <t>Vorbereiter</t>
  </si>
  <si>
    <t>Aprendiz</t>
  </si>
  <si>
    <t>Novizio</t>
  </si>
  <si>
    <t>신참</t>
  </si>
  <si>
    <t>入門</t>
  </si>
  <si>
    <t>Ninja</t>
  </si>
  <si>
    <t>しのび</t>
  </si>
  <si>
    <t>시노비</t>
  </si>
  <si>
    <t>忍者</t>
  </si>
  <si>
    <t>Shed</t>
  </si>
  <si>
    <t>ぬけがら</t>
  </si>
  <si>
    <t>Exuvie</t>
  </si>
  <si>
    <t>Häutung</t>
  </si>
  <si>
    <t>Muda</t>
  </si>
  <si>
    <t>Cambiapelle</t>
  </si>
  <si>
    <t>허물</t>
  </si>
  <si>
    <t>空殼</t>
  </si>
  <si>
    <t>Whisper</t>
  </si>
  <si>
    <t>ささやき</t>
  </si>
  <si>
    <t>Chuchoteur</t>
  </si>
  <si>
    <t>Flüster</t>
  </si>
  <si>
    <t>Susurro</t>
  </si>
  <si>
    <t>Sussurro</t>
  </si>
  <si>
    <t>속삭임</t>
  </si>
  <si>
    <t>細語</t>
  </si>
  <si>
    <t>Big Voice</t>
  </si>
  <si>
    <t>おおごえ</t>
  </si>
  <si>
    <t>Grosse Voix</t>
  </si>
  <si>
    <t>Lauthals</t>
  </si>
  <si>
    <t>Chillón</t>
  </si>
  <si>
    <t>Vocione</t>
  </si>
  <si>
    <t>큰목소리</t>
  </si>
  <si>
    <t>大聲</t>
  </si>
  <si>
    <t>Loud Noise</t>
  </si>
  <si>
    <t>そうおん</t>
  </si>
  <si>
    <t>Bruit Sourd</t>
  </si>
  <si>
    <t>Krach</t>
  </si>
  <si>
    <t>Escandaloso</t>
  </si>
  <si>
    <t>Fragore</t>
  </si>
  <si>
    <t>소음</t>
  </si>
  <si>
    <t>噪音</t>
  </si>
  <si>
    <t>Tenace</t>
  </si>
  <si>
    <t>Courage</t>
  </si>
  <si>
    <t>Valiente</t>
  </si>
  <si>
    <t>Coraggio</t>
  </si>
  <si>
    <t>Cogneur</t>
  </si>
  <si>
    <t>Polka Dot</t>
  </si>
  <si>
    <t>みずだま</t>
  </si>
  <si>
    <t>Point Polka</t>
  </si>
  <si>
    <t>Gepunktet</t>
  </si>
  <si>
    <t>A Topos</t>
  </si>
  <si>
    <t>Pois</t>
  </si>
  <si>
    <t>물방울</t>
  </si>
  <si>
    <t>水珠</t>
  </si>
  <si>
    <t>Compass</t>
  </si>
  <si>
    <t>コンパス</t>
  </si>
  <si>
    <t>Boussole</t>
  </si>
  <si>
    <t>Kompass</t>
  </si>
  <si>
    <t>Brújula</t>
  </si>
  <si>
    <t>Bussola</t>
  </si>
  <si>
    <t>콤파스</t>
  </si>
  <si>
    <t>羅盤</t>
  </si>
  <si>
    <t>Kitten</t>
  </si>
  <si>
    <t>こねこ</t>
  </si>
  <si>
    <t>Chaton</t>
  </si>
  <si>
    <t>Kätzchen</t>
  </si>
  <si>
    <t>Gatito</t>
  </si>
  <si>
    <t>Micio</t>
  </si>
  <si>
    <t>작은고양이</t>
  </si>
  <si>
    <t>小貓</t>
  </si>
  <si>
    <t>Prim</t>
  </si>
  <si>
    <t>おすまし</t>
  </si>
  <si>
    <t>Guindé</t>
  </si>
  <si>
    <t>Eingebildet</t>
  </si>
  <si>
    <t>Cursi</t>
  </si>
  <si>
    <t>Finezza</t>
  </si>
  <si>
    <t>새침떼기</t>
  </si>
  <si>
    <t>清高</t>
  </si>
  <si>
    <t xml:space="preserve">Finsternis       </t>
  </si>
  <si>
    <t>Deceiver</t>
  </si>
  <si>
    <t>あざむき</t>
  </si>
  <si>
    <t>Trompeur</t>
  </si>
  <si>
    <t>Schwindel</t>
  </si>
  <si>
    <t>Tramposo</t>
  </si>
  <si>
    <t>Inganno</t>
  </si>
  <si>
    <t>배반</t>
  </si>
  <si>
    <t>欺騙</t>
  </si>
  <si>
    <t>Iron Armor</t>
  </si>
  <si>
    <t>てつヨロイ</t>
  </si>
  <si>
    <t>Armufer</t>
  </si>
  <si>
    <t>Eisenpanzer</t>
  </si>
  <si>
    <t>Cor. Férrea</t>
  </si>
  <si>
    <t>Corazza</t>
  </si>
  <si>
    <t>철갑옷</t>
  </si>
  <si>
    <t>鐵鎧</t>
  </si>
  <si>
    <t>めいそう</t>
  </si>
  <si>
    <t>Méditation</t>
  </si>
  <si>
    <t>Meditador</t>
  </si>
  <si>
    <t>명상</t>
  </si>
  <si>
    <t>冥想</t>
  </si>
  <si>
    <t>いなずま</t>
  </si>
  <si>
    <t>Gewitter</t>
  </si>
  <si>
    <t>Calambre</t>
  </si>
  <si>
    <t>Lampo</t>
  </si>
  <si>
    <t>천둥번개</t>
  </si>
  <si>
    <t>閃電</t>
  </si>
  <si>
    <t>Décharge</t>
  </si>
  <si>
    <t>Entladung</t>
  </si>
  <si>
    <t>Descarga</t>
  </si>
  <si>
    <t>Scossa</t>
  </si>
  <si>
    <t>방전</t>
  </si>
  <si>
    <t>放電</t>
  </si>
  <si>
    <t>Cheering</t>
  </si>
  <si>
    <t>おうえん</t>
  </si>
  <si>
    <t>Acclameur</t>
  </si>
  <si>
    <t>Jubel</t>
  </si>
  <si>
    <t>Ánimo</t>
  </si>
  <si>
    <t>Incitamento</t>
  </si>
  <si>
    <t>응원</t>
  </si>
  <si>
    <t>加油</t>
  </si>
  <si>
    <t>Firefly</t>
  </si>
  <si>
    <t>ほたる</t>
  </si>
  <si>
    <t>Luciole</t>
  </si>
  <si>
    <t>Luciérnaga</t>
  </si>
  <si>
    <t>Lucciola</t>
  </si>
  <si>
    <t>반딧불</t>
  </si>
  <si>
    <t>螢火蟲</t>
  </si>
  <si>
    <t>Thorn</t>
  </si>
  <si>
    <t>いばら</t>
  </si>
  <si>
    <t>Épine</t>
  </si>
  <si>
    <t>Dorn</t>
  </si>
  <si>
    <t>Espina</t>
  </si>
  <si>
    <t>Spina</t>
  </si>
  <si>
    <t>가시</t>
  </si>
  <si>
    <t>荊棘</t>
  </si>
  <si>
    <t>Stomach</t>
  </si>
  <si>
    <t>いぶくろ</t>
  </si>
  <si>
    <t>Estomac</t>
  </si>
  <si>
    <t>Magen</t>
  </si>
  <si>
    <t>Estómago</t>
  </si>
  <si>
    <t>Stomaco</t>
  </si>
  <si>
    <t>밥통</t>
  </si>
  <si>
    <t>胃袋</t>
  </si>
  <si>
    <t>Poison Bag</t>
  </si>
  <si>
    <t>どくぶくろ</t>
  </si>
  <si>
    <t>Sac Poison</t>
  </si>
  <si>
    <t>Giftbeutel</t>
  </si>
  <si>
    <t>Bolsa Veneno</t>
  </si>
  <si>
    <t>Velenosacco</t>
  </si>
  <si>
    <t>독봉지</t>
  </si>
  <si>
    <t>毒袋</t>
  </si>
  <si>
    <t>Savage</t>
  </si>
  <si>
    <t>どうもう</t>
  </si>
  <si>
    <t>Féroce</t>
  </si>
  <si>
    <t>Gnadenlos</t>
  </si>
  <si>
    <t>Feroz</t>
  </si>
  <si>
    <t>Feroce</t>
  </si>
  <si>
    <t>사나움</t>
  </si>
  <si>
    <t>凶猛</t>
  </si>
  <si>
    <t>Brutal</t>
  </si>
  <si>
    <t>きょうぼう</t>
  </si>
  <si>
    <t>Voraz</t>
  </si>
  <si>
    <t>난폭</t>
  </si>
  <si>
    <t>凶暴</t>
  </si>
  <si>
    <t>Ball Whale</t>
  </si>
  <si>
    <t>たまくじら</t>
  </si>
  <si>
    <t>Baleinboule</t>
  </si>
  <si>
    <t>Kugelwal</t>
  </si>
  <si>
    <t>Ballenabola</t>
  </si>
  <si>
    <t>Balenottero</t>
  </si>
  <si>
    <t>둥근고래</t>
  </si>
  <si>
    <t>球鯨</t>
  </si>
  <si>
    <t>Float Whale</t>
  </si>
  <si>
    <t>うきくじら</t>
  </si>
  <si>
    <t>Cachabouée</t>
  </si>
  <si>
    <t>Flutwal</t>
  </si>
  <si>
    <t>Ballenaflot</t>
  </si>
  <si>
    <t>Megabalena</t>
  </si>
  <si>
    <t>뜸고래</t>
  </si>
  <si>
    <t>浮鯨</t>
  </si>
  <si>
    <t>Numb</t>
  </si>
  <si>
    <t>どんかん</t>
  </si>
  <si>
    <t>Engourdi</t>
  </si>
  <si>
    <t>Taubheit</t>
  </si>
  <si>
    <t>Torpe</t>
  </si>
  <si>
    <t>Torpore</t>
  </si>
  <si>
    <t>둔감</t>
  </si>
  <si>
    <t>遲鈍</t>
  </si>
  <si>
    <t>Ausbruch</t>
  </si>
  <si>
    <t>Erupción</t>
  </si>
  <si>
    <t>Coal</t>
  </si>
  <si>
    <t>せきたん</t>
  </si>
  <si>
    <t>Kohle</t>
  </si>
  <si>
    <t>Carbón</t>
  </si>
  <si>
    <t>Carbone</t>
  </si>
  <si>
    <t>석탄</t>
  </si>
  <si>
    <t>煤炭</t>
  </si>
  <si>
    <t>とびはね</t>
  </si>
  <si>
    <t>Saltarin</t>
  </si>
  <si>
    <t>Molla</t>
  </si>
  <si>
    <t>튀다</t>
  </si>
  <si>
    <t>Manipulation</t>
  </si>
  <si>
    <t>あやつり</t>
  </si>
  <si>
    <t>Magouilleur</t>
  </si>
  <si>
    <t>Manipulator</t>
  </si>
  <si>
    <t>Manipulador</t>
  </si>
  <si>
    <t>Raggiro</t>
  </si>
  <si>
    <t>조작</t>
  </si>
  <si>
    <t>操縱</t>
  </si>
  <si>
    <t>Spot Panda</t>
  </si>
  <si>
    <t>ぶちパンダ</t>
  </si>
  <si>
    <t>Panda Taché</t>
  </si>
  <si>
    <t>Punkt-Panda</t>
  </si>
  <si>
    <t>Panda Topos</t>
  </si>
  <si>
    <t>Macchipanda</t>
  </si>
  <si>
    <t>얼룩팬더</t>
  </si>
  <si>
    <t>斑點熊貓</t>
  </si>
  <si>
    <t>Ant Pit</t>
  </si>
  <si>
    <t>ありじごく</t>
  </si>
  <si>
    <t>Piégeur</t>
  </si>
  <si>
    <t>Ameisenlöwe</t>
  </si>
  <si>
    <t>Hormigaleón</t>
  </si>
  <si>
    <t>Trappola</t>
  </si>
  <si>
    <t>개미지옥</t>
  </si>
  <si>
    <t>蟻獅</t>
  </si>
  <si>
    <t>Vibration</t>
  </si>
  <si>
    <t>しんどう</t>
  </si>
  <si>
    <t>Vibrante</t>
  </si>
  <si>
    <t>Vibrazione</t>
  </si>
  <si>
    <t>진동</t>
  </si>
  <si>
    <t>震動</t>
  </si>
  <si>
    <t>Cactus</t>
  </si>
  <si>
    <t>サボテン</t>
  </si>
  <si>
    <t>Kaktus</t>
  </si>
  <si>
    <t>선인장</t>
  </si>
  <si>
    <t>仙人掌</t>
  </si>
  <si>
    <t>Scarecrow</t>
  </si>
  <si>
    <t>カカシぐさ</t>
  </si>
  <si>
    <t>Épouvantail</t>
  </si>
  <si>
    <t>Vogelschock</t>
  </si>
  <si>
    <t>Espantajo</t>
  </si>
  <si>
    <t>Spavento</t>
  </si>
  <si>
    <t>허수아비</t>
  </si>
  <si>
    <t>稻草人</t>
  </si>
  <si>
    <t>Cotton Bird</t>
  </si>
  <si>
    <t>わたとり</t>
  </si>
  <si>
    <t>Oiseaucoton</t>
  </si>
  <si>
    <t>Wollvogel</t>
  </si>
  <si>
    <t>Ave Algodón</t>
  </si>
  <si>
    <t>Alidicotone</t>
  </si>
  <si>
    <t>솜새</t>
  </si>
  <si>
    <t>綿鳥</t>
  </si>
  <si>
    <t>Humming</t>
  </si>
  <si>
    <t>ハミング</t>
  </si>
  <si>
    <t>Virevolteur</t>
  </si>
  <si>
    <t>Summsel</t>
  </si>
  <si>
    <t>Cantor</t>
  </si>
  <si>
    <t>Canterino</t>
  </si>
  <si>
    <t>허밍</t>
  </si>
  <si>
    <t>哼唱</t>
  </si>
  <si>
    <t>Cat Furret</t>
  </si>
  <si>
    <t>ネコイタチ</t>
  </si>
  <si>
    <t>Chat Furet</t>
  </si>
  <si>
    <t>Frettkatz</t>
  </si>
  <si>
    <t>Gato Hurón</t>
  </si>
  <si>
    <t>Furogatto</t>
  </si>
  <si>
    <t>고양이족제비</t>
  </si>
  <si>
    <t>貓鼬</t>
  </si>
  <si>
    <t>Fang Snake</t>
  </si>
  <si>
    <t>キバへび</t>
  </si>
  <si>
    <t>Serparoc</t>
  </si>
  <si>
    <t>Reißzahn</t>
  </si>
  <si>
    <t>Colmillos</t>
  </si>
  <si>
    <t>Zannaserpe</t>
  </si>
  <si>
    <t>송곳뱀</t>
  </si>
  <si>
    <t>牙蛇</t>
  </si>
  <si>
    <t>Meteorite</t>
  </si>
  <si>
    <t>いんせき</t>
  </si>
  <si>
    <t>Météorite</t>
  </si>
  <si>
    <t>Meterorit</t>
  </si>
  <si>
    <t>Meteorito</t>
  </si>
  <si>
    <t>별똥별</t>
  </si>
  <si>
    <t>隕石</t>
  </si>
  <si>
    <t>Whiskers</t>
  </si>
  <si>
    <t>ひげうお</t>
  </si>
  <si>
    <t>Barbillon</t>
  </si>
  <si>
    <t>Barthaar</t>
  </si>
  <si>
    <t>Bigotudo</t>
  </si>
  <si>
    <t>Baffetti</t>
  </si>
  <si>
    <t>수염물고기</t>
  </si>
  <si>
    <t>鬚魚</t>
  </si>
  <si>
    <t>Ruffian</t>
  </si>
  <si>
    <t>ごろつき</t>
  </si>
  <si>
    <t>Brute</t>
  </si>
  <si>
    <t>Grobian</t>
  </si>
  <si>
    <t>Rufián</t>
  </si>
  <si>
    <t>Birbone</t>
  </si>
  <si>
    <t>건달</t>
  </si>
  <si>
    <t>無賴</t>
  </si>
  <si>
    <t>Rogue</t>
  </si>
  <si>
    <t>ならずもの</t>
  </si>
  <si>
    <t>Crapule</t>
  </si>
  <si>
    <t>Schlingel</t>
  </si>
  <si>
    <t>Granuja</t>
  </si>
  <si>
    <t>Canaglia</t>
  </si>
  <si>
    <t>불량배</t>
  </si>
  <si>
    <t>流氓</t>
  </si>
  <si>
    <t>Clay Doll</t>
  </si>
  <si>
    <t>どぐう</t>
  </si>
  <si>
    <t>Poupargile</t>
  </si>
  <si>
    <t>Lehmpuppe</t>
  </si>
  <si>
    <t>Muñeca Barro</t>
  </si>
  <si>
    <t>Argilla</t>
  </si>
  <si>
    <t>토우</t>
  </si>
  <si>
    <t>泥偶</t>
  </si>
  <si>
    <t>Sea Lily</t>
  </si>
  <si>
    <t>ウミユリ</t>
  </si>
  <si>
    <t>Lis d'Eau</t>
  </si>
  <si>
    <t>Seeanemone</t>
  </si>
  <si>
    <t>Lila Mar</t>
  </si>
  <si>
    <t>Fiordimare</t>
  </si>
  <si>
    <t>바다나리</t>
  </si>
  <si>
    <t>海百合</t>
  </si>
  <si>
    <t>Barnacle</t>
  </si>
  <si>
    <t>いわつぼ</t>
  </si>
  <si>
    <t>Bemacle</t>
  </si>
  <si>
    <t>Rankfüßer</t>
  </si>
  <si>
    <t>Percebe</t>
  </si>
  <si>
    <t>Lepade</t>
  </si>
  <si>
    <t>바위단지</t>
  </si>
  <si>
    <t>藤壺</t>
  </si>
  <si>
    <t>Old Shrimp</t>
  </si>
  <si>
    <t>むかしエビ</t>
  </si>
  <si>
    <t>Crustage</t>
  </si>
  <si>
    <t>Krebssenior</t>
  </si>
  <si>
    <t>Camarón</t>
  </si>
  <si>
    <t>Primaceo</t>
  </si>
  <si>
    <t>고대새우</t>
  </si>
  <si>
    <t>古蝦</t>
  </si>
  <si>
    <t>Plate</t>
  </si>
  <si>
    <t>かっちゅう</t>
  </si>
  <si>
    <t>Blindage</t>
  </si>
  <si>
    <t>Schild</t>
  </si>
  <si>
    <t>Piastre</t>
  </si>
  <si>
    <t>갑주</t>
  </si>
  <si>
    <t>甲胄</t>
  </si>
  <si>
    <t>Tender</t>
  </si>
  <si>
    <t>いつくしみ</t>
  </si>
  <si>
    <t>Tendre</t>
  </si>
  <si>
    <t>Zartheit</t>
  </si>
  <si>
    <t>Tierno</t>
  </si>
  <si>
    <t>Tenerezza</t>
  </si>
  <si>
    <t>사랑</t>
  </si>
  <si>
    <t>慈愛</t>
  </si>
  <si>
    <t>Weather</t>
  </si>
  <si>
    <t>てんき</t>
  </si>
  <si>
    <t>Climat</t>
  </si>
  <si>
    <t>Wetter</t>
  </si>
  <si>
    <t>Clima</t>
  </si>
  <si>
    <t>Meteo</t>
  </si>
  <si>
    <t>날씨</t>
  </si>
  <si>
    <t>天氣</t>
  </si>
  <si>
    <t>Color Swap</t>
  </si>
  <si>
    <t>いろへんげ</t>
  </si>
  <si>
    <t>Multicolor</t>
  </si>
  <si>
    <t>Farbenspiel</t>
  </si>
  <si>
    <t>Camaleónico</t>
  </si>
  <si>
    <t>Mutacolore</t>
  </si>
  <si>
    <t>색변화</t>
  </si>
  <si>
    <t>變色</t>
  </si>
  <si>
    <t>Puppet</t>
  </si>
  <si>
    <t>にんぎょう</t>
  </si>
  <si>
    <t>Poupée</t>
  </si>
  <si>
    <t>Puppe</t>
  </si>
  <si>
    <t>Títere</t>
  </si>
  <si>
    <t>Pupazzo</t>
  </si>
  <si>
    <t>인형</t>
  </si>
  <si>
    <t>人偶</t>
  </si>
  <si>
    <t>Marionette</t>
  </si>
  <si>
    <t>ぬいぐるみ</t>
  </si>
  <si>
    <t>Marionnette</t>
  </si>
  <si>
    <t>Marioneta</t>
  </si>
  <si>
    <t>Marionetta</t>
  </si>
  <si>
    <t>봉제인형</t>
  </si>
  <si>
    <t>布偶</t>
  </si>
  <si>
    <t>Requiem</t>
  </si>
  <si>
    <t>おむかえ</t>
  </si>
  <si>
    <t>Réquiem</t>
  </si>
  <si>
    <t>마중</t>
  </si>
  <si>
    <t>渡魂</t>
  </si>
  <si>
    <t>Beckon</t>
  </si>
  <si>
    <t>てまねき</t>
  </si>
  <si>
    <t>Appel</t>
  </si>
  <si>
    <t>Wink</t>
  </si>
  <si>
    <t>Atrayente</t>
  </si>
  <si>
    <t>Ipnosguardo</t>
  </si>
  <si>
    <t>손짓</t>
  </si>
  <si>
    <t>招手</t>
  </si>
  <si>
    <t>Fruit</t>
  </si>
  <si>
    <t>フルーツ</t>
  </si>
  <si>
    <t>Obst</t>
  </si>
  <si>
    <t>Fruto</t>
  </si>
  <si>
    <t>Frutto</t>
  </si>
  <si>
    <t>후르츠</t>
  </si>
  <si>
    <t>水果</t>
  </si>
  <si>
    <t>Wind Chime</t>
  </si>
  <si>
    <t>ふうりん</t>
  </si>
  <si>
    <t>Carillon</t>
  </si>
  <si>
    <t>Windspiel</t>
  </si>
  <si>
    <t>Sonido Aire</t>
  </si>
  <si>
    <t>Vencampana</t>
  </si>
  <si>
    <t>풍령</t>
  </si>
  <si>
    <t>風鈴</t>
  </si>
  <si>
    <t>Disaster</t>
  </si>
  <si>
    <t>わざわい</t>
  </si>
  <si>
    <t>Désastre</t>
  </si>
  <si>
    <t>Desaster</t>
  </si>
  <si>
    <t>Catástrofe</t>
  </si>
  <si>
    <t>Catastrofe</t>
  </si>
  <si>
    <t>재난</t>
  </si>
  <si>
    <t>災禍</t>
  </si>
  <si>
    <t>Bright</t>
  </si>
  <si>
    <t>ほがらか</t>
  </si>
  <si>
    <t>Ravi</t>
  </si>
  <si>
    <t>Strahlekind</t>
  </si>
  <si>
    <t>Radiante</t>
  </si>
  <si>
    <t>Brillante</t>
  </si>
  <si>
    <t>명랑</t>
  </si>
  <si>
    <t>開朗</t>
  </si>
  <si>
    <t>Snow Hat</t>
  </si>
  <si>
    <t>ゆきかさ</t>
  </si>
  <si>
    <t>Capuche</t>
  </si>
  <si>
    <t>Schneehut</t>
  </si>
  <si>
    <t>Gorro Nieve</t>
  </si>
  <si>
    <t>Cappelneve</t>
  </si>
  <si>
    <t>눈우산</t>
  </si>
  <si>
    <t>雪笠</t>
  </si>
  <si>
    <t>Face</t>
  </si>
  <si>
    <t>がんめん</t>
  </si>
  <si>
    <t>Antlitz</t>
  </si>
  <si>
    <t>Cara</t>
  </si>
  <si>
    <t>Tuttomuso</t>
  </si>
  <si>
    <t>얼굴</t>
  </si>
  <si>
    <t>臉面</t>
  </si>
  <si>
    <t>Clap</t>
  </si>
  <si>
    <t>てたたき</t>
  </si>
  <si>
    <t>Clap Clap</t>
  </si>
  <si>
    <t>Applaus</t>
  </si>
  <si>
    <t>Aplauso</t>
  </si>
  <si>
    <t>Rotolante</t>
  </si>
  <si>
    <t>손뼉</t>
  </si>
  <si>
    <t>拍手</t>
  </si>
  <si>
    <t>Ball Roll</t>
  </si>
  <si>
    <t>たままわし</t>
  </si>
  <si>
    <t>Roule Boule</t>
  </si>
  <si>
    <t>Spielball</t>
  </si>
  <si>
    <t>Rodabola</t>
  </si>
  <si>
    <t>Rotapalla</t>
  </si>
  <si>
    <t>공돌리기</t>
  </si>
  <si>
    <t>滾球</t>
  </si>
  <si>
    <t>Ice Break</t>
  </si>
  <si>
    <t>こおりわり</t>
  </si>
  <si>
    <t>Brise Glace</t>
  </si>
  <si>
    <t>Eisbrecher</t>
  </si>
  <si>
    <t>Rompehielo</t>
  </si>
  <si>
    <t>Spaccagelo</t>
  </si>
  <si>
    <t>얼음깨기</t>
  </si>
  <si>
    <t>破冰</t>
  </si>
  <si>
    <t>Deep Sea</t>
  </si>
  <si>
    <t>しんかい</t>
  </si>
  <si>
    <t>Abysse</t>
  </si>
  <si>
    <t>Tiefsee</t>
  </si>
  <si>
    <t>Abisal</t>
  </si>
  <si>
    <t>Abissi</t>
  </si>
  <si>
    <t>깊은바다</t>
  </si>
  <si>
    <t>深海</t>
  </si>
  <si>
    <t>South Sea</t>
  </si>
  <si>
    <t>なんかい</t>
  </si>
  <si>
    <t>Mer du Sud</t>
  </si>
  <si>
    <t>Südsee</t>
  </si>
  <si>
    <t>Mar Del Sur</t>
  </si>
  <si>
    <t>Sudmarino</t>
  </si>
  <si>
    <t>남해</t>
  </si>
  <si>
    <t>南海</t>
  </si>
  <si>
    <t>Longevity</t>
  </si>
  <si>
    <t>ちょうじゅ</t>
  </si>
  <si>
    <t>Longévité</t>
  </si>
  <si>
    <t>Bestand</t>
  </si>
  <si>
    <t>Longevo</t>
  </si>
  <si>
    <t>Longevità</t>
  </si>
  <si>
    <t>장수</t>
  </si>
  <si>
    <t>長壽</t>
  </si>
  <si>
    <t>Rendezvous</t>
  </si>
  <si>
    <t>ランデブー</t>
  </si>
  <si>
    <t>Rendez-Vous</t>
  </si>
  <si>
    <t>Cita</t>
  </si>
  <si>
    <t>랑데부</t>
  </si>
  <si>
    <t>相隨</t>
  </si>
  <si>
    <t>Rocciotesta</t>
  </si>
  <si>
    <t>Endurance</t>
  </si>
  <si>
    <t>にんたい</t>
  </si>
  <si>
    <t>Endurant</t>
  </si>
  <si>
    <t>Durchsteher</t>
  </si>
  <si>
    <t>Resistencia</t>
  </si>
  <si>
    <t>Resistenza</t>
  </si>
  <si>
    <t>인내</t>
  </si>
  <si>
    <t>耐力</t>
  </si>
  <si>
    <t>Iron Ball</t>
  </si>
  <si>
    <t>てっきゅう</t>
  </si>
  <si>
    <t>Boulefer</t>
  </si>
  <si>
    <t>Eisenkugel</t>
  </si>
  <si>
    <t>Bola Hierro</t>
  </si>
  <si>
    <t>Ferrosfera</t>
  </si>
  <si>
    <t>철공</t>
  </si>
  <si>
    <t>鐵球</t>
  </si>
  <si>
    <t>Iron Claw</t>
  </si>
  <si>
    <t>てつツメ</t>
  </si>
  <si>
    <t>Pincefer</t>
  </si>
  <si>
    <t>Eisenklaue</t>
  </si>
  <si>
    <t>Garrahierro</t>
  </si>
  <si>
    <t>Ferrunghia</t>
  </si>
  <si>
    <t>철발톱</t>
  </si>
  <si>
    <t>鐵爪</t>
  </si>
  <si>
    <t>Iron Leg</t>
  </si>
  <si>
    <t>てつあし</t>
  </si>
  <si>
    <t>Pattefer</t>
  </si>
  <si>
    <t>Eisenfuß</t>
  </si>
  <si>
    <t>Pata Hierro</t>
  </si>
  <si>
    <t>Ferrarto</t>
  </si>
  <si>
    <t>무쇠다리</t>
  </si>
  <si>
    <t>鐵足</t>
  </si>
  <si>
    <t>Rock Peak</t>
  </si>
  <si>
    <t>いわやま</t>
  </si>
  <si>
    <t>Pic Rocheux</t>
  </si>
  <si>
    <t>Steingipfel</t>
  </si>
  <si>
    <t>Pico Roca</t>
  </si>
  <si>
    <t>Picco</t>
  </si>
  <si>
    <t>바위산</t>
  </si>
  <si>
    <t>岩山</t>
  </si>
  <si>
    <t>Iceberg</t>
  </si>
  <si>
    <t>ひょうざん</t>
  </si>
  <si>
    <t>Eisberg</t>
  </si>
  <si>
    <t>빙산</t>
  </si>
  <si>
    <t>冰山</t>
  </si>
  <si>
    <t>Iron</t>
  </si>
  <si>
    <t>くろがね</t>
  </si>
  <si>
    <t>Fer</t>
  </si>
  <si>
    <t>Eisen</t>
  </si>
  <si>
    <t>Hierro</t>
  </si>
  <si>
    <t>Ferro</t>
  </si>
  <si>
    <t>쇠철</t>
  </si>
  <si>
    <t>黑金</t>
  </si>
  <si>
    <t>Eon</t>
  </si>
  <si>
    <t>むげん</t>
  </si>
  <si>
    <t>Éon</t>
  </si>
  <si>
    <t>Äon</t>
  </si>
  <si>
    <t>Eón</t>
  </si>
  <si>
    <t>Eone</t>
  </si>
  <si>
    <t>무한</t>
  </si>
  <si>
    <t>無限</t>
  </si>
  <si>
    <t>Sea Basin</t>
  </si>
  <si>
    <t>かいてい</t>
  </si>
  <si>
    <t>Bassinmarin</t>
  </si>
  <si>
    <t>Seegründler</t>
  </si>
  <si>
    <t>Cuenca Mar</t>
  </si>
  <si>
    <t>Oceano</t>
  </si>
  <si>
    <t>해저</t>
  </si>
  <si>
    <t>海底</t>
  </si>
  <si>
    <t>Continent</t>
  </si>
  <si>
    <t>たいりく</t>
  </si>
  <si>
    <t>Kontinent</t>
  </si>
  <si>
    <t>Continente</t>
  </si>
  <si>
    <t>대륙</t>
  </si>
  <si>
    <t>大陸</t>
  </si>
  <si>
    <t>Sky High</t>
  </si>
  <si>
    <t>てんくう</t>
  </si>
  <si>
    <t>Cieux</t>
  </si>
  <si>
    <t>Himmelhoch</t>
  </si>
  <si>
    <t>Cielo</t>
  </si>
  <si>
    <t>Stratosfera</t>
  </si>
  <si>
    <t>천공</t>
  </si>
  <si>
    <t>天空</t>
  </si>
  <si>
    <t>Wish</t>
  </si>
  <si>
    <t>ねがいごと</t>
  </si>
  <si>
    <t>Souhait</t>
  </si>
  <si>
    <t>Wünscher</t>
  </si>
  <si>
    <t>Deseo</t>
  </si>
  <si>
    <t>Desiderio</t>
  </si>
  <si>
    <t>희망사항</t>
  </si>
  <si>
    <t>祈願</t>
  </si>
  <si>
    <t>DNA</t>
  </si>
  <si>
    <t>ＤＮＡ</t>
  </si>
  <si>
    <t>ADN</t>
  </si>
  <si>
    <t>DNS</t>
  </si>
  <si>
    <t>Tiny Leaf</t>
  </si>
  <si>
    <t>わかば</t>
  </si>
  <si>
    <t>Minifeuille</t>
  </si>
  <si>
    <t>Winziglaub</t>
  </si>
  <si>
    <t>Hojita</t>
  </si>
  <si>
    <t>Fogliolina</t>
  </si>
  <si>
    <t>어린잎</t>
  </si>
  <si>
    <t>嫩葉</t>
  </si>
  <si>
    <t>Grove</t>
  </si>
  <si>
    <t>こだち</t>
  </si>
  <si>
    <t>Bosquet</t>
  </si>
  <si>
    <t>Hain</t>
  </si>
  <si>
    <t>Arboleda</t>
  </si>
  <si>
    <t>Boschetto</t>
  </si>
  <si>
    <t>나무숲</t>
  </si>
  <si>
    <t>樹叢</t>
  </si>
  <si>
    <t>Chimp</t>
  </si>
  <si>
    <t>こざる</t>
  </si>
  <si>
    <t>Chimpanzé</t>
  </si>
  <si>
    <t>Schimpanse</t>
  </si>
  <si>
    <t>Chimpancé</t>
  </si>
  <si>
    <t>Scimpanzé</t>
  </si>
  <si>
    <t>꼬마원숭이</t>
  </si>
  <si>
    <t>小猴</t>
  </si>
  <si>
    <t>Playful</t>
  </si>
  <si>
    <t>やんちゃ</t>
  </si>
  <si>
    <t>Garnement</t>
  </si>
  <si>
    <t>Verspielt</t>
  </si>
  <si>
    <t>Juguetón</t>
  </si>
  <si>
    <t>Briccone</t>
  </si>
  <si>
    <t>개구쟁이</t>
  </si>
  <si>
    <t>頑皮</t>
  </si>
  <si>
    <t>Penguin</t>
  </si>
  <si>
    <t>ペンギン</t>
  </si>
  <si>
    <t>Pingouin</t>
  </si>
  <si>
    <t>Pinguin</t>
  </si>
  <si>
    <t>Pingüino</t>
  </si>
  <si>
    <t>Pinguino</t>
  </si>
  <si>
    <t>펭귄</t>
  </si>
  <si>
    <t>企鵝</t>
  </si>
  <si>
    <t>Emperor</t>
  </si>
  <si>
    <t>こうてい</t>
  </si>
  <si>
    <t>Empereur</t>
  </si>
  <si>
    <t>Kaiser</t>
  </si>
  <si>
    <t>Emperador</t>
  </si>
  <si>
    <t>Imperatore</t>
  </si>
  <si>
    <t>황제</t>
  </si>
  <si>
    <t>皇帝</t>
  </si>
  <si>
    <t>Starling</t>
  </si>
  <si>
    <t>むくどり</t>
  </si>
  <si>
    <t>Étourneau</t>
  </si>
  <si>
    <t>Star</t>
  </si>
  <si>
    <t>Estornino</t>
  </si>
  <si>
    <t>Storno</t>
  </si>
  <si>
    <t>찌르레기</t>
  </si>
  <si>
    <t>椋鳥</t>
  </si>
  <si>
    <t>Predator</t>
  </si>
  <si>
    <t>もうけん</t>
  </si>
  <si>
    <t>Rapace</t>
  </si>
  <si>
    <t>Raubtier</t>
  </si>
  <si>
    <t>Depredador</t>
  </si>
  <si>
    <t>맹금</t>
  </si>
  <si>
    <t>猛禽</t>
  </si>
  <si>
    <t>Plump Mouse</t>
  </si>
  <si>
    <t>まるねずみ</t>
  </si>
  <si>
    <t>Souridodue</t>
  </si>
  <si>
    <t>Dickmaus</t>
  </si>
  <si>
    <t>Gran Ratón</t>
  </si>
  <si>
    <t>Topaffuto</t>
  </si>
  <si>
    <t>둥글쥐</t>
  </si>
  <si>
    <t>圓鼠</t>
  </si>
  <si>
    <t>Beaver</t>
  </si>
  <si>
    <t>ビーバー</t>
  </si>
  <si>
    <t>Castor</t>
  </si>
  <si>
    <t>Biber</t>
  </si>
  <si>
    <t>비버</t>
  </si>
  <si>
    <t>河狸</t>
  </si>
  <si>
    <t>Cricket</t>
  </si>
  <si>
    <t>こおろぎ</t>
  </si>
  <si>
    <t>Criquet</t>
  </si>
  <si>
    <t>Zirper</t>
  </si>
  <si>
    <t>Grillo</t>
  </si>
  <si>
    <t>귀뚜라미</t>
  </si>
  <si>
    <t>蟋蟀</t>
  </si>
  <si>
    <t>せんこう</t>
  </si>
  <si>
    <t>Flacker</t>
  </si>
  <si>
    <t>Baleno</t>
  </si>
  <si>
    <t>섬광</t>
  </si>
  <si>
    <t>でんこう</t>
  </si>
  <si>
    <t>Funken</t>
  </si>
  <si>
    <t>Favilla</t>
  </si>
  <si>
    <t>전광</t>
  </si>
  <si>
    <t>Gleam Eyes</t>
  </si>
  <si>
    <t>がんこう</t>
  </si>
  <si>
    <t>Brilloeil</t>
  </si>
  <si>
    <t>Glühauge</t>
  </si>
  <si>
    <t>Chispa Ojos</t>
  </si>
  <si>
    <t>Occhiluce</t>
  </si>
  <si>
    <t>안광</t>
  </si>
  <si>
    <t>目光</t>
  </si>
  <si>
    <t>Bud</t>
  </si>
  <si>
    <t>つぼみ</t>
  </si>
  <si>
    <t>Bourgeon</t>
  </si>
  <si>
    <t>Knospe</t>
  </si>
  <si>
    <t>Brote</t>
  </si>
  <si>
    <t>Germoglio</t>
  </si>
  <si>
    <t>꽃봉오리</t>
  </si>
  <si>
    <t>花苞</t>
  </si>
  <si>
    <t>Bouquet</t>
  </si>
  <si>
    <t>ブーケ</t>
  </si>
  <si>
    <t>Blumenstrauß</t>
  </si>
  <si>
    <t>Ramillete</t>
  </si>
  <si>
    <t>Floreale</t>
  </si>
  <si>
    <t>부케</t>
  </si>
  <si>
    <t>花束</t>
  </si>
  <si>
    <t>Head Butt</t>
  </si>
  <si>
    <t>Coud'Boule</t>
  </si>
  <si>
    <t>Kopfstoß</t>
  </si>
  <si>
    <t>Cabezazo</t>
  </si>
  <si>
    <t>Cranioso</t>
  </si>
  <si>
    <t>Shield</t>
  </si>
  <si>
    <t>シールド</t>
  </si>
  <si>
    <t>Bouclier</t>
  </si>
  <si>
    <t>Schutzschild</t>
  </si>
  <si>
    <t>Escudo</t>
  </si>
  <si>
    <t>Schermo</t>
  </si>
  <si>
    <t>실드</t>
  </si>
  <si>
    <t>護盾</t>
  </si>
  <si>
    <t>Moth</t>
  </si>
  <si>
    <t>ミノガ</t>
  </si>
  <si>
    <t>Phalène</t>
  </si>
  <si>
    <t>Fruchtmotte</t>
  </si>
  <si>
    <t>Polilla</t>
  </si>
  <si>
    <t>Falena</t>
  </si>
  <si>
    <t>나방</t>
  </si>
  <si>
    <t>蓑衣蛾</t>
  </si>
  <si>
    <t>Tiny Bee</t>
  </si>
  <si>
    <t>はちのこ</t>
  </si>
  <si>
    <t>Miniabeille</t>
  </si>
  <si>
    <t>Baby-Biene</t>
  </si>
  <si>
    <t>Abejita</t>
  </si>
  <si>
    <t>Apetta</t>
  </si>
  <si>
    <t>꼬마벌</t>
  </si>
  <si>
    <t>幼蜂</t>
  </si>
  <si>
    <t>Beehive</t>
  </si>
  <si>
    <t>はちのす</t>
  </si>
  <si>
    <t>Ruche</t>
  </si>
  <si>
    <t>Bienenstock</t>
  </si>
  <si>
    <t>Colmena</t>
  </si>
  <si>
    <t>Alveare</t>
  </si>
  <si>
    <t>벌집</t>
  </si>
  <si>
    <t>蜂巢</t>
  </si>
  <si>
    <t>EleSquirrel</t>
  </si>
  <si>
    <t>でんきリス</t>
  </si>
  <si>
    <t>Écurélec</t>
  </si>
  <si>
    <t>Elektrohörnchen</t>
  </si>
  <si>
    <t>Ardillalec</t>
  </si>
  <si>
    <t>Elescoiatto</t>
  </si>
  <si>
    <t>전기다람쥐</t>
  </si>
  <si>
    <t>電松鼠</t>
  </si>
  <si>
    <t>Sea Weasle</t>
  </si>
  <si>
    <t>うみイタチ</t>
  </si>
  <si>
    <t>Aquabelette</t>
  </si>
  <si>
    <t>Meereswiesel</t>
  </si>
  <si>
    <t>Nutria Mar.</t>
  </si>
  <si>
    <t>Maridonnola</t>
  </si>
  <si>
    <t>바다족제비</t>
  </si>
  <si>
    <t>海鼬</t>
  </si>
  <si>
    <t>Cherry</t>
  </si>
  <si>
    <t>さくらんぼ</t>
  </si>
  <si>
    <t>Cerise</t>
  </si>
  <si>
    <t>Kirsche</t>
  </si>
  <si>
    <t>Cereza</t>
  </si>
  <si>
    <t>Ciliegia</t>
  </si>
  <si>
    <t>버찌</t>
  </si>
  <si>
    <t>櫻桃</t>
  </si>
  <si>
    <t>Blossom</t>
  </si>
  <si>
    <t>サクラ</t>
  </si>
  <si>
    <t>Floraison</t>
  </si>
  <si>
    <t>Blüte</t>
  </si>
  <si>
    <t>Floración</t>
  </si>
  <si>
    <t>Bocciolo</t>
  </si>
  <si>
    <t>벚꽃</t>
  </si>
  <si>
    <t>櫻花</t>
  </si>
  <si>
    <t>Sea Slug</t>
  </si>
  <si>
    <t>ウミウシ</t>
  </si>
  <si>
    <t>Aqualimace</t>
  </si>
  <si>
    <t>Seeschnecke</t>
  </si>
  <si>
    <t>Babosa Mar.</t>
  </si>
  <si>
    <t>Lumacomare</t>
  </si>
  <si>
    <t>갯민숭달팽이</t>
  </si>
  <si>
    <t>海兔</t>
  </si>
  <si>
    <t>Blimp</t>
  </si>
  <si>
    <t>ききゅう</t>
  </si>
  <si>
    <t>Luftschiff</t>
  </si>
  <si>
    <t>Dirigible</t>
  </si>
  <si>
    <t>Dirigibile</t>
  </si>
  <si>
    <t>기구</t>
  </si>
  <si>
    <t>熱氣球</t>
  </si>
  <si>
    <t>Rabbit</t>
  </si>
  <si>
    <t>うさぎ</t>
  </si>
  <si>
    <t>Lapin</t>
  </si>
  <si>
    <t>Hase</t>
  </si>
  <si>
    <t>Conejo</t>
  </si>
  <si>
    <t>Coniglio</t>
  </si>
  <si>
    <t>토끼</t>
  </si>
  <si>
    <t>兔子</t>
  </si>
  <si>
    <t>Magical</t>
  </si>
  <si>
    <t>マジカル</t>
  </si>
  <si>
    <t>Magique</t>
  </si>
  <si>
    <t>Magisch</t>
  </si>
  <si>
    <t>Mágico</t>
  </si>
  <si>
    <t>매지컬</t>
  </si>
  <si>
    <t>魔法</t>
  </si>
  <si>
    <t>Big Boss</t>
  </si>
  <si>
    <t>おおボス</t>
  </si>
  <si>
    <t>Anführer</t>
  </si>
  <si>
    <t>Gran Jefe</t>
  </si>
  <si>
    <t>Grancapo</t>
  </si>
  <si>
    <t>큰형님</t>
  </si>
  <si>
    <t>大頭目</t>
  </si>
  <si>
    <t>Catty</t>
  </si>
  <si>
    <t>ねこかぶり</t>
  </si>
  <si>
    <t>Chafouin</t>
  </si>
  <si>
    <t>Fies</t>
  </si>
  <si>
    <t>Gastuto</t>
  </si>
  <si>
    <t>Felide</t>
  </si>
  <si>
    <t>내숭</t>
  </si>
  <si>
    <t>裝乖</t>
  </si>
  <si>
    <t>Tiger Cat</t>
  </si>
  <si>
    <t>とらねこ</t>
  </si>
  <si>
    <t>Chatigre</t>
  </si>
  <si>
    <t>Tigerkatze</t>
  </si>
  <si>
    <t>Tigre Gato</t>
  </si>
  <si>
    <t>Gattotigre</t>
  </si>
  <si>
    <t>얼룩고양이</t>
  </si>
  <si>
    <t>虎斑貓</t>
  </si>
  <si>
    <t>Bell</t>
  </si>
  <si>
    <t>すず</t>
  </si>
  <si>
    <t>Clochette</t>
  </si>
  <si>
    <t>Glöckchen</t>
  </si>
  <si>
    <t>Campana</t>
  </si>
  <si>
    <t>Sonaglio</t>
  </si>
  <si>
    <t>방울</t>
  </si>
  <si>
    <t>鈴鐺</t>
  </si>
  <si>
    <t>Skunk</t>
  </si>
  <si>
    <t>スカンク</t>
  </si>
  <si>
    <t>Moufette</t>
  </si>
  <si>
    <t>Stinktier</t>
  </si>
  <si>
    <t>Mofeta</t>
  </si>
  <si>
    <t>Moffetta</t>
  </si>
  <si>
    <t>스컹크</t>
  </si>
  <si>
    <t>臭鼬</t>
  </si>
  <si>
    <t>Bronze</t>
  </si>
  <si>
    <t>せいどう</t>
  </si>
  <si>
    <t>Bronce</t>
  </si>
  <si>
    <t>Bronzo</t>
  </si>
  <si>
    <t>청동</t>
  </si>
  <si>
    <t>青銅</t>
  </si>
  <si>
    <t>Bronze Bell</t>
  </si>
  <si>
    <t>どうたく</t>
  </si>
  <si>
    <t>Clochebronze</t>
  </si>
  <si>
    <t>Bronzeglocke</t>
  </si>
  <si>
    <t>Squibronzo</t>
  </si>
  <si>
    <t>동탁</t>
  </si>
  <si>
    <t>銅鐘</t>
  </si>
  <si>
    <t>Bonsai</t>
  </si>
  <si>
    <t>ぼんさい</t>
  </si>
  <si>
    <t>Bonsaï</t>
  </si>
  <si>
    <t>Bonsái</t>
  </si>
  <si>
    <t>분재</t>
  </si>
  <si>
    <t>盆栽</t>
  </si>
  <si>
    <t>Mime</t>
  </si>
  <si>
    <t>マイム</t>
  </si>
  <si>
    <t>Mimo</t>
  </si>
  <si>
    <t>따라하기</t>
  </si>
  <si>
    <t>默劇</t>
  </si>
  <si>
    <t>Playhouse</t>
  </si>
  <si>
    <t>ままごと</t>
  </si>
  <si>
    <t>Maisonjouet</t>
  </si>
  <si>
    <t>Spielhaus</t>
  </si>
  <si>
    <t>Casita</t>
  </si>
  <si>
    <t>Ovettino</t>
  </si>
  <si>
    <t>소꿉놀이</t>
  </si>
  <si>
    <t>家家酒</t>
  </si>
  <si>
    <t>Music Note</t>
  </si>
  <si>
    <t>おんぷ</t>
  </si>
  <si>
    <t>Note Musique</t>
  </si>
  <si>
    <t>Musiknote</t>
  </si>
  <si>
    <t>Corchea</t>
  </si>
  <si>
    <t>Musicale</t>
  </si>
  <si>
    <t>음표</t>
  </si>
  <si>
    <t>音符</t>
  </si>
  <si>
    <t>Forbidden</t>
  </si>
  <si>
    <t>ふういん</t>
  </si>
  <si>
    <t>Interdit</t>
  </si>
  <si>
    <t>Verboten</t>
  </si>
  <si>
    <t>Prohibido</t>
  </si>
  <si>
    <t>Proibito</t>
  </si>
  <si>
    <t>봉인</t>
  </si>
  <si>
    <t>封印</t>
  </si>
  <si>
    <t>Land Shark</t>
  </si>
  <si>
    <t>りくザメ</t>
  </si>
  <si>
    <t>Terrequin</t>
  </si>
  <si>
    <t>Landhai</t>
  </si>
  <si>
    <t>Terrascualo</t>
  </si>
  <si>
    <t>Squaloterra</t>
  </si>
  <si>
    <t>육지상어</t>
  </si>
  <si>
    <t>陸鯊</t>
  </si>
  <si>
    <t>Cave</t>
  </si>
  <si>
    <t>ほらあな</t>
  </si>
  <si>
    <t>Caverne</t>
  </si>
  <si>
    <t>Höhle</t>
  </si>
  <si>
    <t>Cueva</t>
  </si>
  <si>
    <t>Grotta</t>
  </si>
  <si>
    <t>동굴</t>
  </si>
  <si>
    <t>洞穴</t>
  </si>
  <si>
    <t>Mach</t>
  </si>
  <si>
    <t>マッハ</t>
  </si>
  <si>
    <t>Supersonic</t>
  </si>
  <si>
    <t>Rasanz</t>
  </si>
  <si>
    <t>마하</t>
  </si>
  <si>
    <t>音速</t>
  </si>
  <si>
    <t>Big Eater</t>
  </si>
  <si>
    <t>おおぐい</t>
  </si>
  <si>
    <t>Goinfre</t>
  </si>
  <si>
    <t>Nimmersatt</t>
  </si>
  <si>
    <t>Comilón</t>
  </si>
  <si>
    <t>Ghiottone</t>
  </si>
  <si>
    <t>대식가</t>
  </si>
  <si>
    <t>大胃王</t>
  </si>
  <si>
    <t>Emanation</t>
  </si>
  <si>
    <t>はもん</t>
  </si>
  <si>
    <t>Émanation</t>
  </si>
  <si>
    <t>Wellenspiel</t>
  </si>
  <si>
    <t>Emanación</t>
  </si>
  <si>
    <t>Emanazione</t>
  </si>
  <si>
    <t>파문</t>
  </si>
  <si>
    <t>波紋</t>
  </si>
  <si>
    <t>Aura</t>
  </si>
  <si>
    <t>ほどう</t>
  </si>
  <si>
    <t>파동</t>
  </si>
  <si>
    <t>波導</t>
  </si>
  <si>
    <t>Hippo</t>
  </si>
  <si>
    <t>カバ</t>
  </si>
  <si>
    <t>Flusspferd</t>
  </si>
  <si>
    <t>Hipo</t>
  </si>
  <si>
    <t>Ippo</t>
  </si>
  <si>
    <t>하마</t>
  </si>
  <si>
    <t>河馬</t>
  </si>
  <si>
    <t>Heavyweight</t>
  </si>
  <si>
    <t>じゅうりょう</t>
  </si>
  <si>
    <t>Poids Lours</t>
  </si>
  <si>
    <t>Schwergewicht</t>
  </si>
  <si>
    <t>Peso Pesado</t>
  </si>
  <si>
    <t>Grandepeso</t>
  </si>
  <si>
    <t>중량</t>
  </si>
  <si>
    <t>重量</t>
  </si>
  <si>
    <t>Scorpion</t>
  </si>
  <si>
    <t>さそり</t>
  </si>
  <si>
    <t>Skorpion</t>
  </si>
  <si>
    <t>Escorpión</t>
  </si>
  <si>
    <t>전갈</t>
  </si>
  <si>
    <t>蠍子</t>
  </si>
  <si>
    <t>Ogre Scorpion</t>
  </si>
  <si>
    <t>ばけさそり</t>
  </si>
  <si>
    <t>Scorpogre</t>
  </si>
  <si>
    <t>Ogerskorpion</t>
  </si>
  <si>
    <t>Escorpiogro</t>
  </si>
  <si>
    <t>Scorpiaccio</t>
  </si>
  <si>
    <t>요괴전갈</t>
  </si>
  <si>
    <t>蠍怪</t>
  </si>
  <si>
    <t>Toxic Mouth</t>
  </si>
  <si>
    <t>どくづき</t>
  </si>
  <si>
    <t>Toxique</t>
  </si>
  <si>
    <t>Giftmund</t>
  </si>
  <si>
    <t>Boca Tóxica</t>
  </si>
  <si>
    <t>Inveieleno</t>
  </si>
  <si>
    <t>독설</t>
  </si>
  <si>
    <t>毒擊</t>
  </si>
  <si>
    <t>Bug Catcher</t>
  </si>
  <si>
    <t>むしとり</t>
  </si>
  <si>
    <t>Chopinsecte</t>
  </si>
  <si>
    <t>Käfertod</t>
  </si>
  <si>
    <t>Caza Bichos</t>
  </si>
  <si>
    <t>Insettivoro</t>
  </si>
  <si>
    <t>벌레잡이</t>
  </si>
  <si>
    <t>捕蟲</t>
  </si>
  <si>
    <t>Wing Fish</t>
  </si>
  <si>
    <t>はねうお</t>
  </si>
  <si>
    <t>Poisson Ailé</t>
  </si>
  <si>
    <t>Flügelfisch</t>
  </si>
  <si>
    <t>Pez Ala</t>
  </si>
  <si>
    <t>Pescealato</t>
  </si>
  <si>
    <t>비어</t>
  </si>
  <si>
    <t>飛翅魚</t>
  </si>
  <si>
    <t>Neon</t>
  </si>
  <si>
    <t>ネオン</t>
  </si>
  <si>
    <t>Néon</t>
  </si>
  <si>
    <t>Neón</t>
  </si>
  <si>
    <t>네온</t>
  </si>
  <si>
    <t>霓虹</t>
  </si>
  <si>
    <t>Frost Tree</t>
  </si>
  <si>
    <t>じゅひょう</t>
  </si>
  <si>
    <t>Arbregelé</t>
  </si>
  <si>
    <t>Frostbaum</t>
  </si>
  <si>
    <t>Árbol Nieve</t>
  </si>
  <si>
    <t>Albergelo</t>
  </si>
  <si>
    <t>얼음나무</t>
  </si>
  <si>
    <t>樹冰</t>
  </si>
  <si>
    <t>Magnet Area</t>
  </si>
  <si>
    <t>じば</t>
  </si>
  <si>
    <t>Aimant</t>
  </si>
  <si>
    <t>Magnetgebiet</t>
  </si>
  <si>
    <t>Magnético</t>
  </si>
  <si>
    <t>Magnetico</t>
  </si>
  <si>
    <t>자기장</t>
  </si>
  <si>
    <t>磁場</t>
  </si>
  <si>
    <t>らいでん</t>
  </si>
  <si>
    <t>Foudrélec</t>
  </si>
  <si>
    <t>Donnerkeil</t>
  </si>
  <si>
    <t>Saetta</t>
  </si>
  <si>
    <t>뇌전</t>
  </si>
  <si>
    <t>雷電</t>
  </si>
  <si>
    <t>Blast</t>
  </si>
  <si>
    <t>ばくえん</t>
  </si>
  <si>
    <t>Explosion</t>
  </si>
  <si>
    <t>Detonation</t>
  </si>
  <si>
    <t>Explosión</t>
  </si>
  <si>
    <t>Esplosivo</t>
  </si>
  <si>
    <t>폭염</t>
  </si>
  <si>
    <t>爆炎</t>
  </si>
  <si>
    <t>Jubilee</t>
  </si>
  <si>
    <t>しゅくふく</t>
  </si>
  <si>
    <t>Célébration</t>
  </si>
  <si>
    <t>Jubilierer</t>
  </si>
  <si>
    <t>Festejo</t>
  </si>
  <si>
    <t>Festa</t>
  </si>
  <si>
    <t>축복</t>
  </si>
  <si>
    <t>祝福</t>
  </si>
  <si>
    <t>Ogre Darner</t>
  </si>
  <si>
    <t>オニトンボ</t>
  </si>
  <si>
    <t>Libellogre</t>
  </si>
  <si>
    <t>Agrion</t>
  </si>
  <si>
    <t>Libélula</t>
  </si>
  <si>
    <t>Libellorco</t>
  </si>
  <si>
    <t>깨비잠자리</t>
  </si>
  <si>
    <t>勾蜓</t>
  </si>
  <si>
    <t>Verdant</t>
  </si>
  <si>
    <t>しんりょく</t>
  </si>
  <si>
    <t>Verdoyant</t>
  </si>
  <si>
    <t>Unreif</t>
  </si>
  <si>
    <t>Verdor</t>
  </si>
  <si>
    <t>Rigoglioso</t>
  </si>
  <si>
    <t>심록</t>
  </si>
  <si>
    <t>新綠</t>
  </si>
  <si>
    <t>Fresh Snow</t>
  </si>
  <si>
    <t>しんせつ</t>
  </si>
  <si>
    <t>Poudreuse</t>
  </si>
  <si>
    <t>Neuschnee</t>
  </si>
  <si>
    <t>Nieve Fresca</t>
  </si>
  <si>
    <t>Nevefresca</t>
  </si>
  <si>
    <t>신설</t>
  </si>
  <si>
    <t>新雪</t>
  </si>
  <si>
    <t>Fang Scorpion</t>
  </si>
  <si>
    <t>キバさそり</t>
  </si>
  <si>
    <t>Scorpiroc</t>
  </si>
  <si>
    <t>Zahnskorpi</t>
  </si>
  <si>
    <t>Colmicorpio</t>
  </si>
  <si>
    <t>Scorpidente</t>
  </si>
  <si>
    <t>송곳니전갈</t>
  </si>
  <si>
    <t>牙蠍</t>
  </si>
  <si>
    <t>Twin Tusk</t>
  </si>
  <si>
    <t>２ほんキバ</t>
  </si>
  <si>
    <t>Deudéfenses</t>
  </si>
  <si>
    <t>Doppelstoßzahn</t>
  </si>
  <si>
    <t>Doscolmillos</t>
  </si>
  <si>
    <t>Duezanne</t>
  </si>
  <si>
    <t>２개송곳니</t>
  </si>
  <si>
    <t>雙牙</t>
  </si>
  <si>
    <t>CATEGORY_PORYGONZ</t>
  </si>
  <si>
    <t>Blade</t>
  </si>
  <si>
    <t>やいば</t>
  </si>
  <si>
    <t>Lame</t>
  </si>
  <si>
    <t>Klinge</t>
  </si>
  <si>
    <t>Cuchilla</t>
  </si>
  <si>
    <t>Lama</t>
  </si>
  <si>
    <t>검</t>
  </si>
  <si>
    <t>利刃</t>
  </si>
  <si>
    <t>Gripper</t>
  </si>
  <si>
    <t>てづかみ</t>
  </si>
  <si>
    <t>Mainpince</t>
  </si>
  <si>
    <t>Greifer</t>
  </si>
  <si>
    <t>Grilletes</t>
  </si>
  <si>
    <t>Pinza</t>
  </si>
  <si>
    <t>움켜쥠</t>
  </si>
  <si>
    <t>抓握</t>
  </si>
  <si>
    <t>Snow Land</t>
  </si>
  <si>
    <t>ゆきぐに</t>
  </si>
  <si>
    <t>Enneigement</t>
  </si>
  <si>
    <t>Schneegebiet</t>
  </si>
  <si>
    <t>Tierra Fría</t>
  </si>
  <si>
    <t>Suolnevoso</t>
  </si>
  <si>
    <t>설국</t>
  </si>
  <si>
    <t>雪國</t>
  </si>
  <si>
    <t>Plasma</t>
  </si>
  <si>
    <t>プラズマ</t>
  </si>
  <si>
    <t>플라스마</t>
  </si>
  <si>
    <t>等離子</t>
  </si>
  <si>
    <t>Knowledge</t>
  </si>
  <si>
    <t>ちしき</t>
  </si>
  <si>
    <t>Savoir</t>
  </si>
  <si>
    <t>Wissen</t>
  </si>
  <si>
    <t>Sabiduría</t>
  </si>
  <si>
    <t>Sapienza</t>
  </si>
  <si>
    <t>지식</t>
  </si>
  <si>
    <t>知識</t>
  </si>
  <si>
    <t>Willpower</t>
  </si>
  <si>
    <t>いし</t>
  </si>
  <si>
    <t>Volonté</t>
  </si>
  <si>
    <t>Willenskraft</t>
  </si>
  <si>
    <t>Voluntad</t>
  </si>
  <si>
    <t>Volontà</t>
  </si>
  <si>
    <t>의지</t>
  </si>
  <si>
    <t>意志</t>
  </si>
  <si>
    <t>Temporal</t>
  </si>
  <si>
    <t>じかん</t>
  </si>
  <si>
    <t>Temps</t>
  </si>
  <si>
    <t>Zeitweilig</t>
  </si>
  <si>
    <t>Tempo</t>
  </si>
  <si>
    <t>시간</t>
  </si>
  <si>
    <t>時間</t>
  </si>
  <si>
    <t>Spatial</t>
  </si>
  <si>
    <t>くうかん</t>
  </si>
  <si>
    <t>Espace</t>
  </si>
  <si>
    <t>Räumlich</t>
  </si>
  <si>
    <t>Espacial</t>
  </si>
  <si>
    <t>Spazio</t>
  </si>
  <si>
    <t>공간</t>
  </si>
  <si>
    <t>空間</t>
  </si>
  <si>
    <t>Lava Dome</t>
  </si>
  <si>
    <t>かこう</t>
  </si>
  <si>
    <t>Caldeira</t>
  </si>
  <si>
    <t>Lavadom</t>
  </si>
  <si>
    <t>Domo Lava</t>
  </si>
  <si>
    <t>Cratere</t>
  </si>
  <si>
    <t>화구</t>
  </si>
  <si>
    <t>火山口</t>
  </si>
  <si>
    <t>Colossal</t>
  </si>
  <si>
    <t>きょだい</t>
  </si>
  <si>
    <t>Prodigieux</t>
  </si>
  <si>
    <t>Kolossal</t>
  </si>
  <si>
    <t>Colosal</t>
  </si>
  <si>
    <t>거대</t>
  </si>
  <si>
    <t>巨大</t>
  </si>
  <si>
    <t>Renegade</t>
  </si>
  <si>
    <t>はんこつ</t>
  </si>
  <si>
    <t>Renégat</t>
  </si>
  <si>
    <t>Rebell</t>
  </si>
  <si>
    <t>Renegado</t>
  </si>
  <si>
    <t>Ribelle</t>
  </si>
  <si>
    <t>반골</t>
  </si>
  <si>
    <t>反抗</t>
  </si>
  <si>
    <t>Lunar</t>
  </si>
  <si>
    <t>みかづき</t>
  </si>
  <si>
    <t>Lunaire</t>
  </si>
  <si>
    <t>Falcato</t>
  </si>
  <si>
    <t>초승달</t>
  </si>
  <si>
    <t>新月</t>
  </si>
  <si>
    <t>Sea Drifter</t>
  </si>
  <si>
    <t>かいよう</t>
  </si>
  <si>
    <t>Dérivenmer</t>
  </si>
  <si>
    <t>Seedrift</t>
  </si>
  <si>
    <t>Oceanbondo</t>
  </si>
  <si>
    <t>Marino</t>
  </si>
  <si>
    <t>해양</t>
  </si>
  <si>
    <t>海洋</t>
  </si>
  <si>
    <t>Seafaring</t>
  </si>
  <si>
    <t>かいゆう</t>
  </si>
  <si>
    <t>Voyagenmer</t>
  </si>
  <si>
    <t>Seefahrer</t>
  </si>
  <si>
    <t>Oceandante</t>
  </si>
  <si>
    <t>Náutico</t>
  </si>
  <si>
    <t>회유</t>
  </si>
  <si>
    <t>洄游</t>
  </si>
  <si>
    <t>Pitch-Black</t>
  </si>
  <si>
    <t>あんこく</t>
  </si>
  <si>
    <t>Noirtotal</t>
  </si>
  <si>
    <t>Dunkelnacht</t>
  </si>
  <si>
    <t>Neropesto</t>
  </si>
  <si>
    <t>암흑</t>
  </si>
  <si>
    <t>暗黑</t>
  </si>
  <si>
    <t>かんしゃ</t>
  </si>
  <si>
    <t>Dankbarkeit</t>
  </si>
  <si>
    <t>Graditud</t>
  </si>
  <si>
    <t>감사</t>
  </si>
  <si>
    <t>感謝</t>
  </si>
  <si>
    <t>Alpha</t>
  </si>
  <si>
    <t>そうぞう</t>
  </si>
  <si>
    <t>Alfa</t>
  </si>
  <si>
    <t>Primevo</t>
  </si>
  <si>
    <t>창조</t>
  </si>
  <si>
    <t>創造</t>
  </si>
  <si>
    <t>Victory</t>
  </si>
  <si>
    <t>しょうり</t>
  </si>
  <si>
    <t>Victoire</t>
  </si>
  <si>
    <t>Triumph</t>
  </si>
  <si>
    <t>Victoria</t>
  </si>
  <si>
    <t>Vittoria</t>
  </si>
  <si>
    <t>승리</t>
  </si>
  <si>
    <t>勝利</t>
  </si>
  <si>
    <t>Grass Snake</t>
  </si>
  <si>
    <t>くさへび</t>
  </si>
  <si>
    <t>Serpenterbe</t>
  </si>
  <si>
    <t>Grasschlange</t>
  </si>
  <si>
    <t>Serp. Hierba</t>
  </si>
  <si>
    <t>Serperba</t>
  </si>
  <si>
    <t>풀뱀</t>
  </si>
  <si>
    <t>草蛇</t>
  </si>
  <si>
    <t>Regal</t>
  </si>
  <si>
    <t>ロイヤル</t>
  </si>
  <si>
    <t>Majestueux</t>
  </si>
  <si>
    <t>Hoheit</t>
  </si>
  <si>
    <t>Realeza</t>
  </si>
  <si>
    <t>로열</t>
  </si>
  <si>
    <t>皇家</t>
  </si>
  <si>
    <t>Fire Pig</t>
  </si>
  <si>
    <t>ひぶた</t>
  </si>
  <si>
    <t>Cochon Feu</t>
  </si>
  <si>
    <t>Feuerferkel</t>
  </si>
  <si>
    <t>Cerdo Fuego</t>
  </si>
  <si>
    <t>Suinfuoco</t>
  </si>
  <si>
    <t>불돼지</t>
  </si>
  <si>
    <t>火豬</t>
  </si>
  <si>
    <t>Mega Fire Pig</t>
  </si>
  <si>
    <t>おおひぶた</t>
  </si>
  <si>
    <t>Grochon Feu</t>
  </si>
  <si>
    <t>Feuerschwein</t>
  </si>
  <si>
    <t>Cerdo Ígneo</t>
  </si>
  <si>
    <t>Suincendio</t>
  </si>
  <si>
    <t>큰불돼지</t>
  </si>
  <si>
    <t>大火豬</t>
  </si>
  <si>
    <t>Sea Otter</t>
  </si>
  <si>
    <t>ラッコ</t>
  </si>
  <si>
    <t>Loutre</t>
  </si>
  <si>
    <t>Otter</t>
  </si>
  <si>
    <t>Nutria</t>
  </si>
  <si>
    <t>Lontra</t>
  </si>
  <si>
    <t>해달</t>
  </si>
  <si>
    <t>海獺</t>
  </si>
  <si>
    <t>Discipline</t>
  </si>
  <si>
    <t>しゅぎょう</t>
  </si>
  <si>
    <t>Entraînement</t>
  </si>
  <si>
    <t>Schulung</t>
  </si>
  <si>
    <t>Superación</t>
  </si>
  <si>
    <t>Apprendista</t>
  </si>
  <si>
    <t>수행</t>
  </si>
  <si>
    <t>修行</t>
  </si>
  <si>
    <t>Formidable</t>
  </si>
  <si>
    <t>かんろく</t>
  </si>
  <si>
    <t>Dignitaire</t>
  </si>
  <si>
    <t>Würde</t>
  </si>
  <si>
    <t>Majestuoso</t>
  </si>
  <si>
    <t>Dignità</t>
  </si>
  <si>
    <t>관록</t>
  </si>
  <si>
    <t>威嚴</t>
  </si>
  <si>
    <t>Lookout</t>
  </si>
  <si>
    <t>けいかい</t>
  </si>
  <si>
    <t>Vigilant</t>
  </si>
  <si>
    <t>Wachsamkeit</t>
  </si>
  <si>
    <t>Alerta</t>
  </si>
  <si>
    <t>Sentinella</t>
  </si>
  <si>
    <t>경계</t>
  </si>
  <si>
    <t>警戒</t>
  </si>
  <si>
    <t>Loyal Dog</t>
  </si>
  <si>
    <t>ちゅうけん</t>
  </si>
  <si>
    <t>Chien Fidèle</t>
  </si>
  <si>
    <t>Treuhund</t>
  </si>
  <si>
    <t>Leal</t>
  </si>
  <si>
    <t>Fedeltà</t>
  </si>
  <si>
    <t>충견</t>
  </si>
  <si>
    <t>忠犬</t>
  </si>
  <si>
    <t>Big-Hearted</t>
  </si>
  <si>
    <t>かんだい</t>
  </si>
  <si>
    <t>Magnanime</t>
  </si>
  <si>
    <t>Großmut</t>
  </si>
  <si>
    <t>Magnánimo</t>
  </si>
  <si>
    <t>Generosità</t>
  </si>
  <si>
    <t>관대</t>
  </si>
  <si>
    <t>寬大</t>
  </si>
  <si>
    <t>Devious</t>
  </si>
  <si>
    <t>しょうわる</t>
  </si>
  <si>
    <t>Scélérat</t>
  </si>
  <si>
    <t>Schelm</t>
  </si>
  <si>
    <t>Malicioso</t>
  </si>
  <si>
    <t>Furbizia</t>
  </si>
  <si>
    <t>성악</t>
  </si>
  <si>
    <t>壞心眼</t>
  </si>
  <si>
    <t>Cruel</t>
  </si>
  <si>
    <t>れいこく</t>
  </si>
  <si>
    <t>Implacable</t>
  </si>
  <si>
    <t>Gefühlskälte</t>
  </si>
  <si>
    <t>Calculador</t>
  </si>
  <si>
    <t>Sanguefreddo</t>
  </si>
  <si>
    <t>냉혹</t>
  </si>
  <si>
    <t>冷酷</t>
  </si>
  <si>
    <t>Grass Monkey</t>
  </si>
  <si>
    <t>くさざる</t>
  </si>
  <si>
    <t>Singe Herbe</t>
  </si>
  <si>
    <t>Grasaffe</t>
  </si>
  <si>
    <t>Mono Hierba</t>
  </si>
  <si>
    <t>Scimperba</t>
  </si>
  <si>
    <t>풀원숭이</t>
  </si>
  <si>
    <t>草猴</t>
  </si>
  <si>
    <t>Thorn Monkey</t>
  </si>
  <si>
    <t>とげざる</t>
  </si>
  <si>
    <t>Singépine</t>
  </si>
  <si>
    <t>Stachelaffe</t>
  </si>
  <si>
    <t>Mono Pincho</t>
  </si>
  <si>
    <t>Spinpanzé</t>
  </si>
  <si>
    <t>가시원숭이</t>
  </si>
  <si>
    <t>刺猴</t>
  </si>
  <si>
    <t>High Temp</t>
  </si>
  <si>
    <t>こうおん</t>
  </si>
  <si>
    <t>Brûlant</t>
  </si>
  <si>
    <t>Hitze</t>
  </si>
  <si>
    <t>Ardiente</t>
  </si>
  <si>
    <t>Testacalda</t>
  </si>
  <si>
    <t>고온</t>
  </si>
  <si>
    <t>高溫</t>
  </si>
  <si>
    <t>Braise</t>
  </si>
  <si>
    <t>Spray</t>
  </si>
  <si>
    <t>みずかけ</t>
  </si>
  <si>
    <t>Jet d'Eau</t>
  </si>
  <si>
    <t>Wasserstrahl</t>
  </si>
  <si>
    <t>Salpicadura</t>
  </si>
  <si>
    <t>Annaffiatore</t>
  </si>
  <si>
    <t>물뿌리기</t>
  </si>
  <si>
    <t>潑水</t>
  </si>
  <si>
    <t>Geyser</t>
  </si>
  <si>
    <t>ほうすい</t>
  </si>
  <si>
    <t>Drainage</t>
  </si>
  <si>
    <t>Drenaje</t>
  </si>
  <si>
    <t>Spruzzacqua</t>
  </si>
  <si>
    <t>방수</t>
  </si>
  <si>
    <t>放水</t>
  </si>
  <si>
    <t>Mangerêve</t>
  </si>
  <si>
    <t>Drowsing</t>
  </si>
  <si>
    <t>ゆねうつつ</t>
  </si>
  <si>
    <t>Rêveur</t>
  </si>
  <si>
    <t>Halbschlaf</t>
  </si>
  <si>
    <t>Duermevela</t>
  </si>
  <si>
    <t>Dormiveglia</t>
  </si>
  <si>
    <t>꿈결</t>
  </si>
  <si>
    <t>半夢半醒</t>
  </si>
  <si>
    <t>Tiny Pigeon</t>
  </si>
  <si>
    <t>こばと</t>
  </si>
  <si>
    <t>Tipigeon</t>
  </si>
  <si>
    <t>Täubchen</t>
  </si>
  <si>
    <t>Pichón</t>
  </si>
  <si>
    <t>Piccione</t>
  </si>
  <si>
    <t>아기비둘기</t>
  </si>
  <si>
    <t>小鴿</t>
  </si>
  <si>
    <t>Wild Pigeon</t>
  </si>
  <si>
    <t>のばと</t>
  </si>
  <si>
    <t>Sauvapigeon</t>
  </si>
  <si>
    <t>Wildtaube</t>
  </si>
  <si>
    <t>Torcaz</t>
  </si>
  <si>
    <t>Granpiccione</t>
  </si>
  <si>
    <t>들비둘기</t>
  </si>
  <si>
    <t>野鴿</t>
  </si>
  <si>
    <t>Proud</t>
  </si>
  <si>
    <t>プライド</t>
  </si>
  <si>
    <t>Fier</t>
  </si>
  <si>
    <t>Stolz</t>
  </si>
  <si>
    <t>Altanero</t>
  </si>
  <si>
    <t>Orgoglio</t>
  </si>
  <si>
    <t>프라이드</t>
  </si>
  <si>
    <t>自尊心</t>
  </si>
  <si>
    <t>Electrified</t>
  </si>
  <si>
    <t>たいでん</t>
  </si>
  <si>
    <t>Étincélec</t>
  </si>
  <si>
    <t>Hochspannung</t>
  </si>
  <si>
    <t>Electrizado</t>
  </si>
  <si>
    <t>Caricavolt</t>
  </si>
  <si>
    <t>하전</t>
  </si>
  <si>
    <t>帶電</t>
  </si>
  <si>
    <t>Mantle</t>
  </si>
  <si>
    <t>マントル</t>
  </si>
  <si>
    <t>Manteau</t>
  </si>
  <si>
    <t>Erdmantel</t>
  </si>
  <si>
    <t>Manto</t>
  </si>
  <si>
    <t>Placca</t>
  </si>
  <si>
    <t>맨틀</t>
  </si>
  <si>
    <t>地幔</t>
  </si>
  <si>
    <t>Ore</t>
  </si>
  <si>
    <t>こうせき</t>
  </si>
  <si>
    <t>Minerai</t>
  </si>
  <si>
    <t>Erz</t>
  </si>
  <si>
    <t>Mineral</t>
  </si>
  <si>
    <t>광석</t>
  </si>
  <si>
    <t>礦石</t>
  </si>
  <si>
    <t>Compressed</t>
  </si>
  <si>
    <t>こうあつ</t>
  </si>
  <si>
    <t>Surpression</t>
  </si>
  <si>
    <t>Kompression</t>
  </si>
  <si>
    <t>Presurizado</t>
  </si>
  <si>
    <t>Pressionalta</t>
  </si>
  <si>
    <t>고압</t>
  </si>
  <si>
    <t>高壓</t>
  </si>
  <si>
    <t>Courting</t>
  </si>
  <si>
    <t>きゅうあい</t>
  </si>
  <si>
    <t>Cupidon</t>
  </si>
  <si>
    <t>Balz</t>
  </si>
  <si>
    <t>Galante</t>
  </si>
  <si>
    <t>Cercamore</t>
  </si>
  <si>
    <t>구애</t>
  </si>
  <si>
    <t>求愛</t>
  </si>
  <si>
    <t>Subterrene</t>
  </si>
  <si>
    <t>ちてい</t>
  </si>
  <si>
    <t>Souterrain</t>
  </si>
  <si>
    <t>Untergrund</t>
  </si>
  <si>
    <t>Subterráneo</t>
  </si>
  <si>
    <t>Sottoterra</t>
  </si>
  <si>
    <t>땅밑</t>
  </si>
  <si>
    <t>地底</t>
  </si>
  <si>
    <t>Hearing</t>
  </si>
  <si>
    <t>ヒヤリング</t>
  </si>
  <si>
    <t>Audition</t>
  </si>
  <si>
    <t>Gehör</t>
  </si>
  <si>
    <t>Esucha</t>
  </si>
  <si>
    <t>Ascolto</t>
  </si>
  <si>
    <t>히어링</t>
  </si>
  <si>
    <t>聽力</t>
  </si>
  <si>
    <t>Muscular</t>
  </si>
  <si>
    <t>きんこつ</t>
  </si>
  <si>
    <t>Costaud</t>
  </si>
  <si>
    <t>Muskel</t>
  </si>
  <si>
    <t>Musculoso</t>
  </si>
  <si>
    <t>Forzaimmane</t>
  </si>
  <si>
    <t>근골</t>
  </si>
  <si>
    <t>筋骨</t>
  </si>
  <si>
    <t>Judo</t>
  </si>
  <si>
    <t>じゅうどう</t>
  </si>
  <si>
    <t>유도</t>
  </si>
  <si>
    <t>柔道</t>
  </si>
  <si>
    <t>Karate</t>
  </si>
  <si>
    <t>からて</t>
  </si>
  <si>
    <t>Karaté</t>
  </si>
  <si>
    <t>Kárate</t>
  </si>
  <si>
    <t>태권도</t>
  </si>
  <si>
    <t>空手道</t>
  </si>
  <si>
    <t>Sewing</t>
  </si>
  <si>
    <t>さいほう</t>
  </si>
  <si>
    <t>Couture</t>
  </si>
  <si>
    <t>Schneider</t>
  </si>
  <si>
    <t>Sastre</t>
  </si>
  <si>
    <t>Grancucito</t>
  </si>
  <si>
    <t>재봉</t>
  </si>
  <si>
    <t>裁縫</t>
  </si>
  <si>
    <t>Leaf-Wrapped</t>
  </si>
  <si>
    <t>はごもり</t>
  </si>
  <si>
    <t>Capefeuille</t>
  </si>
  <si>
    <t>Wickelblatt</t>
  </si>
  <si>
    <t>Arropado</t>
  </si>
  <si>
    <t>Coprifoglia</t>
  </si>
  <si>
    <t>잎숨기</t>
  </si>
  <si>
    <t>足不出葉</t>
  </si>
  <si>
    <t>Nurturing</t>
  </si>
  <si>
    <t>こそだて</t>
  </si>
  <si>
    <t>Précepteur</t>
  </si>
  <si>
    <t>Kinderpflege</t>
  </si>
  <si>
    <t>Cuidador</t>
  </si>
  <si>
    <t>Balia</t>
  </si>
  <si>
    <t>육아</t>
  </si>
  <si>
    <t>育兒</t>
  </si>
  <si>
    <t>Centipede</t>
  </si>
  <si>
    <t>ムカデ</t>
  </si>
  <si>
    <t>Chilopode</t>
  </si>
  <si>
    <t>Tausendfüßer</t>
  </si>
  <si>
    <t>Ciempiés</t>
  </si>
  <si>
    <t>지네</t>
  </si>
  <si>
    <t>蜈蚣</t>
  </si>
  <si>
    <t>Curlipede</t>
  </si>
  <si>
    <t>まゆムカデ</t>
  </si>
  <si>
    <t>Coconplopode</t>
  </si>
  <si>
    <t>Kokonfüßer</t>
  </si>
  <si>
    <t>Pupaciempiés</t>
  </si>
  <si>
    <t>Rotopede</t>
  </si>
  <si>
    <t>눈썹지네</t>
  </si>
  <si>
    <t>繭蜈蚣</t>
  </si>
  <si>
    <t>Megapede</t>
  </si>
  <si>
    <t>メガムカデ</t>
  </si>
  <si>
    <t>Mégaplopode</t>
  </si>
  <si>
    <t>Riesenfüßer</t>
  </si>
  <si>
    <t>Megaciempiés</t>
  </si>
  <si>
    <t>메가지네</t>
  </si>
  <si>
    <t>巨蜈蚣</t>
  </si>
  <si>
    <t>Cotton Puff</t>
  </si>
  <si>
    <t>わたたま</t>
  </si>
  <si>
    <t>Boule Couton</t>
  </si>
  <si>
    <t>Wattebausch</t>
  </si>
  <si>
    <t>Bolalgodón</t>
  </si>
  <si>
    <t>Cotonpalla</t>
  </si>
  <si>
    <t>솜뭉치</t>
  </si>
  <si>
    <t>棉球</t>
  </si>
  <si>
    <t>Windveiled</t>
  </si>
  <si>
    <t>かぜかくれ</t>
  </si>
  <si>
    <t>Vole Vent</t>
  </si>
  <si>
    <t>Windschatten</t>
  </si>
  <si>
    <t>Vuelalviento</t>
  </si>
  <si>
    <t>Spiffero</t>
  </si>
  <si>
    <t>바람숨기</t>
  </si>
  <si>
    <t>風隱</t>
  </si>
  <si>
    <t>Bulb</t>
  </si>
  <si>
    <t>ねっこ</t>
  </si>
  <si>
    <t>Wurzel</t>
  </si>
  <si>
    <t>Bulbo</t>
  </si>
  <si>
    <t>Radice</t>
  </si>
  <si>
    <t>뿌리</t>
  </si>
  <si>
    <t>根莖</t>
  </si>
  <si>
    <t>Flowering</t>
  </si>
  <si>
    <t>はなかざり</t>
  </si>
  <si>
    <t>Chef-Fleur</t>
  </si>
  <si>
    <t>Blumenzier</t>
  </si>
  <si>
    <t>Adornofloral</t>
  </si>
  <si>
    <t>Fiorfronzolo</t>
  </si>
  <si>
    <t>꽃장식</t>
  </si>
  <si>
    <t>花飾</t>
  </si>
  <si>
    <t>Spinning</t>
  </si>
  <si>
    <t>スピン</t>
  </si>
  <si>
    <t>Pirouette</t>
  </si>
  <si>
    <t>Pirouetten</t>
  </si>
  <si>
    <t>Pirueta</t>
  </si>
  <si>
    <t>Girevole</t>
  </si>
  <si>
    <t>스핀</t>
  </si>
  <si>
    <t>旋转</t>
  </si>
  <si>
    <t>Hostile</t>
  </si>
  <si>
    <t>らんぼう</t>
  </si>
  <si>
    <t>Violent</t>
  </si>
  <si>
    <t>Grobheit</t>
  </si>
  <si>
    <t>Irruenza</t>
  </si>
  <si>
    <t>흉포</t>
  </si>
  <si>
    <t>粗暴</t>
  </si>
  <si>
    <t>CATEGORY_BASCULIN-W</t>
  </si>
  <si>
    <t>Mellow</t>
  </si>
  <si>
    <t>おんこう</t>
  </si>
  <si>
    <t>Pacifique</t>
  </si>
  <si>
    <t>Sanftheits</t>
  </si>
  <si>
    <t>Manso</t>
  </si>
  <si>
    <t>Docilità</t>
  </si>
  <si>
    <t>온후</t>
  </si>
  <si>
    <t>温厚</t>
  </si>
  <si>
    <t>Desert Croc</t>
  </si>
  <si>
    <t>さばくワニ</t>
  </si>
  <si>
    <t>Croco Sable</t>
  </si>
  <si>
    <t>Wüstenkroko</t>
  </si>
  <si>
    <t>Desierdrilo</t>
  </si>
  <si>
    <t>Sabbiadrillo</t>
  </si>
  <si>
    <t>사막악어</t>
  </si>
  <si>
    <t>沙漠鱷魚</t>
  </si>
  <si>
    <t>Abschreckung</t>
  </si>
  <si>
    <t>Amenazador</t>
  </si>
  <si>
    <t>Minaccia</t>
  </si>
  <si>
    <t>Zen Charm</t>
  </si>
  <si>
    <t>だるま</t>
  </si>
  <si>
    <t>Daruma</t>
  </si>
  <si>
    <t>Lampion</t>
  </si>
  <si>
    <t>달마</t>
  </si>
  <si>
    <t>不倒翁</t>
  </si>
  <si>
    <t>Blazing</t>
  </si>
  <si>
    <t>えんじょう</t>
  </si>
  <si>
    <t>Enflammé</t>
  </si>
  <si>
    <t>Lichterloh</t>
  </si>
  <si>
    <t>Candente</t>
  </si>
  <si>
    <t>Altefiamme</t>
  </si>
  <si>
    <t>염상</t>
  </si>
  <si>
    <t>爆燃</t>
  </si>
  <si>
    <t>Rock Inn</t>
  </si>
  <si>
    <t>いしやど</t>
  </si>
  <si>
    <t>Lithicole</t>
  </si>
  <si>
    <t>Steinhaus</t>
  </si>
  <si>
    <t>Casapiedra</t>
  </si>
  <si>
    <t>Pietracasa</t>
  </si>
  <si>
    <t>돌집</t>
  </si>
  <si>
    <t>石居</t>
  </si>
  <si>
    <t>Stone Home</t>
  </si>
  <si>
    <t>いわやど</t>
  </si>
  <si>
    <t>Lapidicole</t>
  </si>
  <si>
    <t>Felshaus</t>
  </si>
  <si>
    <t>Casarroca</t>
  </si>
  <si>
    <t>Scogliocasa</t>
  </si>
  <si>
    <t>바위집</t>
  </si>
  <si>
    <t>岩居</t>
  </si>
  <si>
    <t>Shedding</t>
  </si>
  <si>
    <t>だっぴ</t>
  </si>
  <si>
    <t>Mue</t>
  </si>
  <si>
    <t>Hautwechsel</t>
  </si>
  <si>
    <t>Mudapiel</t>
  </si>
  <si>
    <t>Mutapelle</t>
  </si>
  <si>
    <t>탈피</t>
  </si>
  <si>
    <t>蛻皮</t>
  </si>
  <si>
    <t>Hoodlum</t>
  </si>
  <si>
    <t>あくとう</t>
  </si>
  <si>
    <t>Gang</t>
  </si>
  <si>
    <t>Halunke</t>
  </si>
  <si>
    <t>Gamberro</t>
  </si>
  <si>
    <t>Furfante</t>
  </si>
  <si>
    <t>악당</t>
  </si>
  <si>
    <t>惡黨</t>
  </si>
  <si>
    <t>Avianoid</t>
  </si>
  <si>
    <t>とりもどき</t>
  </si>
  <si>
    <t>Similoiseau</t>
  </si>
  <si>
    <t>Vogelgleich</t>
  </si>
  <si>
    <t>Pseudopájaro</t>
  </si>
  <si>
    <t>Pseuduccello</t>
  </si>
  <si>
    <t>흡사새</t>
  </si>
  <si>
    <t>似鳥</t>
  </si>
  <si>
    <t>Spirit</t>
  </si>
  <si>
    <t>たましい</t>
  </si>
  <si>
    <t>Âme</t>
  </si>
  <si>
    <t>Seele</t>
  </si>
  <si>
    <t>Espíritu</t>
  </si>
  <si>
    <t>Fautuanima</t>
  </si>
  <si>
    <t>영혼</t>
  </si>
  <si>
    <t>魂</t>
  </si>
  <si>
    <t>Coffin</t>
  </si>
  <si>
    <t>かんおけ</t>
  </si>
  <si>
    <t>Cercueil</t>
  </si>
  <si>
    <t>Sarkophag</t>
  </si>
  <si>
    <t>Sepultura</t>
  </si>
  <si>
    <t>Bara</t>
  </si>
  <si>
    <t>관</t>
  </si>
  <si>
    <t>棺木</t>
  </si>
  <si>
    <t>Prototurtle</t>
  </si>
  <si>
    <t>こだいがめ</t>
  </si>
  <si>
    <t>Tortantique</t>
  </si>
  <si>
    <t>Urzeitkröte</t>
  </si>
  <si>
    <t>Pretortuga</t>
  </si>
  <si>
    <t>Ancestruga</t>
  </si>
  <si>
    <t>옛날거북</t>
  </si>
  <si>
    <t>古代龜</t>
  </si>
  <si>
    <t>First Bird</t>
  </si>
  <si>
    <t>さいこどり</t>
  </si>
  <si>
    <t>Oisancien</t>
  </si>
  <si>
    <t>Urzeitvogel</t>
  </si>
  <si>
    <t>Protopájaro</t>
  </si>
  <si>
    <t>Paleouccello</t>
  </si>
  <si>
    <t>최초새</t>
  </si>
  <si>
    <t>遠古鳥</t>
  </si>
  <si>
    <t>Trash Bag</t>
  </si>
  <si>
    <t>ゴミぶくろ</t>
  </si>
  <si>
    <t>Sac Poubelle</t>
  </si>
  <si>
    <t>Mülltüte</t>
  </si>
  <si>
    <t>Bolsabasura</t>
  </si>
  <si>
    <t>Spazzatura</t>
  </si>
  <si>
    <t>쓰레기봉투</t>
  </si>
  <si>
    <t>垃圾袋</t>
  </si>
  <si>
    <t>Trash Heap</t>
  </si>
  <si>
    <t>ゴミすてば</t>
  </si>
  <si>
    <t>Dépotoir</t>
  </si>
  <si>
    <t>Müllhalde</t>
  </si>
  <si>
    <t>Vertedero</t>
  </si>
  <si>
    <t>Discaria</t>
  </si>
  <si>
    <t>쓰레기장</t>
  </si>
  <si>
    <t>垃圾場</t>
  </si>
  <si>
    <t>Tricky Fox</t>
  </si>
  <si>
    <t>わるぎつね</t>
  </si>
  <si>
    <t>Sombrenard</t>
  </si>
  <si>
    <t>Lausefuchs</t>
  </si>
  <si>
    <t>Zorropillo</t>
  </si>
  <si>
    <t>Malavolpe</t>
  </si>
  <si>
    <t>나쁜여우</t>
  </si>
  <si>
    <t>惡狐</t>
  </si>
  <si>
    <t>Spiteful Fox</t>
  </si>
  <si>
    <t>うらみぎつね</t>
  </si>
  <si>
    <t>Rancœurenard</t>
  </si>
  <si>
    <t>Grollfuchs</t>
  </si>
  <si>
    <t>Disfrazorro</t>
  </si>
  <si>
    <t>Rancorvolpe</t>
  </si>
  <si>
    <t>원한여우</t>
  </si>
  <si>
    <t>怨狐</t>
  </si>
  <si>
    <t>Illusion Fox</t>
  </si>
  <si>
    <t>ばけぎつね</t>
  </si>
  <si>
    <t>Polymofox</t>
  </si>
  <si>
    <t>Polymorfuchs</t>
  </si>
  <si>
    <t>Mutevolpe</t>
  </si>
  <si>
    <t>요괴여우</t>
  </si>
  <si>
    <t>妖狐</t>
  </si>
  <si>
    <t>Baneful Fox</t>
  </si>
  <si>
    <t>のろいぎつね</t>
  </si>
  <si>
    <t>Maudirenard</t>
  </si>
  <si>
    <t>Fluchfuchs</t>
  </si>
  <si>
    <t>Maldizorro</t>
  </si>
  <si>
    <t>Maledivolpe</t>
  </si>
  <si>
    <t>저주여우</t>
  </si>
  <si>
    <t>咒狐</t>
  </si>
  <si>
    <t>Chinchilla</t>
  </si>
  <si>
    <t>チンチラ</t>
  </si>
  <si>
    <t>Cincillà</t>
  </si>
  <si>
    <t>친칠라</t>
  </si>
  <si>
    <t>栗鼠</t>
  </si>
  <si>
    <t>Scarf</t>
  </si>
  <si>
    <t>スカーフ</t>
  </si>
  <si>
    <t>Écharpe</t>
  </si>
  <si>
    <t>Schal</t>
  </si>
  <si>
    <t>Estola</t>
  </si>
  <si>
    <t>Sciarpa</t>
  </si>
  <si>
    <t>스카프</t>
  </si>
  <si>
    <t>圍巾</t>
  </si>
  <si>
    <t>Fixation</t>
  </si>
  <si>
    <t>ぎょうし</t>
  </si>
  <si>
    <t>Dévisageur</t>
  </si>
  <si>
    <t>Glotz</t>
  </si>
  <si>
    <t>Inquisitivo</t>
  </si>
  <si>
    <t>Fissosguardo</t>
  </si>
  <si>
    <t>응시</t>
  </si>
  <si>
    <t>凝視</t>
  </si>
  <si>
    <t>Astral Body</t>
  </si>
  <si>
    <t>てんたい</t>
  </si>
  <si>
    <t>Cosmique</t>
  </si>
  <si>
    <t>Gestirn</t>
  </si>
  <si>
    <t>Astro</t>
  </si>
  <si>
    <t>Corpoceleste</t>
  </si>
  <si>
    <t>천체</t>
  </si>
  <si>
    <t>天體</t>
  </si>
  <si>
    <t>Cell</t>
  </si>
  <si>
    <t>さいぼう</t>
  </si>
  <si>
    <t>Cellule</t>
  </si>
  <si>
    <t>Zelle</t>
  </si>
  <si>
    <t>Célula</t>
  </si>
  <si>
    <t>세포</t>
  </si>
  <si>
    <t>細胞</t>
  </si>
  <si>
    <t>Mitosis</t>
  </si>
  <si>
    <t>ばんかつ</t>
  </si>
  <si>
    <t>Divisé</t>
  </si>
  <si>
    <t>Zellteilung</t>
  </si>
  <si>
    <t>Scissione</t>
  </si>
  <si>
    <t>분할</t>
  </si>
  <si>
    <t>分割</t>
  </si>
  <si>
    <t>Multiplying</t>
  </si>
  <si>
    <t>ぞうふく</t>
  </si>
  <si>
    <t>Multiplié</t>
  </si>
  <si>
    <t>Vermehrung</t>
  </si>
  <si>
    <t>Ampliación</t>
  </si>
  <si>
    <t>Espansione</t>
  </si>
  <si>
    <t>증폭</t>
  </si>
  <si>
    <t>增幅</t>
  </si>
  <si>
    <t>White Bird</t>
  </si>
  <si>
    <t>しらとり</t>
  </si>
  <si>
    <t>Cygne</t>
  </si>
  <si>
    <t>Schwan</t>
  </si>
  <si>
    <t>Cisne</t>
  </si>
  <si>
    <t>Biancuccello</t>
  </si>
  <si>
    <t>백조</t>
  </si>
  <si>
    <t>白鳥</t>
  </si>
  <si>
    <t>Icy Snow</t>
  </si>
  <si>
    <t>ひょうせつ</t>
  </si>
  <si>
    <t>Grêle</t>
  </si>
  <si>
    <t>Firn</t>
  </si>
  <si>
    <t>Nieve Helada</t>
  </si>
  <si>
    <t>Geloneve</t>
  </si>
  <si>
    <t>빙설</t>
  </si>
  <si>
    <t>冰雪</t>
  </si>
  <si>
    <t>Snowstorm</t>
  </si>
  <si>
    <t>ブリザード</t>
  </si>
  <si>
    <t>Congère</t>
  </si>
  <si>
    <t>Schneesturm</t>
  </si>
  <si>
    <t>Nieve Gélida</t>
  </si>
  <si>
    <t>Bufera</t>
  </si>
  <si>
    <t>블리자드</t>
  </si>
  <si>
    <t>Season</t>
  </si>
  <si>
    <t>きせつ</t>
  </si>
  <si>
    <t>Saison</t>
  </si>
  <si>
    <t>Jahreszeit</t>
  </si>
  <si>
    <t>Estacional</t>
  </si>
  <si>
    <t>Stagione</t>
  </si>
  <si>
    <t>계절</t>
  </si>
  <si>
    <t>季節</t>
  </si>
  <si>
    <t>Sky Squirrel</t>
  </si>
  <si>
    <t>モモンガ</t>
  </si>
  <si>
    <t>Pteromys</t>
  </si>
  <si>
    <t>Flughörnchen</t>
  </si>
  <si>
    <t>Vuelardilla</t>
  </si>
  <si>
    <t>Petauro</t>
  </si>
  <si>
    <t>하늘다람쥐</t>
  </si>
  <si>
    <t>飛鼠</t>
  </si>
  <si>
    <t>Clamping</t>
  </si>
  <si>
    <t>かぶりつき</t>
  </si>
  <si>
    <t>Carabe</t>
  </si>
  <si>
    <t>Schnappbiss</t>
  </si>
  <si>
    <t>Bocado</t>
  </si>
  <si>
    <t>Addentatore</t>
  </si>
  <si>
    <t>덥석물기</t>
  </si>
  <si>
    <t>啃咬</t>
  </si>
  <si>
    <t>Cavalry</t>
  </si>
  <si>
    <t>きへい</t>
  </si>
  <si>
    <t>Chevalier</t>
  </si>
  <si>
    <t>Kavallerie</t>
  </si>
  <si>
    <t>Soldado</t>
  </si>
  <si>
    <t>Cavaliere</t>
  </si>
  <si>
    <t>기병</t>
  </si>
  <si>
    <t>騎兵</t>
  </si>
  <si>
    <t>Floating</t>
  </si>
  <si>
    <t>ふゆう</t>
  </si>
  <si>
    <t>Flottaison</t>
  </si>
  <si>
    <t>Gleit</t>
  </si>
  <si>
    <t>Ingrávido</t>
  </si>
  <si>
    <t>Fluttuante</t>
  </si>
  <si>
    <t>부유</t>
  </si>
  <si>
    <t>漂浮</t>
  </si>
  <si>
    <t>Caring</t>
  </si>
  <si>
    <t>かいほう</t>
  </si>
  <si>
    <t>Soigneur</t>
  </si>
  <si>
    <t>Fürsorge</t>
  </si>
  <si>
    <t>Socorrista</t>
  </si>
  <si>
    <t>Assistenza</t>
  </si>
  <si>
    <t>돌보기</t>
  </si>
  <si>
    <t>看護</t>
  </si>
  <si>
    <t>Attaching</t>
  </si>
  <si>
    <t>くっつき</t>
  </si>
  <si>
    <t>Crampon</t>
  </si>
  <si>
    <t>Kleben</t>
  </si>
  <si>
    <t>Lapa</t>
  </si>
  <si>
    <t>Appiccicante</t>
  </si>
  <si>
    <t>들러붙기</t>
  </si>
  <si>
    <t>吸附</t>
  </si>
  <si>
    <t>EleSpider</t>
  </si>
  <si>
    <t>でんきグモ</t>
  </si>
  <si>
    <t>Araclectrik</t>
  </si>
  <si>
    <t>Stromspinne</t>
  </si>
  <si>
    <t>Electroaraña</t>
  </si>
  <si>
    <t>Elettroragno</t>
  </si>
  <si>
    <t>전기거미</t>
  </si>
  <si>
    <t>Thorn Seed</t>
  </si>
  <si>
    <t>とげのみ</t>
  </si>
  <si>
    <t>Graine Épine</t>
  </si>
  <si>
    <t>Dornfrucht</t>
  </si>
  <si>
    <t>Fruto Espina</t>
  </si>
  <si>
    <t>Spinaseme</t>
  </si>
  <si>
    <t>가시열매</t>
  </si>
  <si>
    <t>刺果</t>
  </si>
  <si>
    <t>Thorn Pod</t>
  </si>
  <si>
    <t>とげだま</t>
  </si>
  <si>
    <t>Boule Épine</t>
  </si>
  <si>
    <t>Dornkugel</t>
  </si>
  <si>
    <t>Bola Espina</t>
  </si>
  <si>
    <t>Spinasfere</t>
  </si>
  <si>
    <t>가시공</t>
  </si>
  <si>
    <t>刺球</t>
  </si>
  <si>
    <t>Gear</t>
  </si>
  <si>
    <t>はぐるま</t>
  </si>
  <si>
    <t>Engrenage</t>
  </si>
  <si>
    <t>Getriebe</t>
  </si>
  <si>
    <t>Engranaje</t>
  </si>
  <si>
    <t>Ingranaggio</t>
  </si>
  <si>
    <t>톱니바퀴</t>
  </si>
  <si>
    <t>齒輪</t>
  </si>
  <si>
    <t>EleFish</t>
  </si>
  <si>
    <t>でんきうお</t>
  </si>
  <si>
    <t>Électrophore</t>
  </si>
  <si>
    <t>Stromfisch</t>
  </si>
  <si>
    <t>Electropez</t>
  </si>
  <si>
    <t>Elettropesce</t>
  </si>
  <si>
    <t>전기물고기</t>
  </si>
  <si>
    <t>電魚</t>
  </si>
  <si>
    <t>Cerebral</t>
  </si>
  <si>
    <t>ブレイン</t>
  </si>
  <si>
    <t>Cerveau</t>
  </si>
  <si>
    <t>Grips</t>
  </si>
  <si>
    <t>Cerebro</t>
  </si>
  <si>
    <t>Cervello</t>
  </si>
  <si>
    <t>브레인</t>
  </si>
  <si>
    <t>腦</t>
  </si>
  <si>
    <t>Candle</t>
  </si>
  <si>
    <t>ろうそく</t>
  </si>
  <si>
    <t>Chandelle</t>
  </si>
  <si>
    <t>Kerze</t>
  </si>
  <si>
    <t>Vela</t>
  </si>
  <si>
    <t>Candela</t>
  </si>
  <si>
    <t>양초</t>
  </si>
  <si>
    <t>蠟燭</t>
  </si>
  <si>
    <t>Lamp</t>
  </si>
  <si>
    <t>ランプ</t>
  </si>
  <si>
    <t>Lampe</t>
  </si>
  <si>
    <t>Farolillo</t>
  </si>
  <si>
    <t>Lanterna</t>
  </si>
  <si>
    <t>램프</t>
  </si>
  <si>
    <t>油燈</t>
  </si>
  <si>
    <t>Luring</t>
  </si>
  <si>
    <t>いざない</t>
  </si>
  <si>
    <t>Invitation</t>
  </si>
  <si>
    <t>Geleit</t>
  </si>
  <si>
    <t>Señuelo</t>
  </si>
  <si>
    <t>Attiranime</t>
  </si>
  <si>
    <t>권유</t>
  </si>
  <si>
    <t>引誘</t>
  </si>
  <si>
    <t>Tusk</t>
  </si>
  <si>
    <t>キバ</t>
  </si>
  <si>
    <t>Crocs</t>
  </si>
  <si>
    <t>Stoßzahn</t>
  </si>
  <si>
    <t>Colmillo</t>
  </si>
  <si>
    <t>Zanna</t>
  </si>
  <si>
    <t>이빨</t>
  </si>
  <si>
    <t>牙</t>
  </si>
  <si>
    <t>Axe Jaw</t>
  </si>
  <si>
    <t>あごオノ</t>
  </si>
  <si>
    <t>Hachomenton</t>
  </si>
  <si>
    <t>Beilkiefer</t>
  </si>
  <si>
    <t>Boca Hacha</t>
  </si>
  <si>
    <t>Mascellascia</t>
  </si>
  <si>
    <t>도끼턱</t>
  </si>
  <si>
    <t>顎斧</t>
  </si>
  <si>
    <t>Chill</t>
  </si>
  <si>
    <t>ひょうけつ</t>
  </si>
  <si>
    <t>Gelé</t>
  </si>
  <si>
    <t>Eisscholle</t>
  </si>
  <si>
    <t>Congelación</t>
  </si>
  <si>
    <t>Freddo</t>
  </si>
  <si>
    <t>빙결</t>
  </si>
  <si>
    <t>結冰</t>
  </si>
  <si>
    <t>Freezing</t>
  </si>
  <si>
    <t>とうけつ</t>
  </si>
  <si>
    <t>Congelé</t>
  </si>
  <si>
    <t>Packeis</t>
  </si>
  <si>
    <t>Glaciación</t>
  </si>
  <si>
    <t>Glaciale</t>
  </si>
  <si>
    <t>동결</t>
  </si>
  <si>
    <t>凍結</t>
  </si>
  <si>
    <t>Crystallizing</t>
  </si>
  <si>
    <t>けっしょう</t>
  </si>
  <si>
    <t>Cristal</t>
  </si>
  <si>
    <t>Kristall</t>
  </si>
  <si>
    <t>Cristallo</t>
  </si>
  <si>
    <t>결정</t>
  </si>
  <si>
    <t>結晶</t>
  </si>
  <si>
    <t>Snail</t>
  </si>
  <si>
    <t>マイマイ</t>
  </si>
  <si>
    <t>Escargot</t>
  </si>
  <si>
    <t>Schnecke</t>
  </si>
  <si>
    <t>Caracol</t>
  </si>
  <si>
    <t>Lumachina</t>
  </si>
  <si>
    <t>달팽이</t>
  </si>
  <si>
    <t>蝸牛</t>
  </si>
  <si>
    <t>Shell Out</t>
  </si>
  <si>
    <t>からぬけ</t>
  </si>
  <si>
    <t>Exuviateur</t>
  </si>
  <si>
    <t>Entschalung</t>
  </si>
  <si>
    <t>Sincaparazón</t>
  </si>
  <si>
    <t>Sgusciato</t>
  </si>
  <si>
    <t>탈껍질</t>
  </si>
  <si>
    <t>脫殼</t>
  </si>
  <si>
    <t>Trap</t>
  </si>
  <si>
    <t>トラップ</t>
  </si>
  <si>
    <t>Piège</t>
  </si>
  <si>
    <t>Falle</t>
  </si>
  <si>
    <t>Trampa</t>
  </si>
  <si>
    <t>트랩</t>
  </si>
  <si>
    <t>陷阱</t>
  </si>
  <si>
    <t>Martial Arts</t>
  </si>
  <si>
    <t>ぶじゅつ</t>
  </si>
  <si>
    <t>Art Martial</t>
  </si>
  <si>
    <t>Kampfkünste</t>
  </si>
  <si>
    <t>Arte Marcial</t>
  </si>
  <si>
    <t>Marziale</t>
  </si>
  <si>
    <t>무술</t>
  </si>
  <si>
    <t>武術</t>
  </si>
  <si>
    <t>Automation</t>
  </si>
  <si>
    <t>ゴーレム</t>
  </si>
  <si>
    <t>Golem Ancien</t>
  </si>
  <si>
    <t>Urgolem</t>
  </si>
  <si>
    <t>Autómata</t>
  </si>
  <si>
    <t>Statuanimata</t>
  </si>
  <si>
    <t>골렘</t>
  </si>
  <si>
    <t>魔像</t>
  </si>
  <si>
    <t>Sharp Blade</t>
  </si>
  <si>
    <t>はもの</t>
  </si>
  <si>
    <t>Coupant</t>
  </si>
  <si>
    <t>Stahlklinge</t>
  </si>
  <si>
    <t>Tajo</t>
  </si>
  <si>
    <t>Lamaffilata</t>
  </si>
  <si>
    <t>날붙이</t>
  </si>
  <si>
    <t>利器</t>
  </si>
  <si>
    <t>Sword Blade</t>
  </si>
  <si>
    <t>とうじん</t>
  </si>
  <si>
    <t>Tranchant</t>
  </si>
  <si>
    <t>Schwertklinge</t>
  </si>
  <si>
    <t>Filo</t>
  </si>
  <si>
    <t>Fildilama</t>
  </si>
  <si>
    <t>도인</t>
  </si>
  <si>
    <t>刀刃</t>
  </si>
  <si>
    <t>Bash Buffalo</t>
  </si>
  <si>
    <t>ずつきうし</t>
  </si>
  <si>
    <t>Coup d'Bœuf</t>
  </si>
  <si>
    <t>Kopfstoßrind</t>
  </si>
  <si>
    <t>Torocabezazo</t>
  </si>
  <si>
    <t>Sfondatoro</t>
  </si>
  <si>
    <t>박치기소</t>
  </si>
  <si>
    <t>頭錘牛</t>
  </si>
  <si>
    <t>Eaglet</t>
  </si>
  <si>
    <t>ヒナわし</t>
  </si>
  <si>
    <t>Aiglon</t>
  </si>
  <si>
    <t>Adlerküken</t>
  </si>
  <si>
    <t>Aguilucho</t>
  </si>
  <si>
    <t>Aquilotto</t>
  </si>
  <si>
    <t>새끼독수리</t>
  </si>
  <si>
    <t>雛鷹</t>
  </si>
  <si>
    <t>Valiant</t>
  </si>
  <si>
    <t>ゆうもう</t>
  </si>
  <si>
    <t>Vaillant</t>
  </si>
  <si>
    <t>Kühnheit</t>
  </si>
  <si>
    <t>Aguerrido</t>
  </si>
  <si>
    <t>Baldanza</t>
  </si>
  <si>
    <t>용맹</t>
  </si>
  <si>
    <t>勇猛</t>
  </si>
  <si>
    <t>Battle Cry</t>
  </si>
  <si>
    <t>おたけび</t>
  </si>
  <si>
    <t>Cri Guerrier</t>
  </si>
  <si>
    <t>Kampfschrei</t>
  </si>
  <si>
    <t>Grito Guerra</t>
  </si>
  <si>
    <t>Baldogrido</t>
  </si>
  <si>
    <t>부르짖기</t>
  </si>
  <si>
    <t>战吼</t>
  </si>
  <si>
    <t>Diapered</t>
  </si>
  <si>
    <t>おむつ</t>
  </si>
  <si>
    <t>Couche</t>
  </si>
  <si>
    <t>Windel</t>
  </si>
  <si>
    <t>Pañal</t>
  </si>
  <si>
    <t>Pannolino</t>
  </si>
  <si>
    <t>기저귀</t>
  </si>
  <si>
    <t>尿布</t>
  </si>
  <si>
    <t>Bone Vulture</t>
  </si>
  <si>
    <t>ほねわし</t>
  </si>
  <si>
    <t>Vostour</t>
  </si>
  <si>
    <t>Knochenadler</t>
  </si>
  <si>
    <t>Aguilahueso</t>
  </si>
  <si>
    <t>Ossaquila</t>
  </si>
  <si>
    <t>뼈독수리</t>
  </si>
  <si>
    <t>骨鷹</t>
  </si>
  <si>
    <t>Anteater</t>
  </si>
  <si>
    <t>アリクイ</t>
  </si>
  <si>
    <t>Tamanoir</t>
  </si>
  <si>
    <t>Ameisenbär</t>
  </si>
  <si>
    <t>Hormiguero</t>
  </si>
  <si>
    <t>Formichiere</t>
  </si>
  <si>
    <t>개미핥기</t>
  </si>
  <si>
    <t>食蟻獸</t>
  </si>
  <si>
    <t>Iron Ant</t>
  </si>
  <si>
    <t>てつアリ</t>
  </si>
  <si>
    <t>Fourmi Dure</t>
  </si>
  <si>
    <t>Eisenameise</t>
  </si>
  <si>
    <t>Hormigacero</t>
  </si>
  <si>
    <t>Ferformica</t>
  </si>
  <si>
    <t>철개미</t>
  </si>
  <si>
    <t>Irate</t>
  </si>
  <si>
    <t>そぼう</t>
  </si>
  <si>
    <t>Rude</t>
  </si>
  <si>
    <t>Haudrauf</t>
  </si>
  <si>
    <t>Tosco</t>
  </si>
  <si>
    <t>Impeto</t>
  </si>
  <si>
    <t>폭거</t>
  </si>
  <si>
    <t>粗魯</t>
  </si>
  <si>
    <t>Torch</t>
  </si>
  <si>
    <t>たいまつ</t>
  </si>
  <si>
    <t>Torche</t>
  </si>
  <si>
    <t>Fackel</t>
  </si>
  <si>
    <t>Antorcha</t>
  </si>
  <si>
    <t>Torcia</t>
  </si>
  <si>
    <t>횃불</t>
  </si>
  <si>
    <t>火炬</t>
  </si>
  <si>
    <t>Iron Will</t>
  </si>
  <si>
    <t>てっしん</t>
  </si>
  <si>
    <t>Cœur de Fer</t>
  </si>
  <si>
    <t>Eisenkern</t>
  </si>
  <si>
    <t>Tesón Acero</t>
  </si>
  <si>
    <t>Metalcuore</t>
  </si>
  <si>
    <t>철심</t>
  </si>
  <si>
    <t>鐵心</t>
  </si>
  <si>
    <t>Cavern</t>
  </si>
  <si>
    <t>がんくつ</t>
  </si>
  <si>
    <t>Grotte</t>
  </si>
  <si>
    <t>Felsenhöhle</t>
  </si>
  <si>
    <t>Gruta</t>
  </si>
  <si>
    <t>암굴</t>
  </si>
  <si>
    <t>岩窟</t>
  </si>
  <si>
    <t>Grassland</t>
  </si>
  <si>
    <t>そうげん</t>
  </si>
  <si>
    <t>Plaine Verte</t>
  </si>
  <si>
    <t>Wiese</t>
  </si>
  <si>
    <t>Prado</t>
  </si>
  <si>
    <t>Prateria</t>
  </si>
  <si>
    <t>초원</t>
  </si>
  <si>
    <t>草原</t>
  </si>
  <si>
    <t>Cyclone</t>
  </si>
  <si>
    <t>せんぷう</t>
  </si>
  <si>
    <t>Tornade</t>
  </si>
  <si>
    <t>Wirbelsturm</t>
  </si>
  <si>
    <t>Torbellino</t>
  </si>
  <si>
    <t>Turbinio</t>
  </si>
  <si>
    <t>선풍</t>
  </si>
  <si>
    <t>旋風</t>
  </si>
  <si>
    <t>らいげき</t>
  </si>
  <si>
    <t>Foudroyeur</t>
  </si>
  <si>
    <t>Torpedo</t>
  </si>
  <si>
    <t>Centella</t>
  </si>
  <si>
    <t>Fulminante</t>
  </si>
  <si>
    <t>뇌격</t>
  </si>
  <si>
    <t>雷擊</t>
  </si>
  <si>
    <t>Vast White</t>
  </si>
  <si>
    <t>はくよう</t>
  </si>
  <si>
    <t>Blanc Réel</t>
  </si>
  <si>
    <t>Wahres Weiß</t>
  </si>
  <si>
    <t>Blanco Veraz</t>
  </si>
  <si>
    <t>Bianco Verità</t>
  </si>
  <si>
    <t>백양</t>
  </si>
  <si>
    <t>白陽</t>
  </si>
  <si>
    <t>Deep Black</t>
  </si>
  <si>
    <t>くこいん</t>
  </si>
  <si>
    <t>Noir Idéal</t>
  </si>
  <si>
    <t>Reines Schwarz</t>
  </si>
  <si>
    <t>Negro Puro</t>
  </si>
  <si>
    <t>Nero Ideale</t>
  </si>
  <si>
    <t>흑음</t>
  </si>
  <si>
    <t>黑陰</t>
  </si>
  <si>
    <t>Abundance</t>
  </si>
  <si>
    <t>ほうじょう</t>
  </si>
  <si>
    <t>Fertilité</t>
  </si>
  <si>
    <t>Reichtum</t>
  </si>
  <si>
    <t>Fertilidad</t>
  </si>
  <si>
    <t>Fertilità</t>
  </si>
  <si>
    <t>풍요</t>
  </si>
  <si>
    <t>豐饒</t>
  </si>
  <si>
    <t>Boundary</t>
  </si>
  <si>
    <t>きょうかい</t>
  </si>
  <si>
    <t>Frontière</t>
  </si>
  <si>
    <t>Schwelle</t>
  </si>
  <si>
    <t>Frontera</t>
  </si>
  <si>
    <t>Confine</t>
  </si>
  <si>
    <t>境界</t>
  </si>
  <si>
    <t>Colt</t>
  </si>
  <si>
    <t>わかごま</t>
  </si>
  <si>
    <t>Poulain</t>
  </si>
  <si>
    <t>Fohlen</t>
  </si>
  <si>
    <t>Potro</t>
  </si>
  <si>
    <t>Puledro</t>
  </si>
  <si>
    <t>망아지</t>
  </si>
  <si>
    <t>幼馬</t>
  </si>
  <si>
    <t>Melody</t>
  </si>
  <si>
    <t>せんりつ</t>
  </si>
  <si>
    <t>Mélodie</t>
  </si>
  <si>
    <t>Melodie</t>
  </si>
  <si>
    <t>Melodía</t>
  </si>
  <si>
    <t>Melodia</t>
  </si>
  <si>
    <t>선율</t>
  </si>
  <si>
    <t>旋律</t>
  </si>
  <si>
    <t>Paleozoic</t>
  </si>
  <si>
    <t>こせいだい</t>
  </si>
  <si>
    <t>Paléozoïque</t>
  </si>
  <si>
    <t>Paläozoikum</t>
  </si>
  <si>
    <t>고생대</t>
  </si>
  <si>
    <t>古生代</t>
  </si>
  <si>
    <t>Spiny Nut</t>
  </si>
  <si>
    <t>いがぐり</t>
  </si>
  <si>
    <t>Bogue</t>
  </si>
  <si>
    <t>Stachelkopf</t>
  </si>
  <si>
    <t>Erizo</t>
  </si>
  <si>
    <t>Castanriccio</t>
  </si>
  <si>
    <t>밤송이</t>
  </si>
  <si>
    <t>刺栗</t>
  </si>
  <si>
    <t>Spiny Armor</t>
  </si>
  <si>
    <t>とげよろい</t>
  </si>
  <si>
    <t>Épinarmure</t>
  </si>
  <si>
    <t>Spitzpanzer</t>
  </si>
  <si>
    <t>Corazaespín</t>
  </si>
  <si>
    <t>Spincorazza</t>
  </si>
  <si>
    <t>가시갑옷</t>
  </si>
  <si>
    <t>刺鎧</t>
  </si>
  <si>
    <t>キツネ</t>
  </si>
  <si>
    <t>Bubble Frog</t>
  </si>
  <si>
    <t>あわがえる</t>
  </si>
  <si>
    <t>Crapobulle</t>
  </si>
  <si>
    <t>Blubbfrosch</t>
  </si>
  <si>
    <t>Burburrana</t>
  </si>
  <si>
    <t>Schiumorana</t>
  </si>
  <si>
    <t>거품개구리</t>
  </si>
  <si>
    <t>泡蛙</t>
  </si>
  <si>
    <t>Digging</t>
  </si>
  <si>
    <t>あなほり</t>
  </si>
  <si>
    <t>Fouisseur</t>
  </si>
  <si>
    <t>Baugräber</t>
  </si>
  <si>
    <t>Excavador</t>
  </si>
  <si>
    <t>Scavabuche</t>
  </si>
  <si>
    <t>땅구멍파기</t>
  </si>
  <si>
    <t>挖洞</t>
  </si>
  <si>
    <t>Tiny Robin</t>
  </si>
  <si>
    <t>コマドリ</t>
  </si>
  <si>
    <t>Rougegorge</t>
  </si>
  <si>
    <t>Rotkehlchen</t>
  </si>
  <si>
    <t>Petirrojo</t>
  </si>
  <si>
    <t>Pettirosso</t>
  </si>
  <si>
    <t>울새</t>
  </si>
  <si>
    <t>知更鳥</t>
  </si>
  <si>
    <t>Scorching</t>
  </si>
  <si>
    <t>れっか</t>
  </si>
  <si>
    <t>Fournaise</t>
  </si>
  <si>
    <t>Stichflamme</t>
  </si>
  <si>
    <t>Flamígero</t>
  </si>
  <si>
    <t>Ardifiamma</t>
  </si>
  <si>
    <t>열화</t>
  </si>
  <si>
    <t>烈火</t>
  </si>
  <si>
    <t>Scatterdust</t>
  </si>
  <si>
    <t>こなふき</t>
  </si>
  <si>
    <t>Exhalécaille</t>
  </si>
  <si>
    <t>Puderinsekt</t>
  </si>
  <si>
    <t>Tiraescamas</t>
  </si>
  <si>
    <t>Tirascaglie</t>
  </si>
  <si>
    <t>가루뿜기</t>
  </si>
  <si>
    <t>噴粉</t>
  </si>
  <si>
    <t>Scale</t>
  </si>
  <si>
    <t>りんぷん</t>
  </si>
  <si>
    <t>Lépidécaille</t>
  </si>
  <si>
    <t>Flügelstaub</t>
  </si>
  <si>
    <t>Escamaposa</t>
  </si>
  <si>
    <t>Farfascaglia</t>
  </si>
  <si>
    <t>인분</t>
  </si>
  <si>
    <t>鱗粉</t>
  </si>
  <si>
    <t>Lion Cub</t>
  </si>
  <si>
    <t>わかしし</t>
  </si>
  <si>
    <t>Lionceau</t>
  </si>
  <si>
    <t>Junglöwe</t>
  </si>
  <si>
    <t>Leoncito</t>
  </si>
  <si>
    <t>Leoncino</t>
  </si>
  <si>
    <t>어린사자</t>
  </si>
  <si>
    <t>幼獅</t>
  </si>
  <si>
    <t>Single Bloom</t>
  </si>
  <si>
    <t>いちりん</t>
  </si>
  <si>
    <t>Uniflore</t>
  </si>
  <si>
    <t>Einblütler</t>
  </si>
  <si>
    <t>Monoflor</t>
  </si>
  <si>
    <t>Monofiore</t>
  </si>
  <si>
    <t>한송이</t>
  </si>
  <si>
    <t>單朵</t>
  </si>
  <si>
    <t>Garden</t>
  </si>
  <si>
    <t>ガーデン</t>
  </si>
  <si>
    <t>Jardin</t>
  </si>
  <si>
    <t>Garten</t>
  </si>
  <si>
    <t>Giardino</t>
  </si>
  <si>
    <t>가든</t>
  </si>
  <si>
    <t>花園</t>
  </si>
  <si>
    <t>Mount</t>
  </si>
  <si>
    <t>ライド</t>
  </si>
  <si>
    <t>Monture</t>
  </si>
  <si>
    <t>Ritt</t>
  </si>
  <si>
    <t>Montura</t>
  </si>
  <si>
    <t>Cavalcatura</t>
  </si>
  <si>
    <t>라이드</t>
  </si>
  <si>
    <t>坐騎</t>
  </si>
  <si>
    <t>Daunting</t>
  </si>
  <si>
    <t>こわもて</t>
  </si>
  <si>
    <t>Patibulaire</t>
  </si>
  <si>
    <t>Gaunerblick</t>
  </si>
  <si>
    <t>Rostro Fiero</t>
  </si>
  <si>
    <t>Occhiotruce</t>
  </si>
  <si>
    <t xml:space="preserve">무서운얼굴 </t>
  </si>
  <si>
    <t>惡顏</t>
  </si>
  <si>
    <t>Poodle</t>
  </si>
  <si>
    <t>プードル</t>
  </si>
  <si>
    <t>Caniche</t>
  </si>
  <si>
    <t>Pudel</t>
  </si>
  <si>
    <t>Barboncino</t>
  </si>
  <si>
    <t>푸들</t>
  </si>
  <si>
    <t>貴賓犬</t>
  </si>
  <si>
    <t>Restraint</t>
  </si>
  <si>
    <t>じせい</t>
  </si>
  <si>
    <t>Retrnue</t>
  </si>
  <si>
    <t>Zügelung</t>
  </si>
  <si>
    <t>Moderación</t>
  </si>
  <si>
    <t>Moderazione</t>
  </si>
  <si>
    <t>자제</t>
  </si>
  <si>
    <t>自制</t>
  </si>
  <si>
    <t>Constraint</t>
  </si>
  <si>
    <t>よくせい</t>
  </si>
  <si>
    <t>SelfContrôle</t>
  </si>
  <si>
    <t>Fassung</t>
  </si>
  <si>
    <t>Autocontrol</t>
  </si>
  <si>
    <t>Temperanza</t>
  </si>
  <si>
    <t>억제</t>
  </si>
  <si>
    <t>抑制</t>
  </si>
  <si>
    <t>Sword</t>
  </si>
  <si>
    <t>とうけん</t>
  </si>
  <si>
    <t>Glaive</t>
  </si>
  <si>
    <t>Klingenkraft</t>
  </si>
  <si>
    <t>Tizona</t>
  </si>
  <si>
    <t>Armabianca</t>
  </si>
  <si>
    <t>도검</t>
  </si>
  <si>
    <t>刀劍</t>
  </si>
  <si>
    <t>Royal Sword</t>
  </si>
  <si>
    <t>おうけん</t>
  </si>
  <si>
    <t>Noble Lame</t>
  </si>
  <si>
    <t>Königsklinge</t>
  </si>
  <si>
    <t>Espada Real</t>
  </si>
  <si>
    <t>Spadareale</t>
  </si>
  <si>
    <t>왕검</t>
  </si>
  <si>
    <t>王劍</t>
  </si>
  <si>
    <t>Perfume</t>
  </si>
  <si>
    <t>こうすい</t>
  </si>
  <si>
    <t>Parfüm</t>
  </si>
  <si>
    <t>Aroma</t>
  </si>
  <si>
    <t>Profumo</t>
  </si>
  <si>
    <t>향수</t>
  </si>
  <si>
    <t>香水</t>
  </si>
  <si>
    <t>Fragrance</t>
  </si>
  <si>
    <t>ほうこう</t>
  </si>
  <si>
    <t>Parfum</t>
  </si>
  <si>
    <t>Duft</t>
  </si>
  <si>
    <t>Fragancia</t>
  </si>
  <si>
    <t>Fragranza</t>
  </si>
  <si>
    <t>방향</t>
  </si>
  <si>
    <t>芳香</t>
  </si>
  <si>
    <t>Cotton Candy</t>
  </si>
  <si>
    <t>わたあめ</t>
  </si>
  <si>
    <t>Confiserie</t>
  </si>
  <si>
    <t>Zuckerwatte</t>
  </si>
  <si>
    <t>Chuchería</t>
  </si>
  <si>
    <t>Zuccherino</t>
  </si>
  <si>
    <t>솜사탕</t>
  </si>
  <si>
    <t>棉花糖</t>
  </si>
  <si>
    <t>Meringue</t>
  </si>
  <si>
    <t>ホイップ</t>
  </si>
  <si>
    <t>Mousseline</t>
  </si>
  <si>
    <t>Schlagsahne</t>
  </si>
  <si>
    <t>Nata</t>
  </si>
  <si>
    <t>Panna</t>
  </si>
  <si>
    <t>휩</t>
  </si>
  <si>
    <t>泡沫奶油</t>
  </si>
  <si>
    <t>Revolving</t>
  </si>
  <si>
    <t>かいてん</t>
  </si>
  <si>
    <t>Rotation</t>
  </si>
  <si>
    <t>Rotación</t>
  </si>
  <si>
    <t>Volteggio</t>
  </si>
  <si>
    <t>회전</t>
  </si>
  <si>
    <t>回轉</t>
  </si>
  <si>
    <t>Overturning</t>
  </si>
  <si>
    <t>ぎゃくてん</t>
  </si>
  <si>
    <t>Révolution</t>
  </si>
  <si>
    <t>Inversion</t>
  </si>
  <si>
    <t>Revolución</t>
  </si>
  <si>
    <t>Giravolta</t>
  </si>
  <si>
    <t>역전</t>
  </si>
  <si>
    <t>倒轉</t>
  </si>
  <si>
    <t>Two-Handed</t>
  </si>
  <si>
    <t>ふたて</t>
  </si>
  <si>
    <t>Bimane</t>
  </si>
  <si>
    <t>Krallenduo</t>
  </si>
  <si>
    <t>Dos Manos</t>
  </si>
  <si>
    <t>Bimano</t>
  </si>
  <si>
    <t>두손</t>
  </si>
  <si>
    <t>雙手</t>
  </si>
  <si>
    <t>Collective</t>
  </si>
  <si>
    <t>しゅうごう</t>
  </si>
  <si>
    <t>Assemblage</t>
  </si>
  <si>
    <t>Ballung</t>
  </si>
  <si>
    <t>Combinación</t>
  </si>
  <si>
    <t>Aggregato</t>
  </si>
  <si>
    <t>집합</t>
  </si>
  <si>
    <t>集合</t>
  </si>
  <si>
    <t>Mock Kelp</t>
  </si>
  <si>
    <t>クサモドキ</t>
  </si>
  <si>
    <t>Simulalgue</t>
  </si>
  <si>
    <t>Tangmimikry</t>
  </si>
  <si>
    <t>Psudoalga</t>
  </si>
  <si>
    <t>Similalga</t>
  </si>
  <si>
    <t>풀모방</t>
  </si>
  <si>
    <t>似草</t>
  </si>
  <si>
    <t>Lance à Eau</t>
  </si>
  <si>
    <t>Aquapistole</t>
  </si>
  <si>
    <t>Proyectagua</t>
  </si>
  <si>
    <t>Zampillo</t>
  </si>
  <si>
    <t>Howitzer</t>
  </si>
  <si>
    <t>ランチャー</t>
  </si>
  <si>
    <t>Blaster</t>
  </si>
  <si>
    <t>Aquawumme</t>
  </si>
  <si>
    <t>Lanzachorro</t>
  </si>
  <si>
    <t>Acqualancio</t>
  </si>
  <si>
    <t>런처</t>
  </si>
  <si>
    <t>發射器</t>
  </si>
  <si>
    <t>Generator</t>
  </si>
  <si>
    <t>はつでん</t>
  </si>
  <si>
    <t>Générateur</t>
  </si>
  <si>
    <t>Generador</t>
  </si>
  <si>
    <t>발전</t>
  </si>
  <si>
    <t>發電</t>
  </si>
  <si>
    <t>Royal Heir</t>
  </si>
  <si>
    <t>ようくん</t>
  </si>
  <si>
    <t>Prince</t>
  </si>
  <si>
    <t>Kronprinz</t>
  </si>
  <si>
    <t>Heredero</t>
  </si>
  <si>
    <t>Principino</t>
  </si>
  <si>
    <t>유군</t>
  </si>
  <si>
    <t>幼君</t>
  </si>
  <si>
    <t>Despot</t>
  </si>
  <si>
    <t>ぼうくん</t>
  </si>
  <si>
    <t>Tyran</t>
  </si>
  <si>
    <t>Tirano</t>
  </si>
  <si>
    <t>Tiranno</t>
  </si>
  <si>
    <t>폭군</t>
  </si>
  <si>
    <t>暴君</t>
  </si>
  <si>
    <t>Tundra</t>
  </si>
  <si>
    <t>ツンドラ</t>
  </si>
  <si>
    <t>Toundra</t>
  </si>
  <si>
    <t>툰드라</t>
  </si>
  <si>
    <t>凍原</t>
  </si>
  <si>
    <t>Intertwining</t>
  </si>
  <si>
    <t>むすびつき</t>
  </si>
  <si>
    <t>Attachant</t>
  </si>
  <si>
    <t>Bindung</t>
  </si>
  <si>
    <t>Vinculo</t>
  </si>
  <si>
    <t>Legame</t>
  </si>
  <si>
    <t>연결</t>
  </si>
  <si>
    <t>連結</t>
  </si>
  <si>
    <t>Wrestling</t>
  </si>
  <si>
    <t>レスリング</t>
  </si>
  <si>
    <t>Catcheur</t>
  </si>
  <si>
    <t>Lucha Libre</t>
  </si>
  <si>
    <t>Lottalibera</t>
  </si>
  <si>
    <t>레슬링</t>
  </si>
  <si>
    <t>摔角</t>
  </si>
  <si>
    <t>Antenna</t>
  </si>
  <si>
    <t>アンテナ</t>
  </si>
  <si>
    <t>Antenne</t>
  </si>
  <si>
    <t>Antenas</t>
  </si>
  <si>
    <t>안테나</t>
  </si>
  <si>
    <t>天線</t>
  </si>
  <si>
    <t>Jewel</t>
  </si>
  <si>
    <t>ほうせき</t>
  </si>
  <si>
    <t>Joyau</t>
  </si>
  <si>
    <t>Edelstein</t>
  </si>
  <si>
    <t>Joya</t>
  </si>
  <si>
    <t>Gemma</t>
  </si>
  <si>
    <t>보석</t>
  </si>
  <si>
    <t>寶石</t>
  </si>
  <si>
    <t>Soft Tissue</t>
  </si>
  <si>
    <t>なんたい</t>
  </si>
  <si>
    <t>Schneckedei</t>
  </si>
  <si>
    <t>Molusco</t>
  </si>
  <si>
    <t>Mollusco</t>
  </si>
  <si>
    <t>연체</t>
  </si>
  <si>
    <t>軟體生物</t>
  </si>
  <si>
    <t>Shell Bunker</t>
  </si>
  <si>
    <t>からこもり</t>
  </si>
  <si>
    <t>Escamoquille</t>
  </si>
  <si>
    <t>Schalrückzugs</t>
  </si>
  <si>
    <t>Retracción</t>
  </si>
  <si>
    <t>Serraguscio</t>
  </si>
  <si>
    <t>껍질숨기</t>
  </si>
  <si>
    <t>窝壳</t>
  </si>
  <si>
    <t>Key Ring</t>
  </si>
  <si>
    <t>かぎたば</t>
  </si>
  <si>
    <t>Trousseau</t>
  </si>
  <si>
    <t>Schlüssel</t>
  </si>
  <si>
    <t>Llavero</t>
  </si>
  <si>
    <t>Glitch</t>
  </si>
  <si>
    <t>열쇠꾸러미</t>
  </si>
  <si>
    <t>鑰匙串</t>
  </si>
  <si>
    <t>Stump</t>
  </si>
  <si>
    <t>きりかぶ</t>
  </si>
  <si>
    <t>Souche</t>
  </si>
  <si>
    <t>Baumstumpf</t>
  </si>
  <si>
    <t>Tocón</t>
  </si>
  <si>
    <t>Ceppo</t>
  </si>
  <si>
    <t>그루터기</t>
  </si>
  <si>
    <t>樹樁</t>
  </si>
  <si>
    <t>Elder Tree</t>
  </si>
  <si>
    <t>ろうぼく</t>
  </si>
  <si>
    <t>Vieillarbre</t>
  </si>
  <si>
    <t>Urgehölz</t>
  </si>
  <si>
    <t>Árbol Viejo</t>
  </si>
  <si>
    <t>Alberantico</t>
  </si>
  <si>
    <t>고목</t>
  </si>
  <si>
    <t>老樹</t>
  </si>
  <si>
    <t>Pumpkin</t>
  </si>
  <si>
    <t>かぼちゃ</t>
  </si>
  <si>
    <t>Citrouille</t>
  </si>
  <si>
    <t>Kürbis</t>
  </si>
  <si>
    <t>Calabaza</t>
  </si>
  <si>
    <t>Zucca</t>
  </si>
  <si>
    <t>호박</t>
  </si>
  <si>
    <t>南瓜</t>
  </si>
  <si>
    <t>Ice Chunk</t>
  </si>
  <si>
    <t>ひょうかい</t>
  </si>
  <si>
    <t>Glaçon</t>
  </si>
  <si>
    <t>Eisklumpen</t>
  </si>
  <si>
    <t>Témpano</t>
  </si>
  <si>
    <t>Ghiacciolo</t>
  </si>
  <si>
    <t>얼음덩이</t>
  </si>
  <si>
    <t>冰塊</t>
  </si>
  <si>
    <t>Sound Wave</t>
  </si>
  <si>
    <t>おんぱ</t>
  </si>
  <si>
    <t>Ondes</t>
  </si>
  <si>
    <t>Schallwellen</t>
  </si>
  <si>
    <t>Onda Sónica</t>
  </si>
  <si>
    <t>Ondasonora</t>
  </si>
  <si>
    <t>음파</t>
  </si>
  <si>
    <t>音波</t>
  </si>
  <si>
    <t>Life</t>
  </si>
  <si>
    <t>せいめい</t>
  </si>
  <si>
    <t>Existence</t>
  </si>
  <si>
    <t>Leben</t>
  </si>
  <si>
    <t>Creación</t>
  </si>
  <si>
    <t>Creazione</t>
  </si>
  <si>
    <t>생명</t>
  </si>
  <si>
    <t>生命</t>
  </si>
  <si>
    <t>Destruction</t>
  </si>
  <si>
    <t>はかい</t>
  </si>
  <si>
    <t>Annihilation</t>
  </si>
  <si>
    <t>Zerstörung</t>
  </si>
  <si>
    <t>Destrucción</t>
  </si>
  <si>
    <t>Distruzione</t>
  </si>
  <si>
    <t>파괴</t>
  </si>
  <si>
    <t>破壞</t>
  </si>
  <si>
    <t>Order</t>
  </si>
  <si>
    <t>ちつじょ</t>
  </si>
  <si>
    <t>Équilibre</t>
  </si>
  <si>
    <t>Ordnung</t>
  </si>
  <si>
    <t>Equilibro</t>
  </si>
  <si>
    <t>질서</t>
  </si>
  <si>
    <t>秩序</t>
  </si>
  <si>
    <t>Mischief</t>
  </si>
  <si>
    <t>いたずら</t>
  </si>
  <si>
    <t>Chenapan</t>
  </si>
  <si>
    <t>Schabernack</t>
  </si>
  <si>
    <t>Travesura</t>
  </si>
  <si>
    <t>Birba</t>
  </si>
  <si>
    <t>장난</t>
  </si>
  <si>
    <t>頑童</t>
  </si>
  <si>
    <t>Djinn</t>
  </si>
  <si>
    <t>まじん</t>
  </si>
  <si>
    <t>Plagegeist</t>
  </si>
  <si>
    <t>Genio</t>
  </si>
  <si>
    <t>마신</t>
  </si>
  <si>
    <t>魔神</t>
  </si>
  <si>
    <t>Steam</t>
  </si>
  <si>
    <t>スチーム</t>
  </si>
  <si>
    <t>Vapeur</t>
  </si>
  <si>
    <t>Dampf</t>
  </si>
  <si>
    <t>Vapor</t>
  </si>
  <si>
    <t>스팀</t>
  </si>
  <si>
    <t>蒸汽</t>
  </si>
  <si>
    <t>Grass Quill</t>
  </si>
  <si>
    <t>くさばね</t>
  </si>
  <si>
    <t>Plumefeuille</t>
  </si>
  <si>
    <t>Laubflügel</t>
  </si>
  <si>
    <t>Pluma Hoja</t>
  </si>
  <si>
    <t>Aliderba</t>
  </si>
  <si>
    <t>풀깃</t>
  </si>
  <si>
    <t>草羽</t>
  </si>
  <si>
    <t>Blade Quill</t>
  </si>
  <si>
    <t>はばね</t>
  </si>
  <si>
    <t>Plum'acérée</t>
  </si>
  <si>
    <t>Flügelklinge</t>
  </si>
  <si>
    <t>Pluma Filo</t>
  </si>
  <si>
    <t>Piumaffilata</t>
  </si>
  <si>
    <t>칼날깃</t>
  </si>
  <si>
    <t>刃羽</t>
  </si>
  <si>
    <t>Arrow Quill</t>
  </si>
  <si>
    <t>やばね</t>
  </si>
  <si>
    <t>Plumeflèche</t>
  </si>
  <si>
    <t>Pfeilflügel</t>
  </si>
  <si>
    <t>Pluma Flecha</t>
  </si>
  <si>
    <t>Alifreccia</t>
  </si>
  <si>
    <t>화살깃</t>
  </si>
  <si>
    <t>箭羽</t>
  </si>
  <si>
    <t>Fire Cat</t>
  </si>
  <si>
    <t>ひねこ</t>
  </si>
  <si>
    <t>Chat Feu</t>
  </si>
  <si>
    <t>Feuerkatze</t>
  </si>
  <si>
    <t>Gato Fuego</t>
  </si>
  <si>
    <t>Pirofelino</t>
  </si>
  <si>
    <t>불고양이</t>
  </si>
  <si>
    <t>火貓</t>
  </si>
  <si>
    <t>Heel</t>
  </si>
  <si>
    <t>ヒール</t>
  </si>
  <si>
    <t>Fiesling</t>
  </si>
  <si>
    <t>Rudo</t>
  </si>
  <si>
    <t>Colpibassi</t>
  </si>
  <si>
    <t>힐</t>
  </si>
  <si>
    <t>反派</t>
  </si>
  <si>
    <t>Pop Star</t>
  </si>
  <si>
    <t>アイドル</t>
  </si>
  <si>
    <t>Starlette</t>
  </si>
  <si>
    <t>Popsternchen</t>
  </si>
  <si>
    <t>Fama</t>
  </si>
  <si>
    <t>아이돌</t>
  </si>
  <si>
    <t>偶像</t>
  </si>
  <si>
    <t>Soloist</t>
  </si>
  <si>
    <t>ソリスト</t>
  </si>
  <si>
    <t>Solist</t>
  </si>
  <si>
    <t>솔리스트</t>
  </si>
  <si>
    <t>獨唱者</t>
  </si>
  <si>
    <t>Woodpecker</t>
  </si>
  <si>
    <t>きつつき</t>
  </si>
  <si>
    <t>Pivert</t>
  </si>
  <si>
    <t>Specht</t>
  </si>
  <si>
    <t>Carpintero</t>
  </si>
  <si>
    <t>Picchio</t>
  </si>
  <si>
    <t>딱따구리</t>
  </si>
  <si>
    <t>啄木鳥</t>
  </si>
  <si>
    <t>Bungle Beak</t>
  </si>
  <si>
    <t>ラッパぐち</t>
  </si>
  <si>
    <t>Bec Clairon</t>
  </si>
  <si>
    <t>Trompete</t>
  </si>
  <si>
    <t>Trompeta</t>
  </si>
  <si>
    <t>Trombecco</t>
  </si>
  <si>
    <t>나팔입</t>
  </si>
  <si>
    <t>喇叭喙</t>
  </si>
  <si>
    <t>Cannon</t>
  </si>
  <si>
    <t>おおづつ</t>
  </si>
  <si>
    <t>Canon</t>
  </si>
  <si>
    <t>Kanone</t>
  </si>
  <si>
    <t>Cañón</t>
  </si>
  <si>
    <t>대포</t>
  </si>
  <si>
    <t>銃炮</t>
  </si>
  <si>
    <t>Loitering</t>
  </si>
  <si>
    <t>うろつき</t>
  </si>
  <si>
    <t>Patrouille</t>
  </si>
  <si>
    <t>Patrulla</t>
  </si>
  <si>
    <t>Pattuglia</t>
  </si>
  <si>
    <t>순회</t>
  </si>
  <si>
    <t>巡迴</t>
  </si>
  <si>
    <t>잠복</t>
  </si>
  <si>
    <t>ようちゅう</t>
  </si>
  <si>
    <t>Larve</t>
  </si>
  <si>
    <t>Pupa</t>
  </si>
  <si>
    <t>Coleolarva</t>
  </si>
  <si>
    <t>유충</t>
  </si>
  <si>
    <t>幼蟲</t>
  </si>
  <si>
    <t>Boxing</t>
  </si>
  <si>
    <t>けんとう</t>
  </si>
  <si>
    <t>Boxeur</t>
  </si>
  <si>
    <t>Boxkampf</t>
  </si>
  <si>
    <t>Púgil</t>
  </si>
  <si>
    <t>Pugile</t>
  </si>
  <si>
    <t>권투</t>
  </si>
  <si>
    <t>拳鬥</t>
  </si>
  <si>
    <t>Woolly Crab</t>
  </si>
  <si>
    <t>けがに</t>
  </si>
  <si>
    <t>Crabe Velu</t>
  </si>
  <si>
    <t>Fellkrabbe</t>
  </si>
  <si>
    <t>Cangrejopelo</t>
  </si>
  <si>
    <t>Peligranchio</t>
  </si>
  <si>
    <t>털게</t>
  </si>
  <si>
    <t>毛蟹</t>
  </si>
  <si>
    <t>Dancing</t>
  </si>
  <si>
    <t>ダンス</t>
  </si>
  <si>
    <t>Danse</t>
  </si>
  <si>
    <t>Tanz</t>
  </si>
  <si>
    <t>Danza</t>
  </si>
  <si>
    <t>댄스</t>
  </si>
  <si>
    <t>舞蹈</t>
  </si>
  <si>
    <t>Bee Fly</t>
  </si>
  <si>
    <t>ツリアブ</t>
  </si>
  <si>
    <t>Bombyle</t>
  </si>
  <si>
    <t>Hummelfliege</t>
  </si>
  <si>
    <t>Mosca Abeja</t>
  </si>
  <si>
    <t>Bombilide</t>
  </si>
  <si>
    <t>재니등에</t>
  </si>
  <si>
    <t>蜂虻</t>
  </si>
  <si>
    <t>Wolf</t>
  </si>
  <si>
    <t>オオカミ</t>
  </si>
  <si>
    <t>Loup</t>
  </si>
  <si>
    <t>Lobo</t>
  </si>
  <si>
    <t>Lupo</t>
  </si>
  <si>
    <t>늑대</t>
  </si>
  <si>
    <t>狼</t>
  </si>
  <si>
    <t>Small Fry</t>
  </si>
  <si>
    <t>こざかな</t>
  </si>
  <si>
    <t>Minipoisson</t>
  </si>
  <si>
    <t>Kleinfisch</t>
  </si>
  <si>
    <t>Pececillo</t>
  </si>
  <si>
    <t>Pesciolino</t>
  </si>
  <si>
    <t>잔물고기</t>
  </si>
  <si>
    <t>小魚</t>
  </si>
  <si>
    <t>Brutal Star</t>
  </si>
  <si>
    <t>ヒトデナシ</t>
  </si>
  <si>
    <t>Quäl-Stern</t>
  </si>
  <si>
    <t>Estrellatroz</t>
  </si>
  <si>
    <t>Stellatroce</t>
  </si>
  <si>
    <t>깨비사리</t>
  </si>
  <si>
    <t>非星</t>
  </si>
  <si>
    <t>Donkey</t>
  </si>
  <si>
    <t>うさぎうま</t>
  </si>
  <si>
    <t>Âne</t>
  </si>
  <si>
    <t>Packesel</t>
  </si>
  <si>
    <t>Asno</t>
  </si>
  <si>
    <t>Ciuconiglio</t>
  </si>
  <si>
    <t>당나귀</t>
  </si>
  <si>
    <t>驢</t>
  </si>
  <si>
    <t>Draft Horse</t>
  </si>
  <si>
    <t>ばんば</t>
  </si>
  <si>
    <t>Cheval Trait</t>
  </si>
  <si>
    <t>Zugpferd</t>
  </si>
  <si>
    <t>Caballo Tiro</t>
  </si>
  <si>
    <t>Fortequino</t>
  </si>
  <si>
    <t>만마</t>
  </si>
  <si>
    <t>挽馬</t>
  </si>
  <si>
    <t>Sickle Grass</t>
  </si>
  <si>
    <t>かまくさ</t>
  </si>
  <si>
    <t>Fauch'Herbe</t>
  </si>
  <si>
    <t>Grassichel</t>
  </si>
  <si>
    <t>Filo Hoja</t>
  </si>
  <si>
    <t>Mantiderba</t>
  </si>
  <si>
    <t>풀사마귀</t>
  </si>
  <si>
    <t>鐮草</t>
  </si>
  <si>
    <t>Bloom Sickle</t>
  </si>
  <si>
    <t>はなかま</t>
  </si>
  <si>
    <t>Fauch'Fleur</t>
  </si>
  <si>
    <t>Blumensichel</t>
  </si>
  <si>
    <t>Filo Flor</t>
  </si>
  <si>
    <t>Mantifiore</t>
  </si>
  <si>
    <t>꽃사마귀</t>
  </si>
  <si>
    <t>花鐮</t>
  </si>
  <si>
    <t>Illuminating</t>
  </si>
  <si>
    <t>Luminescent</t>
  </si>
  <si>
    <t>Lumineszenz</t>
  </si>
  <si>
    <t>Luminiscente</t>
  </si>
  <si>
    <t>Luminescenza</t>
  </si>
  <si>
    <t>Toxic Lizard</t>
  </si>
  <si>
    <t>どくトカゲ</t>
  </si>
  <si>
    <t>Toxilézard</t>
  </si>
  <si>
    <t>Giftechse</t>
  </si>
  <si>
    <t>Lagartoxina</t>
  </si>
  <si>
    <t>Lucertossina</t>
  </si>
  <si>
    <t>독도마뱀</t>
  </si>
  <si>
    <t>毒蜥</t>
  </si>
  <si>
    <t>Flailing</t>
  </si>
  <si>
    <t>じたばた</t>
  </si>
  <si>
    <t>Gigoteur</t>
  </si>
  <si>
    <t>Wildfang</t>
  </si>
  <si>
    <t>Rabieta</t>
  </si>
  <si>
    <t>Bizzoso</t>
  </si>
  <si>
    <t>바둥바둥</t>
  </si>
  <si>
    <t>抓狂</t>
  </si>
  <si>
    <t>Strong Arm</t>
  </si>
  <si>
    <t>ごうわん</t>
  </si>
  <si>
    <t>Biscoteaux</t>
  </si>
  <si>
    <t>Kraftarme</t>
  </si>
  <si>
    <t>Brazo Fuerte</t>
  </si>
  <si>
    <t>Fortebraccio</t>
  </si>
  <si>
    <t>강한완력</t>
  </si>
  <si>
    <t>強臂</t>
  </si>
  <si>
    <t>Posy Picker</t>
  </si>
  <si>
    <t>はなつみ</t>
  </si>
  <si>
    <t>Tressefleur</t>
  </si>
  <si>
    <t>Blumenkranz</t>
  </si>
  <si>
    <t>Recogeflores</t>
  </si>
  <si>
    <t>Ghirlanda</t>
  </si>
  <si>
    <t>꽃따기</t>
  </si>
  <si>
    <t>摘花</t>
  </si>
  <si>
    <t>Sage</t>
  </si>
  <si>
    <t>けんじゃ</t>
  </si>
  <si>
    <t>Weisheit</t>
  </si>
  <si>
    <t>Sabio</t>
  </si>
  <si>
    <t>Saggio</t>
  </si>
  <si>
    <t>현자</t>
  </si>
  <si>
    <t>賢者</t>
  </si>
  <si>
    <t>Teamwork</t>
  </si>
  <si>
    <t>れんけい</t>
  </si>
  <si>
    <t>Coopération</t>
  </si>
  <si>
    <t>Cooperación</t>
  </si>
  <si>
    <t>Giocosquadra</t>
  </si>
  <si>
    <t>연게</t>
  </si>
  <si>
    <t>配合</t>
  </si>
  <si>
    <t>Turn Tail</t>
  </si>
  <si>
    <t>そうこう</t>
  </si>
  <si>
    <t>Cavaleur</t>
  </si>
  <si>
    <t>Laufschritt</t>
  </si>
  <si>
    <t>Huidizo</t>
  </si>
  <si>
    <t>Lestopode</t>
  </si>
  <si>
    <t>주행</t>
  </si>
  <si>
    <t>疾行</t>
  </si>
  <si>
    <t>Hard Scale</t>
  </si>
  <si>
    <t>Blindé</t>
  </si>
  <si>
    <t>Rüstung</t>
  </si>
  <si>
    <t>Blindaje</t>
  </si>
  <si>
    <t>Blindato</t>
  </si>
  <si>
    <t>장갑</t>
  </si>
  <si>
    <t>裝甲</t>
  </si>
  <si>
    <t>Sand Heap</t>
  </si>
  <si>
    <t>すなやま</t>
  </si>
  <si>
    <t>Pâtéd'Sable</t>
  </si>
  <si>
    <t>Sandhaufen</t>
  </si>
  <si>
    <t>Montearena</t>
  </si>
  <si>
    <t>Montesabbia</t>
  </si>
  <si>
    <t>모래산</t>
  </si>
  <si>
    <t>沙丘</t>
  </si>
  <si>
    <t>Sand Castle</t>
  </si>
  <si>
    <t>すなのしろ</t>
  </si>
  <si>
    <t>Châtod'Sable</t>
  </si>
  <si>
    <t>Sandschloss</t>
  </si>
  <si>
    <t>Castiarena</t>
  </si>
  <si>
    <t>Castelsabbia</t>
  </si>
  <si>
    <t>모래성</t>
  </si>
  <si>
    <t>沙堡</t>
  </si>
  <si>
    <t>Sea Cucumber</t>
  </si>
  <si>
    <t>なまこ</t>
  </si>
  <si>
    <t>Holothurie</t>
  </si>
  <si>
    <t>Seegurke</t>
  </si>
  <si>
    <t>Pepino Mar</t>
  </si>
  <si>
    <t>Oloturia</t>
  </si>
  <si>
    <t>해삼</t>
  </si>
  <si>
    <t>海參</t>
  </si>
  <si>
    <t>CATEGORY_TYPENULL</t>
  </si>
  <si>
    <t>Synthetic</t>
  </si>
  <si>
    <t>じんこう</t>
  </si>
  <si>
    <t>Multigénome</t>
  </si>
  <si>
    <t>Modifikation</t>
  </si>
  <si>
    <t>Multigénico</t>
  </si>
  <si>
    <t>Multigene</t>
  </si>
  <si>
    <t>인공</t>
  </si>
  <si>
    <t>人工</t>
  </si>
  <si>
    <t>Meteor</t>
  </si>
  <si>
    <t>ながれぼし</t>
  </si>
  <si>
    <t>Météore</t>
  </si>
  <si>
    <t>유성</t>
  </si>
  <si>
    <t>流星</t>
  </si>
  <si>
    <t>Blast Turtle</t>
  </si>
  <si>
    <t>ばくはつがめ</t>
  </si>
  <si>
    <t>Tortue Boum</t>
  </si>
  <si>
    <t>Knallkröte</t>
  </si>
  <si>
    <t>Tortugabomba</t>
  </si>
  <si>
    <t>Tartabomba</t>
  </si>
  <si>
    <t>폭발거북</t>
  </si>
  <si>
    <t>爆炸龜</t>
  </si>
  <si>
    <t>Roly-Poly</t>
  </si>
  <si>
    <t>まるまり</t>
  </si>
  <si>
    <t>Roulenboule</t>
  </si>
  <si>
    <t>Einigler</t>
  </si>
  <si>
    <t>Bolita</t>
  </si>
  <si>
    <t>Ricciopalla</t>
  </si>
  <si>
    <t>동글동글</t>
  </si>
  <si>
    <t>蜷縮</t>
  </si>
  <si>
    <t>Gnash Teeth</t>
  </si>
  <si>
    <t>はぎしり</t>
  </si>
  <si>
    <t>Grincedent</t>
  </si>
  <si>
    <t>Knirschzahn</t>
  </si>
  <si>
    <t>Rechinante</t>
  </si>
  <si>
    <t>Sfregadenti</t>
  </si>
  <si>
    <t>이갈기</t>
  </si>
  <si>
    <t>磨牙</t>
  </si>
  <si>
    <t>Placid</t>
  </si>
  <si>
    <t>ゆうゆう</t>
  </si>
  <si>
    <t>Nonchalant</t>
  </si>
  <si>
    <t>Gelassenheit</t>
  </si>
  <si>
    <t>Sosiego</t>
  </si>
  <si>
    <t>Tuttacalma</t>
  </si>
  <si>
    <t>느긋누긋</t>
  </si>
  <si>
    <t>悠遊</t>
  </si>
  <si>
    <t>Sea Creeper</t>
  </si>
  <si>
    <t>もくず</t>
  </si>
  <si>
    <t>Varech</t>
  </si>
  <si>
    <t>Seetang</t>
  </si>
  <si>
    <t>Alga Ancla</t>
  </si>
  <si>
    <t>Brandellalga</t>
  </si>
  <si>
    <t>해초조각</t>
  </si>
  <si>
    <t>碎藻</t>
  </si>
  <si>
    <t>Scaly</t>
  </si>
  <si>
    <t>うろこ</t>
  </si>
  <si>
    <t>Écailles</t>
  </si>
  <si>
    <t>Schuppentier</t>
  </si>
  <si>
    <t>Escamas</t>
  </si>
  <si>
    <t>Squama</t>
  </si>
  <si>
    <t>비늘</t>
  </si>
  <si>
    <t>鱗片</t>
  </si>
  <si>
    <t>Land Spirit</t>
  </si>
  <si>
    <t>とちがみ</t>
  </si>
  <si>
    <t>Tutélaire</t>
  </si>
  <si>
    <t>Schutzpatron</t>
  </si>
  <si>
    <t>Dios Nativo</t>
  </si>
  <si>
    <t>Nume Locale</t>
  </si>
  <si>
    <t>토속신</t>
  </si>
  <si>
    <t>土地神</t>
  </si>
  <si>
    <t>Nebula</t>
  </si>
  <si>
    <t>せいうん</t>
  </si>
  <si>
    <t>Nébuleuse</t>
  </si>
  <si>
    <t>Nebulosa</t>
  </si>
  <si>
    <t>성운</t>
  </si>
  <si>
    <t>星雲</t>
  </si>
  <si>
    <t>Protostar</t>
  </si>
  <si>
    <t>げんしせい</t>
  </si>
  <si>
    <t>Proto-Étoile</t>
  </si>
  <si>
    <t>Urgestirn</t>
  </si>
  <si>
    <t>Protostrella</t>
  </si>
  <si>
    <t>Protostella</t>
  </si>
  <si>
    <t>원시성</t>
  </si>
  <si>
    <t>原始星</t>
  </si>
  <si>
    <t>Sunne</t>
  </si>
  <si>
    <t>にちりん</t>
  </si>
  <si>
    <t>Halo Solaire</t>
  </si>
  <si>
    <t>Sonnenkreis</t>
  </si>
  <si>
    <t>Corona Solar</t>
  </si>
  <si>
    <t>Solare</t>
  </si>
  <si>
    <t>일륜</t>
  </si>
  <si>
    <t>日輪</t>
  </si>
  <si>
    <t>Moone</t>
  </si>
  <si>
    <t>がちりん</t>
  </si>
  <si>
    <t>Halo Lunaire</t>
  </si>
  <si>
    <t>Mondscheibe</t>
  </si>
  <si>
    <t>Corona Lunar</t>
  </si>
  <si>
    <t>Lunare</t>
  </si>
  <si>
    <t>월륜</t>
  </si>
  <si>
    <t>月輪</t>
  </si>
  <si>
    <t>Parasite</t>
  </si>
  <si>
    <t>きせい</t>
  </si>
  <si>
    <t>Parasit</t>
  </si>
  <si>
    <t>Parásito</t>
  </si>
  <si>
    <t>Parassita</t>
  </si>
  <si>
    <t>寄生</t>
  </si>
  <si>
    <t>Swollen</t>
  </si>
  <si>
    <t>ぼうちょう</t>
  </si>
  <si>
    <t>Enflé</t>
  </si>
  <si>
    <t>Ausdehnung</t>
  </si>
  <si>
    <t>Hinchado</t>
  </si>
  <si>
    <t>Gonfiacorpo</t>
  </si>
  <si>
    <t>팽창</t>
  </si>
  <si>
    <t>膨脹</t>
  </si>
  <si>
    <t>Lissome</t>
  </si>
  <si>
    <t>えんび</t>
  </si>
  <si>
    <t>Gracile</t>
  </si>
  <si>
    <t>Eleganz</t>
  </si>
  <si>
    <t>Elegancia</t>
  </si>
  <si>
    <t>Leggiadria</t>
  </si>
  <si>
    <t>염미</t>
  </si>
  <si>
    <t>美艷</t>
  </si>
  <si>
    <t>Glowing</t>
  </si>
  <si>
    <t>でんしょく</t>
  </si>
  <si>
    <t>Luminaire</t>
  </si>
  <si>
    <t>Illumination</t>
  </si>
  <si>
    <t>Luminaria</t>
  </si>
  <si>
    <t>전기장식</t>
  </si>
  <si>
    <t>燈飾</t>
  </si>
  <si>
    <t>Launch</t>
  </si>
  <si>
    <t>うちあげ</t>
  </si>
  <si>
    <t>Décollage</t>
  </si>
  <si>
    <t>Raketenstart</t>
  </si>
  <si>
    <t>Lanzamiento</t>
  </si>
  <si>
    <t>Decollo</t>
  </si>
  <si>
    <t>쏴올리기</t>
  </si>
  <si>
    <t>發射</t>
  </si>
  <si>
    <t>Drawn Sword</t>
  </si>
  <si>
    <t>ばっとう</t>
  </si>
  <si>
    <t>Battô</t>
  </si>
  <si>
    <t>Schwertkunst</t>
  </si>
  <si>
    <t>Desenvaine</t>
  </si>
  <si>
    <t>Spadatratta</t>
  </si>
  <si>
    <t>발도</t>
  </si>
  <si>
    <t>拔刀</t>
  </si>
  <si>
    <t>Junkivore</t>
  </si>
  <si>
    <t>あくじき</t>
  </si>
  <si>
    <t>Bizarrovore</t>
  </si>
  <si>
    <t>Gaumenfolter</t>
  </si>
  <si>
    <t>Tragaldabas</t>
  </si>
  <si>
    <t>Divoratutto</t>
  </si>
  <si>
    <t>악식성</t>
  </si>
  <si>
    <t>異食</t>
  </si>
  <si>
    <t>Prism</t>
  </si>
  <si>
    <t>プリズム</t>
  </si>
  <si>
    <t>프리즘</t>
  </si>
  <si>
    <t>稜鏡</t>
  </si>
  <si>
    <t>Artificial</t>
  </si>
  <si>
    <t>じんぞう</t>
  </si>
  <si>
    <t>Artificiel</t>
  </si>
  <si>
    <t>Fabrikat</t>
  </si>
  <si>
    <t>인조</t>
  </si>
  <si>
    <t>人造</t>
  </si>
  <si>
    <t>Gloomdweller</t>
  </si>
  <si>
    <t>かげすみ</t>
  </si>
  <si>
    <t>Ombrefuge</t>
  </si>
  <si>
    <t>Dunkelwesen</t>
  </si>
  <si>
    <t>Morasombra</t>
  </si>
  <si>
    <t>Vivinombra</t>
  </si>
  <si>
    <t>그림자살이</t>
  </si>
  <si>
    <t>棲影</t>
  </si>
  <si>
    <t>Rampart</t>
  </si>
  <si>
    <t>いしがき</t>
  </si>
  <si>
    <t>Muraille</t>
  </si>
  <si>
    <t>Steinmauer</t>
  </si>
  <si>
    <t>Muro</t>
  </si>
  <si>
    <t>Bastione</t>
  </si>
  <si>
    <t>돌담</t>
  </si>
  <si>
    <t>石牆</t>
  </si>
  <si>
    <t>Fireworks</t>
  </si>
  <si>
    <t>はなび</t>
  </si>
  <si>
    <t>Artificier</t>
  </si>
  <si>
    <t>Feuerwerk</t>
  </si>
  <si>
    <t>Pirotecnia</t>
  </si>
  <si>
    <t>Pirotecnico</t>
  </si>
  <si>
    <t>불꽃놀이</t>
  </si>
  <si>
    <t>煙火</t>
  </si>
  <si>
    <t>Thunderclap</t>
  </si>
  <si>
    <t>じんらい</t>
  </si>
  <si>
    <t>Vif Éclair</t>
  </si>
  <si>
    <t>Blitzsturm</t>
  </si>
  <si>
    <t>Fulgor</t>
  </si>
  <si>
    <t>Fulmirapido</t>
  </si>
  <si>
    <t>신뢰</t>
  </si>
  <si>
    <t>奔雷</t>
  </si>
  <si>
    <t>Hex Nut</t>
  </si>
  <si>
    <t>ナット</t>
  </si>
  <si>
    <t>Écrou</t>
  </si>
  <si>
    <t>Mutter</t>
  </si>
  <si>
    <t>Tuerca</t>
  </si>
  <si>
    <t>Bullone</t>
  </si>
  <si>
    <t>너트</t>
  </si>
  <si>
    <t>螺帽</t>
  </si>
  <si>
    <t>Beat</t>
  </si>
  <si>
    <t>ビート</t>
  </si>
  <si>
    <t>Percussions</t>
  </si>
  <si>
    <t>Ritmo</t>
  </si>
  <si>
    <t>비트</t>
  </si>
  <si>
    <t>節拍</t>
  </si>
  <si>
    <t>Drummer</t>
  </si>
  <si>
    <t>ドラマー</t>
  </si>
  <si>
    <t>Batteur</t>
  </si>
  <si>
    <t>Percusión</t>
  </si>
  <si>
    <t>Percussione</t>
  </si>
  <si>
    <t>드러머</t>
  </si>
  <si>
    <t>鼓手</t>
  </si>
  <si>
    <t>Striker</t>
  </si>
  <si>
    <t>ストライカー</t>
  </si>
  <si>
    <t>Buteur</t>
  </si>
  <si>
    <t>Torschützen</t>
  </si>
  <si>
    <t>Delantero</t>
  </si>
  <si>
    <t>Cannoniere</t>
  </si>
  <si>
    <t>스트라이커</t>
  </si>
  <si>
    <t>前鋒</t>
  </si>
  <si>
    <t>Water Lizard</t>
  </si>
  <si>
    <t>みずとがげ</t>
  </si>
  <si>
    <t>Lézard'Eau</t>
  </si>
  <si>
    <t>Wasserechse</t>
  </si>
  <si>
    <t>Acuartija</t>
  </si>
  <si>
    <t>Acquacertola</t>
  </si>
  <si>
    <t>물도마뱀</t>
  </si>
  <si>
    <t>水蜥</t>
  </si>
  <si>
    <t>Secret Agent</t>
  </si>
  <si>
    <t>エージェント</t>
  </si>
  <si>
    <t>Agent Secret</t>
  </si>
  <si>
    <t>Geheimagenten</t>
  </si>
  <si>
    <t>Agente</t>
  </si>
  <si>
    <t>에이전트</t>
  </si>
  <si>
    <t>特工</t>
  </si>
  <si>
    <t>Cheeky</t>
  </si>
  <si>
    <t>ほおばり</t>
  </si>
  <si>
    <t>Joufflu</t>
  </si>
  <si>
    <t>Raffbacken</t>
  </si>
  <si>
    <t>Abazón</t>
  </si>
  <si>
    <t>Guancepiene</t>
  </si>
  <si>
    <t>볼가득</t>
  </si>
  <si>
    <t>貪吃</t>
  </si>
  <si>
    <t>Greedy</t>
  </si>
  <si>
    <t>よくばり</t>
  </si>
  <si>
    <t>Goulu</t>
  </si>
  <si>
    <t>Gierschlund</t>
  </si>
  <si>
    <t>Avaricia</t>
  </si>
  <si>
    <t>Ingordigia</t>
  </si>
  <si>
    <t>욕심쟁이</t>
  </si>
  <si>
    <t>貪慾</t>
  </si>
  <si>
    <t>Raven</t>
  </si>
  <si>
    <t>カラス</t>
  </si>
  <si>
    <t>Corbeau</t>
  </si>
  <si>
    <t>Krähe</t>
  </si>
  <si>
    <t>Cuervo</t>
  </si>
  <si>
    <t>Corvo</t>
  </si>
  <si>
    <t>까마귀</t>
  </si>
  <si>
    <t>烏鴉</t>
  </si>
  <si>
    <t>Radome</t>
  </si>
  <si>
    <t>レドーム</t>
  </si>
  <si>
    <t>Radôme</t>
  </si>
  <si>
    <t>Radarkuppel</t>
  </si>
  <si>
    <t>Radomo</t>
  </si>
  <si>
    <t>레이돔</t>
  </si>
  <si>
    <t>天線罩</t>
  </si>
  <si>
    <t>Seven Spot</t>
  </si>
  <si>
    <t>ななほし</t>
  </si>
  <si>
    <t>Sept Points</t>
  </si>
  <si>
    <t>Siebensterne</t>
  </si>
  <si>
    <t>Siete Puntos</t>
  </si>
  <si>
    <t>Settepunti</t>
  </si>
  <si>
    <t>칠성</t>
  </si>
  <si>
    <t>七星</t>
  </si>
  <si>
    <t>Cotton Bloom</t>
  </si>
  <si>
    <t>わたかざり</t>
  </si>
  <si>
    <t>Chef-Coton</t>
  </si>
  <si>
    <t>Baumwollzier</t>
  </si>
  <si>
    <t>Adornalgodón</t>
  </si>
  <si>
    <t>Cotofronzolo</t>
  </si>
  <si>
    <t>솜장식</t>
  </si>
  <si>
    <t>棉飾</t>
  </si>
  <si>
    <t>Sheep</t>
  </si>
  <si>
    <t>ひつじ</t>
  </si>
  <si>
    <t>Mouton</t>
  </si>
  <si>
    <t>Schaf</t>
  </si>
  <si>
    <t>Oveja</t>
  </si>
  <si>
    <t>Pecora</t>
  </si>
  <si>
    <t>양</t>
  </si>
  <si>
    <t>綿羊</t>
  </si>
  <si>
    <t>Snapping</t>
  </si>
  <si>
    <t>くりつき</t>
  </si>
  <si>
    <t>Mordillage</t>
  </si>
  <si>
    <t>Schnapp</t>
  </si>
  <si>
    <t>Mordedura</t>
  </si>
  <si>
    <t>Mordace</t>
  </si>
  <si>
    <t>물고늘어지기</t>
  </si>
  <si>
    <t>물어뜯기</t>
  </si>
  <si>
    <t>緊咬</t>
  </si>
  <si>
    <t>Dog</t>
  </si>
  <si>
    <t>いぬ</t>
  </si>
  <si>
    <t>Chien</t>
  </si>
  <si>
    <t>Perro</t>
  </si>
  <si>
    <t>Cane</t>
  </si>
  <si>
    <t>개</t>
  </si>
  <si>
    <t>狗</t>
  </si>
  <si>
    <t>Apple Core</t>
  </si>
  <si>
    <t>りんごぐらし</t>
  </si>
  <si>
    <t>Nid Pomme</t>
  </si>
  <si>
    <t>Apfelhaus</t>
  </si>
  <si>
    <t>Manzanido</t>
  </si>
  <si>
    <t>Pomicolo</t>
  </si>
  <si>
    <t>사과살이</t>
  </si>
  <si>
    <t>蘋果居</t>
  </si>
  <si>
    <t>Apple Wing</t>
  </si>
  <si>
    <t>りんごはね</t>
  </si>
  <si>
    <t>Ailes Pomme</t>
  </si>
  <si>
    <t>Apfelflügel</t>
  </si>
  <si>
    <t>Manzanala</t>
  </si>
  <si>
    <t>Pomivolo</t>
  </si>
  <si>
    <t>사과날개</t>
  </si>
  <si>
    <t>蘋果翅</t>
  </si>
  <si>
    <t>Apple Nectar</t>
  </si>
  <si>
    <t>りんごじる</t>
  </si>
  <si>
    <t>Jus Pomme</t>
  </si>
  <si>
    <t>Apfelnektar</t>
  </si>
  <si>
    <t>Manzanéctar</t>
  </si>
  <si>
    <t>Pomisucco</t>
  </si>
  <si>
    <t>사과즙</t>
  </si>
  <si>
    <t>蘋果汁</t>
  </si>
  <si>
    <t>Sand Snake</t>
  </si>
  <si>
    <t>すなへび</t>
  </si>
  <si>
    <t>Serpensable</t>
  </si>
  <si>
    <t>Sandschlangen</t>
  </si>
  <si>
    <t>Serp. Arena</t>
  </si>
  <si>
    <t>Sabbiaserpe</t>
  </si>
  <si>
    <t>沙蛇</t>
  </si>
  <si>
    <t>Gulp</t>
  </si>
  <si>
    <t>うのみ</t>
  </si>
  <si>
    <t>Avaltouron</t>
  </si>
  <si>
    <t>Schling</t>
  </si>
  <si>
    <t>Tragón</t>
  </si>
  <si>
    <t>Inghiottone</t>
  </si>
  <si>
    <t>그대로삼키기</t>
  </si>
  <si>
    <t>一口吞</t>
  </si>
  <si>
    <t>Rush</t>
  </si>
  <si>
    <t>とつげき</t>
  </si>
  <si>
    <t>Rempler</t>
  </si>
  <si>
    <t>Arremetida</t>
  </si>
  <si>
    <t>Carica</t>
  </si>
  <si>
    <t>돌격</t>
  </si>
  <si>
    <t>突擊</t>
  </si>
  <si>
    <t>Skewer</t>
  </si>
  <si>
    <t>くしざし</t>
  </si>
  <si>
    <t>Transperceur</t>
  </si>
  <si>
    <t>Spieß</t>
  </si>
  <si>
    <t>Ensarta</t>
  </si>
  <si>
    <t>Spiedo</t>
  </si>
  <si>
    <t>꼬치</t>
  </si>
  <si>
    <t>穿刺</t>
  </si>
  <si>
    <t>Baby</t>
  </si>
  <si>
    <t>あかご</t>
  </si>
  <si>
    <t>Poupon</t>
  </si>
  <si>
    <t>Retoño</t>
  </si>
  <si>
    <t>Bebè</t>
  </si>
  <si>
    <t>젖먹이</t>
  </si>
  <si>
    <t>嬰兒</t>
  </si>
  <si>
    <t>Punk</t>
  </si>
  <si>
    <t>パンク</t>
  </si>
  <si>
    <t>Punki</t>
  </si>
  <si>
    <t>펑크</t>
  </si>
  <si>
    <t>龐克</t>
  </si>
  <si>
    <t>Radiator</t>
  </si>
  <si>
    <t>はつねつ</t>
  </si>
  <si>
    <t>Calorifère</t>
  </si>
  <si>
    <t>Exotherm</t>
  </si>
  <si>
    <t>Termogeno</t>
  </si>
  <si>
    <t>발열</t>
  </si>
  <si>
    <t>發熱</t>
  </si>
  <si>
    <t>Tantrum</t>
  </si>
  <si>
    <t>だだっこ</t>
  </si>
  <si>
    <t>Caprice</t>
  </si>
  <si>
    <t>Balg</t>
  </si>
  <si>
    <t>Malcradio</t>
  </si>
  <si>
    <t>Bizze</t>
  </si>
  <si>
    <t>떼쟁이</t>
  </si>
  <si>
    <t>纏人</t>
  </si>
  <si>
    <t>Jujitsu</t>
  </si>
  <si>
    <t>じゅうじゅつ</t>
  </si>
  <si>
    <t>Jiu-jitsu</t>
  </si>
  <si>
    <t>유술</t>
  </si>
  <si>
    <t>柔術</t>
  </si>
  <si>
    <t>Black Tea</t>
  </si>
  <si>
    <t>こうちゃ</t>
  </si>
  <si>
    <t>Thé Noir</t>
  </si>
  <si>
    <t>Schwarztee</t>
  </si>
  <si>
    <t>Té</t>
  </si>
  <si>
    <t>Tè</t>
  </si>
  <si>
    <t>홍차</t>
  </si>
  <si>
    <t>紅茶</t>
  </si>
  <si>
    <t>Geruhsam</t>
  </si>
  <si>
    <t>寧靜</t>
  </si>
  <si>
    <t>Serence</t>
  </si>
  <si>
    <t>せいしゅく</t>
  </si>
  <si>
    <t>Serein</t>
  </si>
  <si>
    <t>Ruhe</t>
  </si>
  <si>
    <t>Serenidad</t>
  </si>
  <si>
    <t>Quiete</t>
  </si>
  <si>
    <t>정숙</t>
  </si>
  <si>
    <t>肅靜</t>
  </si>
  <si>
    <t>Silent</t>
  </si>
  <si>
    <t>せいじゃく</t>
  </si>
  <si>
    <t>Silencieux</t>
  </si>
  <si>
    <t>Stille</t>
  </si>
  <si>
    <t>Silencio</t>
  </si>
  <si>
    <t>Silenzio</t>
  </si>
  <si>
    <t>정적</t>
  </si>
  <si>
    <t>寂靜</t>
  </si>
  <si>
    <t>Muskelaufbau</t>
  </si>
  <si>
    <t>Voluminoso</t>
  </si>
  <si>
    <t>Blocking</t>
  </si>
  <si>
    <t>ていし</t>
  </si>
  <si>
    <t>Barrage</t>
  </si>
  <si>
    <t>Barrikaden</t>
  </si>
  <si>
    <t>Bloqueador</t>
  </si>
  <si>
    <t>Bloccaggio</t>
  </si>
  <si>
    <t>정지</t>
  </si>
  <si>
    <t>停止</t>
  </si>
  <si>
    <t>Viking</t>
  </si>
  <si>
    <t>バイキング</t>
  </si>
  <si>
    <t>Wikinger</t>
  </si>
  <si>
    <t>Vichingo</t>
  </si>
  <si>
    <t>바이킹</t>
  </si>
  <si>
    <t>維京</t>
  </si>
  <si>
    <t>Comedian</t>
  </si>
  <si>
    <t>コメヂィアン</t>
  </si>
  <si>
    <t>Comédien</t>
  </si>
  <si>
    <t>Komiker</t>
  </si>
  <si>
    <t>Cómico</t>
  </si>
  <si>
    <t>Comico</t>
  </si>
  <si>
    <t>코미디언</t>
  </si>
  <si>
    <t>喜劇演員</t>
  </si>
  <si>
    <t>Gram</t>
  </si>
  <si>
    <t>Resquemor</t>
  </si>
  <si>
    <t>Cream</t>
  </si>
  <si>
    <t>クリーム</t>
  </si>
  <si>
    <t>Crème</t>
  </si>
  <si>
    <t>Sahne</t>
  </si>
  <si>
    <t>Pannafresca</t>
  </si>
  <si>
    <t>크림</t>
  </si>
  <si>
    <t>鮮奶油</t>
  </si>
  <si>
    <t>Formation</t>
  </si>
  <si>
    <t>じんけい</t>
  </si>
  <si>
    <t>Escadron</t>
  </si>
  <si>
    <t>Formación</t>
  </si>
  <si>
    <t>Schieramento</t>
  </si>
  <si>
    <t>진형</t>
  </si>
  <si>
    <t>陣形</t>
  </si>
  <si>
    <t>Sea Urchin</t>
  </si>
  <si>
    <t>うに</t>
  </si>
  <si>
    <t>Oursin</t>
  </si>
  <si>
    <t>Seeigel</t>
  </si>
  <si>
    <t>Erizo de Mar</t>
  </si>
  <si>
    <t>Echino</t>
  </si>
  <si>
    <t>성게</t>
  </si>
  <si>
    <t>海膽</t>
  </si>
  <si>
    <t>Frost Moth</t>
  </si>
  <si>
    <t>こおりが</t>
  </si>
  <si>
    <t>Mite Givre</t>
  </si>
  <si>
    <t>Eismotten</t>
  </si>
  <si>
    <t>Polillahielo</t>
  </si>
  <si>
    <t>Gelofalena</t>
  </si>
  <si>
    <t>얼음나방</t>
  </si>
  <si>
    <t>冰蛾</t>
  </si>
  <si>
    <t>Big Rock</t>
  </si>
  <si>
    <t>きょせき</t>
  </si>
  <si>
    <t>Mégalithe</t>
  </si>
  <si>
    <t>Megalithen</t>
  </si>
  <si>
    <t>Megalito</t>
  </si>
  <si>
    <t>거석</t>
  </si>
  <si>
    <t>巨石</t>
  </si>
  <si>
    <t>Two-Sided</t>
  </si>
  <si>
    <t>にめん</t>
  </si>
  <si>
    <t>Volt Face</t>
  </si>
  <si>
    <t>Alter Ego</t>
  </si>
  <si>
    <t>Dos Caras</t>
  </si>
  <si>
    <t>Doppiafaccia</t>
  </si>
  <si>
    <t>양면</t>
  </si>
  <si>
    <t>雙面</t>
  </si>
  <si>
    <t>Copperderm</t>
  </si>
  <si>
    <t>どうぞう</t>
  </si>
  <si>
    <t>Pachycuivre</t>
  </si>
  <si>
    <t>Kuperfant</t>
  </si>
  <si>
    <t>Broncefante</t>
  </si>
  <si>
    <t>Bronzofante</t>
  </si>
  <si>
    <t>동상</t>
  </si>
  <si>
    <t>像銅</t>
  </si>
  <si>
    <t>Alloy</t>
  </si>
  <si>
    <t>ごうきん</t>
  </si>
  <si>
    <t>Alliage</t>
  </si>
  <si>
    <t>Legierungs</t>
  </si>
  <si>
    <t>Aleación</t>
  </si>
  <si>
    <t>Metallolega</t>
  </si>
  <si>
    <t>합금</t>
  </si>
  <si>
    <t>合金</t>
  </si>
  <si>
    <t>Lingering</t>
  </si>
  <si>
    <t>うらめし</t>
  </si>
  <si>
    <t>Âme Errante</t>
  </si>
  <si>
    <t>Missgunst</t>
  </si>
  <si>
    <t>Resentido</t>
  </si>
  <si>
    <t>Risentimento</t>
  </si>
  <si>
    <t>원망</t>
  </si>
  <si>
    <t>哀怨</t>
  </si>
  <si>
    <t>Caretaker</t>
  </si>
  <si>
    <t>せわやく</t>
  </si>
  <si>
    <t>Baby-sitter</t>
  </si>
  <si>
    <t>Betreuer</t>
  </si>
  <si>
    <t>Sostegno</t>
  </si>
  <si>
    <t>돌보미</t>
  </si>
  <si>
    <t>保姆</t>
  </si>
  <si>
    <t>Stealth</t>
  </si>
  <si>
    <t>ステルス</t>
  </si>
  <si>
    <t>Furtif</t>
  </si>
  <si>
    <t>Tarnkünstler</t>
  </si>
  <si>
    <t>Furtivo</t>
  </si>
  <si>
    <t>스텔스</t>
  </si>
  <si>
    <t>隱形</t>
  </si>
  <si>
    <t>Warrior</t>
  </si>
  <si>
    <t>つわもの</t>
  </si>
  <si>
    <t>Valeureux</t>
  </si>
  <si>
    <t>Krieger</t>
  </si>
  <si>
    <t>Guerrero</t>
  </si>
  <si>
    <t>Guerriero</t>
  </si>
  <si>
    <t>강자</t>
  </si>
  <si>
    <t>強者</t>
  </si>
  <si>
    <t>Gigantic</t>
  </si>
  <si>
    <t>キョダイ</t>
  </si>
  <si>
    <t>Giga</t>
  </si>
  <si>
    <t>Giganten</t>
  </si>
  <si>
    <t>Gigantesco</t>
  </si>
  <si>
    <t>Gigante</t>
  </si>
  <si>
    <t>超極巨</t>
  </si>
  <si>
    <t>Wushu</t>
  </si>
  <si>
    <t>けんぽう</t>
  </si>
  <si>
    <t>Kung-Fu</t>
  </si>
  <si>
    <t>Kung-fu</t>
  </si>
  <si>
    <t>Kung Fu</t>
  </si>
  <si>
    <t>권법</t>
  </si>
  <si>
    <t>拳法</t>
  </si>
  <si>
    <t>Rogue Monkey</t>
  </si>
  <si>
    <t>わるざる</t>
  </si>
  <si>
    <t>Vilain Singe</t>
  </si>
  <si>
    <t>Finsteraffen</t>
  </si>
  <si>
    <t>Simiestro</t>
  </si>
  <si>
    <t>Scimmialigna</t>
  </si>
  <si>
    <t>나쁜원숭이</t>
  </si>
  <si>
    <t>恶猿</t>
  </si>
  <si>
    <t>Electron</t>
  </si>
  <si>
    <t>エレクトロン</t>
  </si>
  <si>
    <t>Électron</t>
  </si>
  <si>
    <t>Elektronen</t>
  </si>
  <si>
    <t>Electrón</t>
  </si>
  <si>
    <t>Elettrone</t>
  </si>
  <si>
    <t>일렉트론</t>
  </si>
  <si>
    <t>电子</t>
  </si>
  <si>
    <t>Dragon Maw</t>
  </si>
  <si>
    <t>りゅうきょく</t>
  </si>
  <si>
    <t>Boule Dragon</t>
  </si>
  <si>
    <t>Drachenkugel</t>
  </si>
  <si>
    <t>Dragoesfera</t>
  </si>
  <si>
    <t>Dracosfera</t>
  </si>
  <si>
    <t>용옥</t>
  </si>
  <si>
    <t>龙玉</t>
  </si>
  <si>
    <t>Wild Horse</t>
  </si>
  <si>
    <t>あばれうま</t>
  </si>
  <si>
    <t>Cheval Rétif</t>
  </si>
  <si>
    <t>Wildblut</t>
  </si>
  <si>
    <t>Corcel Feroz</t>
  </si>
  <si>
    <t>Furiequino</t>
  </si>
  <si>
    <t>사나운말</t>
  </si>
  <si>
    <t>烈马</t>
  </si>
  <si>
    <t>Swift Horse</t>
  </si>
  <si>
    <t>しゅんば</t>
  </si>
  <si>
    <t>Cheval Vif</t>
  </si>
  <si>
    <t>Flinkblut</t>
  </si>
  <si>
    <t>Corcel Veloz</t>
  </si>
  <si>
    <t>Sveltequino</t>
  </si>
  <si>
    <t>빠른말</t>
  </si>
  <si>
    <t>骏马</t>
  </si>
  <si>
    <t>King</t>
  </si>
  <si>
    <t>キング</t>
  </si>
  <si>
    <t>Roi</t>
  </si>
  <si>
    <t>Königs</t>
  </si>
  <si>
    <t>Rey</t>
  </si>
  <si>
    <t>Re</t>
  </si>
  <si>
    <t>킹</t>
  </si>
  <si>
    <t>国王</t>
  </si>
  <si>
    <t>High King</t>
  </si>
  <si>
    <t>エンペラー</t>
  </si>
  <si>
    <t>엠페러</t>
  </si>
  <si>
    <t>帝皇</t>
  </si>
  <si>
    <t>Axe</t>
  </si>
  <si>
    <t>まさかり</t>
  </si>
  <si>
    <t>Hache</t>
  </si>
  <si>
    <t>Axt</t>
  </si>
  <si>
    <t>Hacha</t>
  </si>
  <si>
    <t>Scure</t>
  </si>
  <si>
    <t>큰도끼</t>
  </si>
  <si>
    <t>斧钺</t>
  </si>
  <si>
    <t>Peat</t>
  </si>
  <si>
    <t>でいたん</t>
  </si>
  <si>
    <t>Tourbe</t>
  </si>
  <si>
    <t>Torf</t>
  </si>
  <si>
    <t>Turba</t>
  </si>
  <si>
    <t>Torba</t>
  </si>
  <si>
    <t>피트</t>
  </si>
  <si>
    <t>泥炭</t>
  </si>
  <si>
    <t>Big Fish</t>
  </si>
  <si>
    <t>おおうお</t>
  </si>
  <si>
    <t>Poissigrand</t>
  </si>
  <si>
    <t>Großfisch</t>
  </si>
  <si>
    <t>Gran Pez</t>
  </si>
  <si>
    <t>Pescegrosso</t>
  </si>
  <si>
    <t>큰물고기</t>
  </si>
  <si>
    <t>大鱼</t>
  </si>
  <si>
    <t>Free Climb</t>
  </si>
  <si>
    <t>クライミング</t>
  </si>
  <si>
    <t>Grimpeur</t>
  </si>
  <si>
    <t>Kletterei</t>
  </si>
  <si>
    <t>Escalada</t>
  </si>
  <si>
    <t>Scalata</t>
  </si>
  <si>
    <t>클라이밍</t>
  </si>
  <si>
    <t>攀崖</t>
  </si>
  <si>
    <t>Pine Cluster</t>
  </si>
  <si>
    <t>けんざん</t>
  </si>
  <si>
    <t>Épineux</t>
  </si>
  <si>
    <t>Tausenddorn</t>
  </si>
  <si>
    <t>Espinoso</t>
  </si>
  <si>
    <t>Spinoso</t>
  </si>
  <si>
    <t>침붕</t>
  </si>
  <si>
    <t>剑山</t>
  </si>
  <si>
    <t>Love-Hate</t>
  </si>
  <si>
    <t>あいぞう</t>
  </si>
  <si>
    <t>Hainamour</t>
  </si>
  <si>
    <t>Hassliebe</t>
  </si>
  <si>
    <t>Amorodio</t>
  </si>
  <si>
    <t>Amoreodio</t>
  </si>
  <si>
    <t>애증</t>
  </si>
  <si>
    <t>爱憎</t>
  </si>
  <si>
    <t>Grass Cat</t>
  </si>
  <si>
    <t>くさねこ</t>
  </si>
  <si>
    <t>Chat Plante</t>
  </si>
  <si>
    <t>Florakatzen</t>
  </si>
  <si>
    <t>Gato Planta</t>
  </si>
  <si>
    <t>Erbagatto</t>
  </si>
  <si>
    <t>풀고양이</t>
  </si>
  <si>
    <t>草猫</t>
  </si>
  <si>
    <t>Magier</t>
  </si>
  <si>
    <t>Mago</t>
  </si>
  <si>
    <t>Illusionista</t>
  </si>
  <si>
    <t>Fire Croc</t>
  </si>
  <si>
    <t>ほのおワニ</t>
  </si>
  <si>
    <t>Croco Feu</t>
  </si>
  <si>
    <t>Feuerkroko</t>
  </si>
  <si>
    <t>Fuegodrilo</t>
  </si>
  <si>
    <t>Fucoodrillo</t>
  </si>
  <si>
    <t>불꽃악어</t>
  </si>
  <si>
    <t>火鱷</t>
  </si>
  <si>
    <t>Singer</t>
  </si>
  <si>
    <t>シンガー</t>
  </si>
  <si>
    <t>Chant</t>
  </si>
  <si>
    <t>Sänger</t>
  </si>
  <si>
    <t>Cantante</t>
  </si>
  <si>
    <t>싱어</t>
  </si>
  <si>
    <t>歌手</t>
  </si>
  <si>
    <t>Duckling</t>
  </si>
  <si>
    <t>こがも</t>
  </si>
  <si>
    <t>Caneton</t>
  </si>
  <si>
    <t>Jungenten</t>
  </si>
  <si>
    <t>Patito</t>
  </si>
  <si>
    <t>Anatroccolo</t>
  </si>
  <si>
    <t>꼬마오리</t>
  </si>
  <si>
    <t>小鴨</t>
  </si>
  <si>
    <t>Practicing</t>
  </si>
  <si>
    <t>レッスン</t>
  </si>
  <si>
    <t>Leçon</t>
  </si>
  <si>
    <t>Übungs</t>
  </si>
  <si>
    <t>Disciplinado</t>
  </si>
  <si>
    <t>Esercizio</t>
  </si>
  <si>
    <t>레슨</t>
  </si>
  <si>
    <t>习艺</t>
  </si>
  <si>
    <t>Danseur</t>
  </si>
  <si>
    <t>Bailarin</t>
  </si>
  <si>
    <t>Ballerino</t>
  </si>
  <si>
    <t>댄서</t>
  </si>
  <si>
    <t>Hog</t>
  </si>
  <si>
    <t>ぶた</t>
  </si>
  <si>
    <t>Pourceau</t>
  </si>
  <si>
    <t>Gorrino</t>
  </si>
  <si>
    <t>Porcellino</t>
  </si>
  <si>
    <t>돼지</t>
  </si>
  <si>
    <t>豬</t>
  </si>
  <si>
    <t>String Ball</t>
  </si>
  <si>
    <t>いとだま</t>
  </si>
  <si>
    <t>Boule de Fil</t>
  </si>
  <si>
    <t>Fadenkugel</t>
  </si>
  <si>
    <t>Ovillo</t>
  </si>
  <si>
    <t>Gomitolo</t>
  </si>
  <si>
    <t>실타래</t>
  </si>
  <si>
    <t>线球</t>
  </si>
  <si>
    <t>Grasshopper</t>
  </si>
  <si>
    <t>バッタ</t>
  </si>
  <si>
    <t>Sauterelle</t>
  </si>
  <si>
    <t>Heuschrecken</t>
  </si>
  <si>
    <t>Saltamontes</t>
  </si>
  <si>
    <t>Cavalletta</t>
  </si>
  <si>
    <t>메뚜기</t>
  </si>
  <si>
    <t>蝗虫</t>
  </si>
  <si>
    <t>Hands-On</t>
  </si>
  <si>
    <t>てあて</t>
  </si>
  <si>
    <t>Pose Paume</t>
  </si>
  <si>
    <t>Behandlungs</t>
  </si>
  <si>
    <t>Palmada</t>
  </si>
  <si>
    <t>Toccasana</t>
  </si>
  <si>
    <t>손길</t>
  </si>
  <si>
    <t>押掌</t>
  </si>
  <si>
    <t>Spiny Fish</t>
  </si>
  <si>
    <t>とげうお</t>
  </si>
  <si>
    <t>Poissépine</t>
  </si>
  <si>
    <t>Dornfisch</t>
  </si>
  <si>
    <t>Pez Púas</t>
  </si>
  <si>
    <t>Pescespine</t>
  </si>
  <si>
    <t>가시고기</t>
  </si>
  <si>
    <t>刺鱼</t>
  </si>
  <si>
    <t>Couple</t>
  </si>
  <si>
    <t>カップル</t>
  </si>
  <si>
    <t>Paar</t>
  </si>
  <si>
    <t>Pareja</t>
  </si>
  <si>
    <t>Coppia</t>
  </si>
  <si>
    <t>커플</t>
  </si>
  <si>
    <t>成对</t>
  </si>
  <si>
    <t>Family</t>
  </si>
  <si>
    <t>ファミリー</t>
  </si>
  <si>
    <t>Famille</t>
  </si>
  <si>
    <t>Familien</t>
  </si>
  <si>
    <t>Familia</t>
  </si>
  <si>
    <t>Famiglia</t>
  </si>
  <si>
    <t>패밀리</t>
  </si>
  <si>
    <t>家族</t>
  </si>
  <si>
    <t>Olive</t>
  </si>
  <si>
    <t>オリーブ</t>
  </si>
  <si>
    <t>Aceituna</t>
  </si>
  <si>
    <t>Oliva</t>
  </si>
  <si>
    <t>올리브</t>
  </si>
  <si>
    <t>橄欖</t>
  </si>
  <si>
    <t>Parrot</t>
  </si>
  <si>
    <t>インコ</t>
  </si>
  <si>
    <t>Perroquet</t>
  </si>
  <si>
    <t>Sittich</t>
  </si>
  <si>
    <t>Loro</t>
  </si>
  <si>
    <t>Pappagallo</t>
  </si>
  <si>
    <t>잉꼬</t>
  </si>
  <si>
    <t>鹦鹉</t>
  </si>
  <si>
    <t>Rock Salt</t>
  </si>
  <si>
    <t>がんえん</t>
  </si>
  <si>
    <t>Halite</t>
  </si>
  <si>
    <t>Steinsalz</t>
  </si>
  <si>
    <t>Halita</t>
  </si>
  <si>
    <t>Salgemma</t>
  </si>
  <si>
    <t>암염</t>
  </si>
  <si>
    <t>岩盐</t>
  </si>
  <si>
    <t>Rage Monkey</t>
  </si>
  <si>
    <t>ふんどざる</t>
  </si>
  <si>
    <t>Singe Furax</t>
  </si>
  <si>
    <t>Zornaffen</t>
  </si>
  <si>
    <t>Mono Furia</t>
  </si>
  <si>
    <t>Irascimmia</t>
  </si>
  <si>
    <t>분노숭이</t>
  </si>
  <si>
    <t>愤怒猴</t>
  </si>
  <si>
    <t>Fire Child</t>
  </si>
  <si>
    <t>ひのこ</t>
  </si>
  <si>
    <t>Enfant Feu</t>
  </si>
  <si>
    <t>Feuerkind</t>
  </si>
  <si>
    <t>Piroescudo</t>
  </si>
  <si>
    <t>Infantigneo</t>
  </si>
  <si>
    <t>불의아이</t>
  </si>
  <si>
    <t>小火星</t>
  </si>
  <si>
    <t>Fire Warrior</t>
  </si>
  <si>
    <t>ひのせんし</t>
  </si>
  <si>
    <t>Feu Guerrier</t>
  </si>
  <si>
    <t>Feuerrüstungs</t>
  </si>
  <si>
    <t>Piroguerrero</t>
  </si>
  <si>
    <t>Guerrigneo</t>
  </si>
  <si>
    <t>불의전사</t>
  </si>
  <si>
    <t>火战士</t>
  </si>
  <si>
    <t>Fire Blades</t>
  </si>
  <si>
    <t>ひのけんし</t>
  </si>
  <si>
    <t>Feu Bretteur</t>
  </si>
  <si>
    <t>Feuerklingen</t>
  </si>
  <si>
    <t>Piroespada</t>
  </si>
  <si>
    <t>Spadaccigneo</t>
  </si>
  <si>
    <t>불의검사</t>
  </si>
  <si>
    <t>火剑士</t>
  </si>
  <si>
    <t>EleTadpole</t>
  </si>
  <si>
    <t>Électêtard</t>
  </si>
  <si>
    <t>Stromquappen</t>
  </si>
  <si>
    <t>Electrocuajo</t>
  </si>
  <si>
    <t>Amperino</t>
  </si>
  <si>
    <t>전기올챙이</t>
  </si>
  <si>
    <t>EleFrog</t>
  </si>
  <si>
    <t>でんきがえる</t>
  </si>
  <si>
    <t>Élecrapaud</t>
  </si>
  <si>
    <t>Stromfrosch</t>
  </si>
  <si>
    <t>Electrorrana</t>
  </si>
  <si>
    <t>Amperana</t>
  </si>
  <si>
    <t>전기개구리</t>
  </si>
  <si>
    <t>电蛙</t>
  </si>
  <si>
    <t>Storm Petrel</t>
  </si>
  <si>
    <t>うみつばめ</t>
  </si>
  <si>
    <t>Océanite</t>
  </si>
  <si>
    <t>Sturmvogel</t>
  </si>
  <si>
    <t>Paíño</t>
  </si>
  <si>
    <t>Idrobatide</t>
  </si>
  <si>
    <t>바다제비</t>
  </si>
  <si>
    <t>海燕</t>
  </si>
  <si>
    <t>Frigatebird</t>
  </si>
  <si>
    <t>ぐんかんどり</t>
  </si>
  <si>
    <t>Frégate</t>
  </si>
  <si>
    <t>Fregattvogel</t>
  </si>
  <si>
    <t>Fregata</t>
  </si>
  <si>
    <t>군함조</t>
  </si>
  <si>
    <t>军舰鸟</t>
  </si>
  <si>
    <t>Rascal</t>
  </si>
  <si>
    <t>わかぞう</t>
  </si>
  <si>
    <t>Jeunot</t>
  </si>
  <si>
    <t>Halbstark</t>
  </si>
  <si>
    <t>Bisoño</t>
  </si>
  <si>
    <t>Rompicollo</t>
  </si>
  <si>
    <t>애송이</t>
  </si>
  <si>
    <t>小辈</t>
  </si>
  <si>
    <t>Boss</t>
  </si>
  <si>
    <t>おやぶん</t>
  </si>
  <si>
    <t>Parrain</t>
  </si>
  <si>
    <t>Oberhaupt</t>
  </si>
  <si>
    <t>Jefazo</t>
  </si>
  <si>
    <t>두목</t>
  </si>
  <si>
    <t>大佬</t>
  </si>
  <si>
    <t>Toxic Mouse</t>
  </si>
  <si>
    <t>どくねずみ</t>
  </si>
  <si>
    <t>Souris Venin</t>
  </si>
  <si>
    <t>Giftmaus</t>
  </si>
  <si>
    <t>Velentopo</t>
  </si>
  <si>
    <t>독쥐</t>
  </si>
  <si>
    <t>毒鼠</t>
  </si>
  <si>
    <t>Toxic Monkey</t>
  </si>
  <si>
    <t>どくざる</t>
  </si>
  <si>
    <t>Singe Venin</t>
  </si>
  <si>
    <t>Giftaffen</t>
  </si>
  <si>
    <t>Mono Veneno</t>
  </si>
  <si>
    <t>Velenprimate</t>
  </si>
  <si>
    <t>독원숭이</t>
  </si>
  <si>
    <t>毒猴</t>
  </si>
  <si>
    <t>Tumbleweed</t>
  </si>
  <si>
    <t>ころがりぐさ</t>
  </si>
  <si>
    <t>Virevoltant</t>
  </si>
  <si>
    <t>Rollgras</t>
  </si>
  <si>
    <t>Estepicursor</t>
  </si>
  <si>
    <t>Rotolerba</t>
  </si>
  <si>
    <t>회전초</t>
  </si>
  <si>
    <t>滚草</t>
  </si>
  <si>
    <t>Woodear</t>
  </si>
  <si>
    <t>きくらげ</t>
  </si>
  <si>
    <t>Champiméduse</t>
  </si>
  <si>
    <t>Quallenpilz</t>
  </si>
  <si>
    <t>Auricularia</t>
  </si>
  <si>
    <t>목이버섯</t>
  </si>
  <si>
    <t>木耳</t>
  </si>
  <si>
    <t>Ambush</t>
  </si>
  <si>
    <t>まちぶせ</t>
  </si>
  <si>
    <t>Embuscade</t>
  </si>
  <si>
    <t>Lauer</t>
  </si>
  <si>
    <t>Emboscada</t>
  </si>
  <si>
    <t>Agguato</t>
  </si>
  <si>
    <t>매복</t>
  </si>
  <si>
    <t>埋伏</t>
  </si>
  <si>
    <t>Spicy Pepper</t>
  </si>
  <si>
    <t>ハバネロ</t>
  </si>
  <si>
    <t>Habanero</t>
  </si>
  <si>
    <t>하바네로</t>
  </si>
  <si>
    <t>热辣</t>
  </si>
  <si>
    <t>Rolling</t>
  </si>
  <si>
    <t>ころがし</t>
  </si>
  <si>
    <t>Rouleur</t>
  </si>
  <si>
    <t>Wälz</t>
  </si>
  <si>
    <t>Pelotero</t>
  </si>
  <si>
    <t>Rotolatore</t>
  </si>
  <si>
    <t>굴리기</t>
  </si>
  <si>
    <t>滚动</t>
  </si>
  <si>
    <t>Frill</t>
  </si>
  <si>
    <t>フリル</t>
  </si>
  <si>
    <t>Froufrou</t>
  </si>
  <si>
    <t>Rüschen</t>
  </si>
  <si>
    <t>Volantes</t>
  </si>
  <si>
    <t>Volant</t>
  </si>
  <si>
    <t>프릴</t>
  </si>
  <si>
    <t>褶边</t>
  </si>
  <si>
    <t>Ostrich</t>
  </si>
  <si>
    <t>ダチョウ</t>
  </si>
  <si>
    <t>Autruche</t>
  </si>
  <si>
    <t>Strauß</t>
  </si>
  <si>
    <t>Avestruz</t>
  </si>
  <si>
    <t>Struzzo</t>
  </si>
  <si>
    <t>타조</t>
  </si>
  <si>
    <t>鸵鸟</t>
  </si>
  <si>
    <t>Metalsmith</t>
  </si>
  <si>
    <t>かなうち</t>
  </si>
  <si>
    <t>Forge</t>
  </si>
  <si>
    <t>Schmied</t>
  </si>
  <si>
    <t>Forga</t>
  </si>
  <si>
    <t>Forgiatore</t>
  </si>
  <si>
    <t>대장장이</t>
  </si>
  <si>
    <t>锤炼</t>
  </si>
  <si>
    <t>Hammer</t>
  </si>
  <si>
    <t>ハンマー</t>
  </si>
  <si>
    <t>Marteau</t>
  </si>
  <si>
    <t>Martillo</t>
  </si>
  <si>
    <t>Martello</t>
  </si>
  <si>
    <t>해머</t>
  </si>
  <si>
    <t>锤子</t>
  </si>
  <si>
    <t>Garden Eel</t>
  </si>
  <si>
    <t>あなご</t>
  </si>
  <si>
    <t>Congre</t>
  </si>
  <si>
    <t>Meeraal</t>
  </si>
  <si>
    <t>Cóngrido</t>
  </si>
  <si>
    <t>Grongo</t>
  </si>
  <si>
    <t>정원장어</t>
  </si>
  <si>
    <t>糯鳗</t>
  </si>
  <si>
    <t>Item Drop</t>
  </si>
  <si>
    <t>あとしもの</t>
  </si>
  <si>
    <t>Délesteur</t>
  </si>
  <si>
    <t>Abwurf</t>
  </si>
  <si>
    <t>Arrojador</t>
  </si>
  <si>
    <t>Gettaoggetti</t>
  </si>
  <si>
    <t>낙하물</t>
  </si>
  <si>
    <t>掉东西</t>
  </si>
  <si>
    <t>Dolphin</t>
  </si>
  <si>
    <t>イルカ</t>
  </si>
  <si>
    <t>Dauphin</t>
  </si>
  <si>
    <t>Delfin</t>
  </si>
  <si>
    <t>Delfín</t>
  </si>
  <si>
    <t>Delfino</t>
  </si>
  <si>
    <t>돌고래</t>
  </si>
  <si>
    <t>海豚</t>
  </si>
  <si>
    <t>Hero</t>
  </si>
  <si>
    <t>ヒーロー</t>
  </si>
  <si>
    <t>Super Héros</t>
  </si>
  <si>
    <t>Superheld</t>
  </si>
  <si>
    <t>Héroe</t>
  </si>
  <si>
    <t>Eroe</t>
  </si>
  <si>
    <t>히어로</t>
  </si>
  <si>
    <t>英雄</t>
  </si>
  <si>
    <t>Single-Cyl</t>
  </si>
  <si>
    <t>たんきとう</t>
  </si>
  <si>
    <t>Monocylindre</t>
  </si>
  <si>
    <t>Einzylinder</t>
  </si>
  <si>
    <t>Monocilindro</t>
  </si>
  <si>
    <t>단기통</t>
  </si>
  <si>
    <t>单汽缸</t>
  </si>
  <si>
    <t>Multi-Cyl</t>
  </si>
  <si>
    <t>たきとう</t>
  </si>
  <si>
    <t>Polycylindre</t>
  </si>
  <si>
    <t>Mehrzylinder</t>
  </si>
  <si>
    <t>Policilindro</t>
  </si>
  <si>
    <t>다기통</t>
  </si>
  <si>
    <t>多汽缸</t>
  </si>
  <si>
    <t>Earthworm</t>
  </si>
  <si>
    <t>ミミズ</t>
  </si>
  <si>
    <t>Ver de Terre</t>
  </si>
  <si>
    <t>Regenwurm</t>
  </si>
  <si>
    <t>Lombriz</t>
  </si>
  <si>
    <t>Lombrico</t>
  </si>
  <si>
    <t>지렁이</t>
  </si>
  <si>
    <t>蚯蚓</t>
  </si>
  <si>
    <t>Ghost Dog</t>
  </si>
  <si>
    <t>おばけいぬ</t>
  </si>
  <si>
    <t>Fantôchien</t>
  </si>
  <si>
    <t>Geisterhund</t>
  </si>
  <si>
    <t>Can Fantasma</t>
  </si>
  <si>
    <t>Cantasma</t>
  </si>
  <si>
    <t>유령개</t>
  </si>
  <si>
    <t>鬼犬</t>
  </si>
  <si>
    <t>Terra Whale</t>
  </si>
  <si>
    <t>りくくじら</t>
  </si>
  <si>
    <t>Baleinapied</t>
  </si>
  <si>
    <t>Landwal</t>
  </si>
  <si>
    <t>Geoballena</t>
  </si>
  <si>
    <t>Balenottera</t>
  </si>
  <si>
    <t>육지고래</t>
  </si>
  <si>
    <t>陸鯨</t>
  </si>
  <si>
    <t>Big Blade</t>
  </si>
  <si>
    <t>だいとう</t>
  </si>
  <si>
    <t>Pourfendant</t>
  </si>
  <si>
    <t>Langschwert</t>
  </si>
  <si>
    <t>Gran Espada</t>
  </si>
  <si>
    <t>Granspada</t>
  </si>
  <si>
    <t>대도</t>
  </si>
  <si>
    <t>大刀</t>
  </si>
  <si>
    <t>Jettison</t>
  </si>
  <si>
    <t>きりはなし</t>
  </si>
  <si>
    <t>Décharné</t>
  </si>
  <si>
    <t>Abtrennungs</t>
  </si>
  <si>
    <t>Sueltalastre</t>
  </si>
  <si>
    <t>Separazione</t>
  </si>
  <si>
    <t>분리</t>
  </si>
  <si>
    <t>卸除</t>
  </si>
  <si>
    <t>Big Catfish</t>
  </si>
  <si>
    <t>おおなまず</t>
  </si>
  <si>
    <t>Grand Silure</t>
  </si>
  <si>
    <t>Großwels</t>
  </si>
  <si>
    <t>Gran Siluro</t>
  </si>
  <si>
    <t>Pescegattone</t>
  </si>
  <si>
    <t>큰메기</t>
  </si>
  <si>
    <t>大鲶</t>
  </si>
  <si>
    <t>Mimetico</t>
  </si>
  <si>
    <t>Paradox</t>
  </si>
  <si>
    <t>パラドックス</t>
  </si>
  <si>
    <t>Paradoja</t>
  </si>
  <si>
    <t>Paradosso</t>
  </si>
  <si>
    <t>패러독스</t>
  </si>
  <si>
    <t>悖谬</t>
  </si>
  <si>
    <t>Ice Fin</t>
  </si>
  <si>
    <t>こおりビレ</t>
  </si>
  <si>
    <t>Glaçaileron</t>
  </si>
  <si>
    <t>Eisfinnen</t>
  </si>
  <si>
    <t>Aleta Hielo</t>
  </si>
  <si>
    <t>Gelopinna</t>
  </si>
  <si>
    <t>얼음지느러미</t>
  </si>
  <si>
    <t>冰鳍</t>
  </si>
  <si>
    <t>Ice Dragon</t>
  </si>
  <si>
    <t>ひょうりゅう</t>
  </si>
  <si>
    <t>Dragon Glace</t>
  </si>
  <si>
    <t>Eisdrachen</t>
  </si>
  <si>
    <t>Gelodrago</t>
  </si>
  <si>
    <t>빙룡</t>
  </si>
  <si>
    <t>冰龙</t>
  </si>
  <si>
    <t>Coin Chest</t>
  </si>
  <si>
    <t>たからばこ</t>
  </si>
  <si>
    <t>Coffrotrésor</t>
  </si>
  <si>
    <t>Schatztruhen</t>
  </si>
  <si>
    <t>Cofre</t>
  </si>
  <si>
    <t>Scrigno</t>
  </si>
  <si>
    <t>보물상자</t>
  </si>
  <si>
    <t>宝箱</t>
  </si>
  <si>
    <t>Coin Hunter</t>
  </si>
  <si>
    <t>たからさがし</t>
  </si>
  <si>
    <t>Chassotrésor</t>
  </si>
  <si>
    <t>Schatzsucher</t>
  </si>
  <si>
    <t>Cazatesoros</t>
  </si>
  <si>
    <t>Trovatesori</t>
  </si>
  <si>
    <t>寻宝</t>
  </si>
  <si>
    <t>Coin Entity</t>
  </si>
  <si>
    <t>たからもの</t>
  </si>
  <si>
    <t>Trésor Animé</t>
  </si>
  <si>
    <t>Schatzwesen</t>
  </si>
  <si>
    <t>Tesoro</t>
  </si>
  <si>
    <t>보물생명체</t>
  </si>
  <si>
    <t>宝者</t>
  </si>
  <si>
    <t>Ruinous</t>
  </si>
  <si>
    <t>さいやく</t>
  </si>
  <si>
    <t>Fléau</t>
  </si>
  <si>
    <t>Unheils</t>
  </si>
  <si>
    <t>Debacle</t>
  </si>
  <si>
    <t>Disgrazia</t>
  </si>
  <si>
    <t>재액</t>
  </si>
  <si>
    <t>灾厄</t>
  </si>
  <si>
    <t>Candy Apple</t>
  </si>
  <si>
    <t>りんごあめ</t>
  </si>
  <si>
    <t>Sirop Pomme</t>
  </si>
  <si>
    <t>Apfelsirup</t>
  </si>
  <si>
    <t>Manzamelo</t>
  </si>
  <si>
    <t>Pomelassa</t>
  </si>
  <si>
    <t>사과사탕</t>
  </si>
  <si>
    <t>糖苹果</t>
  </si>
  <si>
    <t>Matcha</t>
  </si>
  <si>
    <t>まっちゃ</t>
  </si>
  <si>
    <t>말차</t>
  </si>
  <si>
    <t>抹茶</t>
  </si>
  <si>
    <t>Retainer</t>
  </si>
  <si>
    <t>けらい</t>
  </si>
  <si>
    <t>Serviteur</t>
  </si>
  <si>
    <t>Lakaien</t>
  </si>
  <si>
    <t>Esbirro</t>
  </si>
  <si>
    <t>Servo</t>
  </si>
  <si>
    <t>수하</t>
  </si>
  <si>
    <t>随从</t>
  </si>
  <si>
    <t>Mask</t>
  </si>
  <si>
    <t>おめん</t>
  </si>
  <si>
    <t>Masque</t>
  </si>
  <si>
    <t>Máscara</t>
  </si>
  <si>
    <t>Maschera</t>
  </si>
  <si>
    <t>가면</t>
  </si>
  <si>
    <t>面具</t>
  </si>
  <si>
    <t>Apple Hydra</t>
  </si>
  <si>
    <t>りんごオロチ</t>
  </si>
  <si>
    <t>Hydre Pomme</t>
  </si>
  <si>
    <t>Apfelhydra</t>
  </si>
  <si>
    <t>Manzanhidra</t>
  </si>
  <si>
    <t>Pomidra</t>
  </si>
  <si>
    <t>사과이무기</t>
  </si>
  <si>
    <t>糖青苹果</t>
  </si>
  <si>
    <t>Tera</t>
  </si>
  <si>
    <t>テラスタル</t>
  </si>
  <si>
    <t>Téracristal</t>
  </si>
  <si>
    <t>Terakristall</t>
  </si>
  <si>
    <t>Teracristal</t>
  </si>
  <si>
    <t>테라스탈포</t>
  </si>
  <si>
    <t>太晶</t>
  </si>
  <si>
    <t>Subjugation</t>
  </si>
  <si>
    <t>しはい</t>
  </si>
  <si>
    <t>Emprise</t>
  </si>
  <si>
    <t>Knechtungs</t>
  </si>
  <si>
    <t>Controlador</t>
  </si>
  <si>
    <t>Dominio</t>
  </si>
  <si>
    <t>지배</t>
  </si>
  <si>
    <t>支配</t>
  </si>
  <si>
    <t>Normal</t>
  </si>
  <si>
    <t>ノーマル</t>
  </si>
  <si>
    <t>노말</t>
  </si>
  <si>
    <t>一般</t>
  </si>
  <si>
    <t>Fighting</t>
  </si>
  <si>
    <t>かくとう</t>
  </si>
  <si>
    <t>Combat</t>
  </si>
  <si>
    <t>Kampf</t>
  </si>
  <si>
    <t>Lucha</t>
  </si>
  <si>
    <t>Lotta</t>
  </si>
  <si>
    <t>격투</t>
  </si>
  <si>
    <t>格斗</t>
  </si>
  <si>
    <t>Flying</t>
  </si>
  <si>
    <t>ひこう</t>
  </si>
  <si>
    <t>Vol</t>
  </si>
  <si>
    <t>Flug</t>
  </si>
  <si>
    <t>Volador</t>
  </si>
  <si>
    <t>Volante</t>
  </si>
  <si>
    <t>비행</t>
  </si>
  <si>
    <t>飞行</t>
  </si>
  <si>
    <t>Poison</t>
  </si>
  <si>
    <t>どく</t>
  </si>
  <si>
    <t>Gift</t>
  </si>
  <si>
    <t>Veneno</t>
  </si>
  <si>
    <t>Veleno</t>
  </si>
  <si>
    <t>독</t>
  </si>
  <si>
    <t>毒</t>
  </si>
  <si>
    <t>Ground</t>
  </si>
  <si>
    <t>じめん</t>
  </si>
  <si>
    <t>Boden</t>
  </si>
  <si>
    <t>Tierra</t>
  </si>
  <si>
    <t>Terra</t>
  </si>
  <si>
    <t>땅</t>
  </si>
  <si>
    <t>地面</t>
  </si>
  <si>
    <t>Rock</t>
  </si>
  <si>
    <t>いわ</t>
  </si>
  <si>
    <t>Roche</t>
  </si>
  <si>
    <t>Gestein</t>
  </si>
  <si>
    <t>Roca</t>
  </si>
  <si>
    <t>Roccia</t>
  </si>
  <si>
    <t>바위</t>
  </si>
  <si>
    <t>岩石</t>
  </si>
  <si>
    <t>Bug</t>
  </si>
  <si>
    <t>むし</t>
  </si>
  <si>
    <t>Insecte</t>
  </si>
  <si>
    <t>Käfer</t>
  </si>
  <si>
    <t>Bicho</t>
  </si>
  <si>
    <t>Coleottero</t>
  </si>
  <si>
    <t>벌레</t>
  </si>
  <si>
    <t>虫</t>
  </si>
  <si>
    <t>Ghost</t>
  </si>
  <si>
    <t>Spectre</t>
  </si>
  <si>
    <t>Geist</t>
  </si>
  <si>
    <t>Fantasma</t>
  </si>
  <si>
    <t>Spettro</t>
  </si>
  <si>
    <t>고스트</t>
  </si>
  <si>
    <t>幽灵</t>
  </si>
  <si>
    <t>Steel</t>
  </si>
  <si>
    <t>はがね</t>
  </si>
  <si>
    <t>Acier</t>
  </si>
  <si>
    <t>Stahl</t>
  </si>
  <si>
    <t>Acero</t>
  </si>
  <si>
    <t>Acciaio</t>
  </si>
  <si>
    <t>강철</t>
  </si>
  <si>
    <t>钢</t>
  </si>
  <si>
    <t>Fire</t>
  </si>
  <si>
    <t>Feu</t>
  </si>
  <si>
    <t>Feuer</t>
  </si>
  <si>
    <t>Fuego</t>
  </si>
  <si>
    <t>Fuoco</t>
  </si>
  <si>
    <t>Water</t>
  </si>
  <si>
    <t>みず</t>
  </si>
  <si>
    <t>Eau</t>
  </si>
  <si>
    <t>Wasser</t>
  </si>
  <si>
    <t>Agua</t>
  </si>
  <si>
    <t>Acqua</t>
  </si>
  <si>
    <t>물</t>
  </si>
  <si>
    <t>水</t>
  </si>
  <si>
    <t>Grass</t>
  </si>
  <si>
    <t>くさ</t>
  </si>
  <si>
    <t>Plante</t>
  </si>
  <si>
    <t>Pflanze</t>
  </si>
  <si>
    <t>Planta</t>
  </si>
  <si>
    <t>Erba</t>
  </si>
  <si>
    <t>풀</t>
  </si>
  <si>
    <t>草</t>
  </si>
  <si>
    <t>Electric</t>
  </si>
  <si>
    <t>でんき</t>
  </si>
  <si>
    <t>Électrik</t>
  </si>
  <si>
    <t>Eléctrico</t>
  </si>
  <si>
    <t>Elettro</t>
  </si>
  <si>
    <t>전기</t>
  </si>
  <si>
    <t>电</t>
  </si>
  <si>
    <t>Psychic</t>
  </si>
  <si>
    <t>エスパー</t>
  </si>
  <si>
    <t>Psyscho</t>
  </si>
  <si>
    <t>Psíquico</t>
  </si>
  <si>
    <t>에스퍼</t>
  </si>
  <si>
    <t>超能力</t>
  </si>
  <si>
    <t>Ice</t>
  </si>
  <si>
    <t>こおり</t>
  </si>
  <si>
    <t>Glace</t>
  </si>
  <si>
    <t>Hielo</t>
  </si>
  <si>
    <t>Ghiaccio</t>
  </si>
  <si>
    <t>얼음</t>
  </si>
  <si>
    <t>冰</t>
  </si>
  <si>
    <t>Dragon</t>
  </si>
  <si>
    <t>ドラゴン</t>
  </si>
  <si>
    <t>Drache</t>
  </si>
  <si>
    <t>Dragón</t>
  </si>
  <si>
    <t>Drago</t>
  </si>
  <si>
    <t>드개곤</t>
  </si>
  <si>
    <t>龙</t>
  </si>
  <si>
    <t>あく</t>
  </si>
  <si>
    <t>Ténèbres</t>
  </si>
  <si>
    <t>Unlicht</t>
  </si>
  <si>
    <t>악</t>
  </si>
  <si>
    <t>恶</t>
  </si>
  <si>
    <t>Fairy</t>
  </si>
  <si>
    <t>フェアリ</t>
  </si>
  <si>
    <t>Fée</t>
  </si>
  <si>
    <t>Fee</t>
  </si>
  <si>
    <t>Hada</t>
  </si>
  <si>
    <t>Folletto</t>
  </si>
  <si>
    <t>페어리</t>
  </si>
  <si>
    <t>妖精</t>
  </si>
  <si>
    <t>Stellar</t>
  </si>
  <si>
    <t>ステラ</t>
  </si>
  <si>
    <t>Stellaire</t>
  </si>
  <si>
    <t>Astral</t>
  </si>
  <si>
    <t>스텔라</t>
  </si>
  <si>
    <t>星晶</t>
  </si>
  <si>
    <t>Pound</t>
  </si>
  <si>
    <t>はたく</t>
  </si>
  <si>
    <t>Écras'Face</t>
  </si>
  <si>
    <t>Klaps</t>
  </si>
  <si>
    <t>Destructor</t>
  </si>
  <si>
    <t>Botta</t>
  </si>
  <si>
    <t>막치기</t>
  </si>
  <si>
    <t>拍擊</t>
  </si>
  <si>
    <t>Karate Chop</t>
  </si>
  <si>
    <t>からてチョップ</t>
  </si>
  <si>
    <t>Poing Karaté</t>
  </si>
  <si>
    <t>Karateschlag</t>
  </si>
  <si>
    <t>Golpe Kárate</t>
  </si>
  <si>
    <t>Colpo Karate</t>
  </si>
  <si>
    <t>태권당수</t>
  </si>
  <si>
    <t>空手劈</t>
  </si>
  <si>
    <t>Double Slap</t>
  </si>
  <si>
    <t>おうふくビンタ</t>
  </si>
  <si>
    <t>Torgnoles</t>
  </si>
  <si>
    <t>Duplexhieb</t>
  </si>
  <si>
    <t>Doble Bofetón</t>
  </si>
  <si>
    <t>Doppiasberla</t>
  </si>
  <si>
    <t>연속뺨치기</t>
  </si>
  <si>
    <t>連環巴掌</t>
  </si>
  <si>
    <t>Comet Punch</t>
  </si>
  <si>
    <t>れんぞくパンチ</t>
  </si>
  <si>
    <t>Poing Comète</t>
  </si>
  <si>
    <t>Kometenhieb</t>
  </si>
  <si>
    <t>Puño Cometa</t>
  </si>
  <si>
    <t>Cometapugno</t>
  </si>
  <si>
    <t>연속펀치</t>
  </si>
  <si>
    <t>連續拳</t>
  </si>
  <si>
    <t>Mega Punch</t>
  </si>
  <si>
    <t>メガトンパンチ</t>
  </si>
  <si>
    <t>Ultimapoing</t>
  </si>
  <si>
    <t>Megahieb</t>
  </si>
  <si>
    <t>Megapuño</t>
  </si>
  <si>
    <t>Megapugno</t>
  </si>
  <si>
    <t>메가톤펀치</t>
  </si>
  <si>
    <t>百萬噸重拳</t>
  </si>
  <si>
    <t>Pay Day</t>
  </si>
  <si>
    <t>ネコにこばん</t>
  </si>
  <si>
    <t>Jackpot</t>
  </si>
  <si>
    <t>Zahltag</t>
  </si>
  <si>
    <t>Día de Pago</t>
  </si>
  <si>
    <t>Giornopaga</t>
  </si>
  <si>
    <t>고양이돈받기</t>
  </si>
  <si>
    <t>聚寶功</t>
  </si>
  <si>
    <t>Fire Punch</t>
  </si>
  <si>
    <t>ほのおのパンチ</t>
  </si>
  <si>
    <t>Poing Feu</t>
  </si>
  <si>
    <t>Feuerschlag</t>
  </si>
  <si>
    <t>Puño Fuego</t>
  </si>
  <si>
    <t>Fuocopugno</t>
  </si>
  <si>
    <t>불꽃펀치</t>
  </si>
  <si>
    <t>火焰拳</t>
  </si>
  <si>
    <t>Ice Punch</t>
  </si>
  <si>
    <t>らいとうパンチ</t>
  </si>
  <si>
    <t>Poing Glace</t>
  </si>
  <si>
    <t>Eishieb</t>
  </si>
  <si>
    <t>Puño Hielo</t>
  </si>
  <si>
    <t>Gelopugno</t>
  </si>
  <si>
    <t>냉동펀치</t>
  </si>
  <si>
    <t>冰凍拳</t>
  </si>
  <si>
    <t>Thunder Punch</t>
  </si>
  <si>
    <t>かみなりパンチ</t>
  </si>
  <si>
    <t>Poing Éclair</t>
  </si>
  <si>
    <t>Donnerschlag</t>
  </si>
  <si>
    <t>Puño Trueno</t>
  </si>
  <si>
    <t>Tuonopugno</t>
  </si>
  <si>
    <t>번개펀치</t>
  </si>
  <si>
    <t>雷電拳</t>
  </si>
  <si>
    <t>Scratch</t>
  </si>
  <si>
    <t>ひっかく</t>
  </si>
  <si>
    <t>Griffe</t>
  </si>
  <si>
    <t>Kratzer</t>
  </si>
  <si>
    <t>Arañazo</t>
  </si>
  <si>
    <t>Graffio</t>
  </si>
  <si>
    <t>할퀴기</t>
  </si>
  <si>
    <t>抓</t>
  </si>
  <si>
    <t>Vise Grip</t>
  </si>
  <si>
    <t>はさむ</t>
  </si>
  <si>
    <t>Force Poigne</t>
  </si>
  <si>
    <t>Klammer</t>
  </si>
  <si>
    <t>Agarre</t>
  </si>
  <si>
    <t>Presa</t>
  </si>
  <si>
    <t>찝기</t>
  </si>
  <si>
    <t>夾住</t>
  </si>
  <si>
    <t>Guillotine</t>
  </si>
  <si>
    <t>はさみギロチン</t>
  </si>
  <si>
    <t>Guillotina</t>
  </si>
  <si>
    <t>Ghigliottina</t>
  </si>
  <si>
    <t>가위자르기</t>
  </si>
  <si>
    <t>斷頭鉗</t>
  </si>
  <si>
    <t>极落钳</t>
  </si>
  <si>
    <t>Razor Wind</t>
  </si>
  <si>
    <t>かまいたち</t>
  </si>
  <si>
    <t>Coupe-Vent</t>
  </si>
  <si>
    <t>Klingensturm</t>
  </si>
  <si>
    <t>Viento Cortante</t>
  </si>
  <si>
    <t>Ventagliente</t>
  </si>
  <si>
    <t>칼바람</t>
  </si>
  <si>
    <t>旋風刀</t>
  </si>
  <si>
    <t>Swords Dance</t>
  </si>
  <si>
    <t>つるぎのまい</t>
  </si>
  <si>
    <t>Danse-Lames</t>
  </si>
  <si>
    <t>Schwerttanz</t>
  </si>
  <si>
    <t>Danza Espada</t>
  </si>
  <si>
    <t>칼춤</t>
  </si>
  <si>
    <t>劍舞</t>
  </si>
  <si>
    <t>Cut</t>
  </si>
  <si>
    <t>いあいぎり</t>
  </si>
  <si>
    <t>Coupe</t>
  </si>
  <si>
    <t>Zerschneider</t>
  </si>
  <si>
    <t>Corte</t>
  </si>
  <si>
    <t>Taglio</t>
  </si>
  <si>
    <t>풀베기</t>
  </si>
  <si>
    <t>居合斬</t>
  </si>
  <si>
    <t>居合劈</t>
  </si>
  <si>
    <t>Gust</t>
  </si>
  <si>
    <t>かざおこし</t>
  </si>
  <si>
    <t>Windstoß</t>
  </si>
  <si>
    <t>Tornado</t>
  </si>
  <si>
    <t>Raffica</t>
  </si>
  <si>
    <t>바람일으키기</t>
  </si>
  <si>
    <t>起風</t>
  </si>
  <si>
    <t>Wing Attack</t>
  </si>
  <si>
    <t>つばさでうつ</t>
  </si>
  <si>
    <t>Cru-Ailes</t>
  </si>
  <si>
    <t>Flügelschlag</t>
  </si>
  <si>
    <t>Ataque Ala</t>
  </si>
  <si>
    <t>Attacco d'Ala</t>
  </si>
  <si>
    <t>날개치기</t>
  </si>
  <si>
    <t>翅膀攻擊</t>
  </si>
  <si>
    <t>Whirlwind</t>
  </si>
  <si>
    <t>ふきとばし</t>
  </si>
  <si>
    <t>Wirbelwind</t>
  </si>
  <si>
    <t>Remolino</t>
  </si>
  <si>
    <t>Turbine</t>
  </si>
  <si>
    <t>날려버리기</t>
  </si>
  <si>
    <t>吹飛</t>
  </si>
  <si>
    <t>Fly</t>
  </si>
  <si>
    <t>そらをとぶ</t>
  </si>
  <si>
    <t>Fliegen</t>
  </si>
  <si>
    <t>Vuelo</t>
  </si>
  <si>
    <t>Volo</t>
  </si>
  <si>
    <t>공중날기</t>
  </si>
  <si>
    <t>飛翔</t>
  </si>
  <si>
    <t>Bind</t>
  </si>
  <si>
    <t>しみつける</t>
  </si>
  <si>
    <t>Klammergriff</t>
  </si>
  <si>
    <t>Atadura</t>
  </si>
  <si>
    <t>Legatutto</t>
  </si>
  <si>
    <t>조이기</t>
  </si>
  <si>
    <t>綁緊</t>
  </si>
  <si>
    <t>Slam</t>
  </si>
  <si>
    <t>たたけつける</t>
  </si>
  <si>
    <t>Souplesse</t>
  </si>
  <si>
    <t>Atizar</t>
  </si>
  <si>
    <t>Schianto</t>
  </si>
  <si>
    <t>힘껏치기</t>
  </si>
  <si>
    <t>摔打</t>
  </si>
  <si>
    <t>Vine Whip</t>
  </si>
  <si>
    <t>つるのむち</t>
  </si>
  <si>
    <t>Fouet Lianes</t>
  </si>
  <si>
    <t>Rankenhieb</t>
  </si>
  <si>
    <t>Látigo Cepa</t>
  </si>
  <si>
    <t>Frustata</t>
  </si>
  <si>
    <t>덩굴채찍</t>
  </si>
  <si>
    <t>藤鞭</t>
  </si>
  <si>
    <t>Stomp</t>
  </si>
  <si>
    <t>ふみつけ</t>
  </si>
  <si>
    <t>Écrasement</t>
  </si>
  <si>
    <t>Stampfer</t>
  </si>
  <si>
    <t>Pisotón</t>
  </si>
  <si>
    <t>Pestone</t>
  </si>
  <si>
    <t>짓밟기</t>
  </si>
  <si>
    <t>Double Kick</t>
  </si>
  <si>
    <t>にどげり</t>
  </si>
  <si>
    <t>Double Pied</t>
  </si>
  <si>
    <t>Doppelkick</t>
  </si>
  <si>
    <t>Doble Patada</t>
  </si>
  <si>
    <t>Doppiocalcio</t>
  </si>
  <si>
    <t>두번치기</t>
  </si>
  <si>
    <t>二連踢</t>
  </si>
  <si>
    <t>Mega Kick</t>
  </si>
  <si>
    <t>メガトンキック</t>
  </si>
  <si>
    <t>Ultimawashi</t>
  </si>
  <si>
    <t>Megakick</t>
  </si>
  <si>
    <t>Megapatada</t>
  </si>
  <si>
    <t>Megacalcio</t>
  </si>
  <si>
    <t>메가톤킥</t>
  </si>
  <si>
    <t>百萬噸重踢</t>
  </si>
  <si>
    <t>Jump Kick</t>
  </si>
  <si>
    <t>とびげり</t>
  </si>
  <si>
    <t>Pied Sauté</t>
  </si>
  <si>
    <t>Sprungkick</t>
  </si>
  <si>
    <t>Patada Salto</t>
  </si>
  <si>
    <t>Calciosalto</t>
  </si>
  <si>
    <t>점프킥</t>
  </si>
  <si>
    <t>飛踢</t>
  </si>
  <si>
    <t>Rolling Kick</t>
  </si>
  <si>
    <t>まわしげり</t>
  </si>
  <si>
    <t>Mawashi Geri</t>
  </si>
  <si>
    <t>Fegekick</t>
  </si>
  <si>
    <t>Patada Giro</t>
  </si>
  <si>
    <t>Calciorullo</t>
  </si>
  <si>
    <t>돌려차기</t>
  </si>
  <si>
    <t>迴旋踢</t>
  </si>
  <si>
    <t>Sand Attack</t>
  </si>
  <si>
    <t>すなかけ</t>
  </si>
  <si>
    <t>Jet de Sable</t>
  </si>
  <si>
    <t>Sandwirbel</t>
  </si>
  <si>
    <t>Ataque Arena</t>
  </si>
  <si>
    <t>Turbosabbia</t>
  </si>
  <si>
    <t>모래뿌리기</t>
  </si>
  <si>
    <t>潑沙</t>
  </si>
  <si>
    <t>Headbutt</t>
  </si>
  <si>
    <t>ずつき</t>
  </si>
  <si>
    <t>Coup d'Boule</t>
  </si>
  <si>
    <t>Kopfnuss</t>
  </si>
  <si>
    <t>Golpe Cabeza</t>
  </si>
  <si>
    <t>Bottintesta</t>
  </si>
  <si>
    <t>박치기</t>
  </si>
  <si>
    <t>頭錘</t>
  </si>
  <si>
    <t>Horn Attack</t>
  </si>
  <si>
    <t>つのでつく</t>
  </si>
  <si>
    <t>Koud'Korne</t>
  </si>
  <si>
    <t>Hornattacke</t>
  </si>
  <si>
    <t>Cornada</t>
  </si>
  <si>
    <t>Incornata</t>
  </si>
  <si>
    <t>뿔찌르기</t>
  </si>
  <si>
    <t>角撞</t>
  </si>
  <si>
    <t>Fury Attack</t>
  </si>
  <si>
    <t>みだれづき</t>
  </si>
  <si>
    <t>Furie</t>
  </si>
  <si>
    <t>Furienschlag</t>
  </si>
  <si>
    <t>Ataque Furia</t>
  </si>
  <si>
    <t>Furia</t>
  </si>
  <si>
    <t>마구찌르기</t>
  </si>
  <si>
    <t>亂擊</t>
  </si>
  <si>
    <t>Horn Drill</t>
  </si>
  <si>
    <t>つのドリル</t>
  </si>
  <si>
    <t>Empal'Korne</t>
  </si>
  <si>
    <t>Hornbohrer</t>
  </si>
  <si>
    <t>Perforador</t>
  </si>
  <si>
    <t>Perforcorno</t>
  </si>
  <si>
    <t>뿔드릴</t>
  </si>
  <si>
    <t>角鑽</t>
  </si>
  <si>
    <t>Tackle</t>
  </si>
  <si>
    <t>たいあたり</t>
  </si>
  <si>
    <t>Charge</t>
  </si>
  <si>
    <t>Placaje</t>
  </si>
  <si>
    <t>Azione</t>
  </si>
  <si>
    <t>몸통박치기</t>
  </si>
  <si>
    <t>撞擊</t>
  </si>
  <si>
    <t>Body Slam</t>
  </si>
  <si>
    <t>のしかかり</t>
  </si>
  <si>
    <t>Plaquage</t>
  </si>
  <si>
    <t>Bodyslam</t>
  </si>
  <si>
    <t>Golpe Cuerpo</t>
  </si>
  <si>
    <t>Corposcontro</t>
  </si>
  <si>
    <t>누르기</t>
  </si>
  <si>
    <t>泰山壓頂</t>
  </si>
  <si>
    <t>Wrap</t>
  </si>
  <si>
    <t>まきつく</t>
  </si>
  <si>
    <t>Ligotage</t>
  </si>
  <si>
    <t>Wickel</t>
  </si>
  <si>
    <t>Constricción</t>
  </si>
  <si>
    <t>Avvolgibotta</t>
  </si>
  <si>
    <t>김밥말이</t>
  </si>
  <si>
    <t>緊束</t>
  </si>
  <si>
    <t>Take Down</t>
  </si>
  <si>
    <t>Bélier</t>
  </si>
  <si>
    <t>Bodycheck</t>
  </si>
  <si>
    <t>Derribo</t>
  </si>
  <si>
    <t>Riduttore</t>
  </si>
  <si>
    <t>猛撞</t>
  </si>
  <si>
    <t>Thrash</t>
  </si>
  <si>
    <t>あばれる</t>
  </si>
  <si>
    <t>Mania</t>
  </si>
  <si>
    <t>Fuchtler</t>
  </si>
  <si>
    <t>Golpe</t>
  </si>
  <si>
    <t>Colpo</t>
  </si>
  <si>
    <t>난동부리기</t>
  </si>
  <si>
    <t>大鬧一番</t>
  </si>
  <si>
    <t>Double-Edge</t>
  </si>
  <si>
    <t>すてみッタク</t>
  </si>
  <si>
    <t>Damoclès</t>
  </si>
  <si>
    <t>Risikotackle</t>
  </si>
  <si>
    <t>Doble Filo</t>
  </si>
  <si>
    <t>Sdoppiatore</t>
  </si>
  <si>
    <t>이판사판태클</t>
  </si>
  <si>
    <t>捨身衝撞</t>
  </si>
  <si>
    <t>Tail Whip</t>
  </si>
  <si>
    <t>しっぽをふる</t>
  </si>
  <si>
    <t>Mimi-Queue</t>
  </si>
  <si>
    <t>Rutenschlag</t>
  </si>
  <si>
    <t>Látigo</t>
  </si>
  <si>
    <t>Colpocoda</t>
  </si>
  <si>
    <t>꼬리흔들기</t>
  </si>
  <si>
    <t>搖尾巴</t>
  </si>
  <si>
    <t>Poison Sting</t>
  </si>
  <si>
    <t>Dard-Venin</t>
  </si>
  <si>
    <t>Giftstachel</t>
  </si>
  <si>
    <t>Picotazo Ven</t>
  </si>
  <si>
    <t>Velenospina</t>
  </si>
  <si>
    <t>Twineedle</t>
  </si>
  <si>
    <t>ダブルニードル</t>
  </si>
  <si>
    <t>Double Dard</t>
  </si>
  <si>
    <t>Duonadel</t>
  </si>
  <si>
    <t>Doble Ataque</t>
  </si>
  <si>
    <t>Doppio Ago</t>
  </si>
  <si>
    <t>더블니들</t>
  </si>
  <si>
    <t>雙針</t>
  </si>
  <si>
    <t>Pin Missle</t>
  </si>
  <si>
    <t>ミサイルばり</t>
  </si>
  <si>
    <t>Dard-Nuée</t>
  </si>
  <si>
    <t>Nadelrakete</t>
  </si>
  <si>
    <t>Pin Misil</t>
  </si>
  <si>
    <t>Missilspillo</t>
  </si>
  <si>
    <t>바늘미사일</t>
  </si>
  <si>
    <t>飛彈針</t>
  </si>
  <si>
    <t>Leer</t>
  </si>
  <si>
    <t>にらみつける</t>
  </si>
  <si>
    <t>Groz'Yeux</t>
  </si>
  <si>
    <t>Silberblick</t>
  </si>
  <si>
    <t>Fulmisguardo</t>
  </si>
  <si>
    <t>째려보기</t>
  </si>
  <si>
    <t>瞪眼</t>
  </si>
  <si>
    <t>Bite</t>
  </si>
  <si>
    <t>かみつく</t>
  </si>
  <si>
    <t>Morsure</t>
  </si>
  <si>
    <t>Biss</t>
  </si>
  <si>
    <t>Mordisco</t>
  </si>
  <si>
    <t>Morso</t>
  </si>
  <si>
    <t>물기</t>
  </si>
  <si>
    <t>咬住</t>
  </si>
  <si>
    <t>Growl</t>
  </si>
  <si>
    <t>なきごえ</t>
  </si>
  <si>
    <t>Rugissement</t>
  </si>
  <si>
    <t>Heuler</t>
  </si>
  <si>
    <t>Gruñido</t>
  </si>
  <si>
    <t>Ruggito</t>
  </si>
  <si>
    <t>울음소리</t>
  </si>
  <si>
    <t>叫聲</t>
  </si>
  <si>
    <t>Roar</t>
  </si>
  <si>
    <t>ほえる</t>
  </si>
  <si>
    <t>Hurlement</t>
  </si>
  <si>
    <t>Brüller</t>
  </si>
  <si>
    <t>Rugido</t>
  </si>
  <si>
    <t>Boato</t>
  </si>
  <si>
    <t>울부짖기</t>
  </si>
  <si>
    <t>吼叫</t>
  </si>
  <si>
    <t>Sing</t>
  </si>
  <si>
    <t>うたう</t>
  </si>
  <si>
    <t>Berceuse</t>
  </si>
  <si>
    <t>Gesang</t>
  </si>
  <si>
    <t>Canto</t>
  </si>
  <si>
    <t>노래하기</t>
  </si>
  <si>
    <t>唱歌</t>
  </si>
  <si>
    <t>ちょうおんぱ</t>
  </si>
  <si>
    <t>Ultrason</t>
  </si>
  <si>
    <t>Superschall</t>
  </si>
  <si>
    <t>Supersónico</t>
  </si>
  <si>
    <t>Supersuono</t>
  </si>
  <si>
    <t>초음파</t>
  </si>
  <si>
    <t>超音波</t>
  </si>
  <si>
    <t>Sonic Boom</t>
  </si>
  <si>
    <t>ソニックブーム</t>
  </si>
  <si>
    <t>Ultraschall</t>
  </si>
  <si>
    <t>Bomba Sónica</t>
  </si>
  <si>
    <t>Sonicboom</t>
  </si>
  <si>
    <t>소닉붐</t>
  </si>
  <si>
    <t>音爆</t>
  </si>
  <si>
    <t>Disable</t>
  </si>
  <si>
    <t>かなしばり</t>
  </si>
  <si>
    <t>Entrave</t>
  </si>
  <si>
    <t>Aussetzer</t>
  </si>
  <si>
    <t>Anulación</t>
  </si>
  <si>
    <t>Inibitore</t>
  </si>
  <si>
    <t>사슬묶기</t>
  </si>
  <si>
    <t>定身法</t>
  </si>
  <si>
    <t>Acid</t>
  </si>
  <si>
    <t>ようかいえき</t>
  </si>
  <si>
    <t>Acide</t>
  </si>
  <si>
    <t>Säure</t>
  </si>
  <si>
    <t>Ácido</t>
  </si>
  <si>
    <t>용해액</t>
  </si>
  <si>
    <t>溶解液</t>
  </si>
  <si>
    <t>Ember</t>
  </si>
  <si>
    <t>ほのこ</t>
  </si>
  <si>
    <t>Flammèche</t>
  </si>
  <si>
    <t>Glut</t>
  </si>
  <si>
    <t>Braciere</t>
  </si>
  <si>
    <t>불꽃세례</t>
  </si>
  <si>
    <t>火花</t>
  </si>
  <si>
    <t>Flamethrower</t>
  </si>
  <si>
    <t>かえんほうしゃ</t>
  </si>
  <si>
    <t>Lance-Flamme</t>
  </si>
  <si>
    <t>Flammenwurf</t>
  </si>
  <si>
    <t>Lanzallamas</t>
  </si>
  <si>
    <t>Lanciafiamme</t>
  </si>
  <si>
    <t>화염방사</t>
  </si>
  <si>
    <t>噴射火焰</t>
  </si>
  <si>
    <t>Mist</t>
  </si>
  <si>
    <t>しろいきり</t>
  </si>
  <si>
    <t>Brume</t>
  </si>
  <si>
    <t>Weißnebel</t>
  </si>
  <si>
    <t>Neblina</t>
  </si>
  <si>
    <t>Nebbia</t>
  </si>
  <si>
    <t>흰안개</t>
  </si>
  <si>
    <t>白霧</t>
  </si>
  <si>
    <t>Water Gun</t>
  </si>
  <si>
    <t>みずでっぽう</t>
  </si>
  <si>
    <t>Pistolet à O</t>
  </si>
  <si>
    <t>Aquaknarre</t>
  </si>
  <si>
    <t>Pistola Agua</t>
  </si>
  <si>
    <t>Pistolacqua</t>
  </si>
  <si>
    <t>물대포</t>
  </si>
  <si>
    <t>水槍</t>
  </si>
  <si>
    <t>Hydro Pump</t>
  </si>
  <si>
    <t>ハイドロポンプ</t>
  </si>
  <si>
    <t>Hydrocanon</t>
  </si>
  <si>
    <t>Hydropumpe</t>
  </si>
  <si>
    <t>Hidrobomba</t>
  </si>
  <si>
    <t>Idropompa</t>
  </si>
  <si>
    <t>하이드로펌프</t>
  </si>
  <si>
    <t>水炮</t>
  </si>
  <si>
    <t>Surf</t>
  </si>
  <si>
    <t>なみのり</t>
  </si>
  <si>
    <t>파도타기</t>
  </si>
  <si>
    <t>衝浪</t>
  </si>
  <si>
    <t>Ice Beam</t>
  </si>
  <si>
    <t>れいとうビーム</t>
  </si>
  <si>
    <t>Laser Glace</t>
  </si>
  <si>
    <t>Eisstrahl</t>
  </si>
  <si>
    <t>Rayo Hielo</t>
  </si>
  <si>
    <t>Geloraggio</t>
  </si>
  <si>
    <t>냉동빔</t>
  </si>
  <si>
    <t>冰凍光束</t>
  </si>
  <si>
    <t>Blizzard</t>
  </si>
  <si>
    <t>ふぶき</t>
  </si>
  <si>
    <t>Ventisca</t>
  </si>
  <si>
    <t>Bora</t>
  </si>
  <si>
    <t>눈보라</t>
  </si>
  <si>
    <t>暴風雪</t>
  </si>
  <si>
    <t>Psybeam</t>
  </si>
  <si>
    <t>サイケこうせん</t>
  </si>
  <si>
    <t>Rafale Psy</t>
  </si>
  <si>
    <t>Psystrahl</t>
  </si>
  <si>
    <t>Psicorrayo</t>
  </si>
  <si>
    <t>Psicoraggio</t>
  </si>
  <si>
    <t>환상빔</t>
  </si>
  <si>
    <t>幻象光線</t>
  </si>
  <si>
    <t>Bubble Beam</t>
  </si>
  <si>
    <t>バボルこうせん</t>
  </si>
  <si>
    <t>Bulles d'O</t>
  </si>
  <si>
    <t>Blubbstrahl</t>
  </si>
  <si>
    <t>Rayo Burbuja</t>
  </si>
  <si>
    <t>Bollaraggio</t>
  </si>
  <si>
    <t>거품광선</t>
  </si>
  <si>
    <t>泡沫光線</t>
  </si>
  <si>
    <t>Aurora Beam</t>
  </si>
  <si>
    <t>オーロラビーム</t>
  </si>
  <si>
    <t>Onde Boréale</t>
  </si>
  <si>
    <t>Aurorastrahl</t>
  </si>
  <si>
    <t>Rayo Aurora</t>
  </si>
  <si>
    <t>Raggiaurora</t>
  </si>
  <si>
    <t>오로라빔</t>
  </si>
  <si>
    <t>極光束</t>
  </si>
  <si>
    <t>Hyper Beam</t>
  </si>
  <si>
    <t>はかいこうせん</t>
  </si>
  <si>
    <t>Ultra Laser</t>
  </si>
  <si>
    <t>Hyperstrahl</t>
  </si>
  <si>
    <t>Hiperrayo</t>
  </si>
  <si>
    <t>Iper Raggio</t>
  </si>
  <si>
    <t>파괴광선</t>
  </si>
  <si>
    <t>破壞光線</t>
  </si>
  <si>
    <t>Peck</t>
  </si>
  <si>
    <t>つつく</t>
  </si>
  <si>
    <t>Picpic</t>
  </si>
  <si>
    <t>Pikser</t>
  </si>
  <si>
    <t>Picotazo</t>
  </si>
  <si>
    <t>Beccata</t>
  </si>
  <si>
    <t>쪼기</t>
  </si>
  <si>
    <t>啄</t>
  </si>
  <si>
    <t>Drill Peck</t>
  </si>
  <si>
    <t>ドリルくちばし</t>
  </si>
  <si>
    <t>Bec Vrille</t>
  </si>
  <si>
    <t>Bohrschnabel</t>
  </si>
  <si>
    <t>Pico Taladro</t>
  </si>
  <si>
    <t>Perforbecco</t>
  </si>
  <si>
    <t>회전부리</t>
  </si>
  <si>
    <t>啄鑽</t>
  </si>
  <si>
    <t>Submission</t>
  </si>
  <si>
    <t>じごくぐるま</t>
  </si>
  <si>
    <t>Sacrifice</t>
  </si>
  <si>
    <t>Überroller</t>
  </si>
  <si>
    <t>Sumisión</t>
  </si>
  <si>
    <t>Sottomissione</t>
  </si>
  <si>
    <t>지옥의바퀴</t>
  </si>
  <si>
    <t>地獄翻滾</t>
  </si>
  <si>
    <t>深渊翻滚</t>
  </si>
  <si>
    <t>Low Kick</t>
  </si>
  <si>
    <t>けたぐり</t>
  </si>
  <si>
    <t>Balayage</t>
  </si>
  <si>
    <t>Fußkick</t>
  </si>
  <si>
    <t>Patada Baja</t>
  </si>
  <si>
    <t>Colpo Basso</t>
  </si>
  <si>
    <t>안다리걸기</t>
  </si>
  <si>
    <t>踢倒</t>
  </si>
  <si>
    <t>Counter</t>
  </si>
  <si>
    <t>カウンター</t>
  </si>
  <si>
    <t>Riposte</t>
  </si>
  <si>
    <t>Konter</t>
  </si>
  <si>
    <t>Contraataque</t>
  </si>
  <si>
    <t>Contrattacco</t>
  </si>
  <si>
    <t>카운터</t>
  </si>
  <si>
    <t>雙倍奉還</t>
  </si>
  <si>
    <t>Seismic Toss</t>
  </si>
  <si>
    <t>ちきゅうなげ</t>
  </si>
  <si>
    <t>Frappe Atlas</t>
  </si>
  <si>
    <t>Geowurf</t>
  </si>
  <si>
    <t>Sísmico</t>
  </si>
  <si>
    <t>Movim. Sismico</t>
  </si>
  <si>
    <t>지구던지기</t>
  </si>
  <si>
    <t>地球上投</t>
  </si>
  <si>
    <t>Strength</t>
  </si>
  <si>
    <t>Force</t>
  </si>
  <si>
    <t>Stärke</t>
  </si>
  <si>
    <t>Fuerza</t>
  </si>
  <si>
    <t>Forza</t>
  </si>
  <si>
    <t>Absorb</t>
  </si>
  <si>
    <t>すいとる</t>
  </si>
  <si>
    <t>Vole-Vie</t>
  </si>
  <si>
    <t>Absorber</t>
  </si>
  <si>
    <t>Assorbimento</t>
  </si>
  <si>
    <t>흡수</t>
  </si>
  <si>
    <t>吸取</t>
  </si>
  <si>
    <t>Mega Drain</t>
  </si>
  <si>
    <t>メガドレイン</t>
  </si>
  <si>
    <t>Mega-Sangsue</t>
  </si>
  <si>
    <t>Megasauger</t>
  </si>
  <si>
    <t>Megaagotar</t>
  </si>
  <si>
    <t>Megassorbimento</t>
  </si>
  <si>
    <t>메가드레인</t>
  </si>
  <si>
    <t>超級吸取</t>
  </si>
  <si>
    <t>Leech Seed</t>
  </si>
  <si>
    <t>やどりぎのタネ</t>
  </si>
  <si>
    <t>Vampigraine</t>
  </si>
  <si>
    <t>Egelsamen</t>
  </si>
  <si>
    <t>Drenadoras</t>
  </si>
  <si>
    <t>Parassiseme</t>
  </si>
  <si>
    <t>씨뿌리기</t>
  </si>
  <si>
    <t>寄生種子</t>
  </si>
  <si>
    <t>Growth</t>
  </si>
  <si>
    <t>せいちょう</t>
  </si>
  <si>
    <t>Croissance</t>
  </si>
  <si>
    <t>Wachstum</t>
  </si>
  <si>
    <t>Desarrollo</t>
  </si>
  <si>
    <t>Crescita</t>
  </si>
  <si>
    <t>성장</t>
  </si>
  <si>
    <t>生長</t>
  </si>
  <si>
    <t>Razor Leaf</t>
  </si>
  <si>
    <t>はっぱカッター</t>
  </si>
  <si>
    <t>Tranch'Herbe</t>
  </si>
  <si>
    <t>Rasierblatt</t>
  </si>
  <si>
    <t>Hoja Afilada</t>
  </si>
  <si>
    <t>Foglielama</t>
  </si>
  <si>
    <t>잎날가르기</t>
  </si>
  <si>
    <t>飛葉快刀</t>
  </si>
  <si>
    <t>Solar Beam</t>
  </si>
  <si>
    <t>ソーラービーム</t>
  </si>
  <si>
    <t>Lance-Soleil</t>
  </si>
  <si>
    <t>Solarstrahl</t>
  </si>
  <si>
    <t>Rayo Solar</t>
  </si>
  <si>
    <t>Solarraggio</t>
  </si>
  <si>
    <t>솔라빔</t>
  </si>
  <si>
    <t>日光束</t>
  </si>
  <si>
    <t>Poison Powder</t>
  </si>
  <si>
    <t>どくのこな</t>
  </si>
  <si>
    <t>Poudre Toxik</t>
  </si>
  <si>
    <t>Giftpuder</t>
  </si>
  <si>
    <t>Polvo Veneno</t>
  </si>
  <si>
    <t>Velenpolvere</t>
  </si>
  <si>
    <t>독가루</t>
  </si>
  <si>
    <t>毒粉</t>
  </si>
  <si>
    <t>Stun Spore</t>
  </si>
  <si>
    <t>しびれごな</t>
  </si>
  <si>
    <t>Para-Spore</t>
  </si>
  <si>
    <t>Stachelspore</t>
  </si>
  <si>
    <t>Paralizador</t>
  </si>
  <si>
    <t>Paralizzante</t>
  </si>
  <si>
    <t>저리가루</t>
  </si>
  <si>
    <t>麻痺粉</t>
  </si>
  <si>
    <t>Sleep Powder</t>
  </si>
  <si>
    <t>ねむりごな</t>
  </si>
  <si>
    <t>Poudre Dodo</t>
  </si>
  <si>
    <t>Schlafpuder</t>
  </si>
  <si>
    <t>Somnífero</t>
  </si>
  <si>
    <t>Sonnifero</t>
  </si>
  <si>
    <t>수면가루</t>
  </si>
  <si>
    <t>催眠粉</t>
  </si>
  <si>
    <t>Petal Dance</t>
  </si>
  <si>
    <t>はなびらのまい</t>
  </si>
  <si>
    <t>Danse-Fleur</t>
  </si>
  <si>
    <t>Blättertanz</t>
  </si>
  <si>
    <t>Danza Pétalo</t>
  </si>
  <si>
    <t>Petalodanza</t>
  </si>
  <si>
    <t>꽃잎댄스</t>
  </si>
  <si>
    <t>花瓣舞</t>
  </si>
  <si>
    <t>String Shot</t>
  </si>
  <si>
    <t>いとおはく</t>
  </si>
  <si>
    <t>Sécrétion</t>
  </si>
  <si>
    <t>Fadenschuss</t>
  </si>
  <si>
    <t>Disp. Demora</t>
  </si>
  <si>
    <t>Millebave</t>
  </si>
  <si>
    <t>Dragon Rage</t>
  </si>
  <si>
    <t>りゅうのいかり</t>
  </si>
  <si>
    <t>Draco-Rage</t>
  </si>
  <si>
    <t>Drachenwut</t>
  </si>
  <si>
    <t>Furia Dragón</t>
  </si>
  <si>
    <t>Ira di Drago</t>
  </si>
  <si>
    <t>용의분노</t>
  </si>
  <si>
    <t>龍之怒</t>
  </si>
  <si>
    <t>Fire Spin</t>
  </si>
  <si>
    <t>ほのおのうず</t>
  </si>
  <si>
    <t>Danse Flammes</t>
  </si>
  <si>
    <t>Feuerwirbel</t>
  </si>
  <si>
    <t>Giro Fuego</t>
  </si>
  <si>
    <t>Turbofuoco</t>
  </si>
  <si>
    <t>회오리불꽃</t>
  </si>
  <si>
    <t>火焰旋渦</t>
  </si>
  <si>
    <t>Thunder Shock</t>
  </si>
  <si>
    <t>でんきショック</t>
  </si>
  <si>
    <t>Éclair</t>
  </si>
  <si>
    <t>Donnerschock</t>
  </si>
  <si>
    <t>Impactrueno</t>
  </si>
  <si>
    <t>전기쇼크</t>
  </si>
  <si>
    <t>Thunderbolt</t>
  </si>
  <si>
    <t>１０まいボルト</t>
  </si>
  <si>
    <t>Tonnerre</t>
  </si>
  <si>
    <t>Donnerblitz</t>
  </si>
  <si>
    <t>Rayo</t>
  </si>
  <si>
    <t>Fulmine</t>
  </si>
  <si>
    <t>１０만볼트</t>
  </si>
  <si>
    <t>十萬伏特</t>
  </si>
  <si>
    <t>Thunder Wave</t>
  </si>
  <si>
    <t>でんじは</t>
  </si>
  <si>
    <t>Cage-Éclair</t>
  </si>
  <si>
    <t>Donnerwelle</t>
  </si>
  <si>
    <t>Onda Trueno</t>
  </si>
  <si>
    <t>전기자석파</t>
  </si>
  <si>
    <t>電磁波</t>
  </si>
  <si>
    <t>Thunder</t>
  </si>
  <si>
    <t>Fatal-Foudre</t>
  </si>
  <si>
    <t>Donner</t>
  </si>
  <si>
    <t>Trueno</t>
  </si>
  <si>
    <t>Tuono</t>
  </si>
  <si>
    <t>打雷</t>
  </si>
  <si>
    <t>Rock Throw</t>
  </si>
  <si>
    <t>いわおとし</t>
  </si>
  <si>
    <t>Jet-Pierre</t>
  </si>
  <si>
    <t>Steinwurf</t>
  </si>
  <si>
    <t>Lanzarrocas</t>
  </si>
  <si>
    <t>Sassata</t>
  </si>
  <si>
    <t>돌떨구기</t>
  </si>
  <si>
    <t>落石</t>
  </si>
  <si>
    <t>Earthquake</t>
  </si>
  <si>
    <t>じしん</t>
  </si>
  <si>
    <t>Séisme</t>
  </si>
  <si>
    <t>Erdbeben</t>
  </si>
  <si>
    <t>Terremoto</t>
  </si>
  <si>
    <t>지진</t>
  </si>
  <si>
    <t>地震</t>
  </si>
  <si>
    <t>Fissure</t>
  </si>
  <si>
    <t>じわれ</t>
  </si>
  <si>
    <t>Abîme</t>
  </si>
  <si>
    <t>Geofissur</t>
  </si>
  <si>
    <t>Fisura</t>
  </si>
  <si>
    <t>Abisso</t>
  </si>
  <si>
    <t>땅가르기</t>
  </si>
  <si>
    <t>地裂</t>
  </si>
  <si>
    <t>Dig</t>
  </si>
  <si>
    <t>あなをほる</t>
  </si>
  <si>
    <t>Tunnel</t>
  </si>
  <si>
    <t>Schaufler</t>
  </si>
  <si>
    <t>Excavar</t>
  </si>
  <si>
    <t>Fossa</t>
  </si>
  <si>
    <t>구멍파기</t>
  </si>
  <si>
    <t>Toxic</t>
  </si>
  <si>
    <t>どくどく</t>
  </si>
  <si>
    <t>Toxik</t>
  </si>
  <si>
    <t>Toxin</t>
  </si>
  <si>
    <t>Tóxico</t>
  </si>
  <si>
    <t>Tossina</t>
  </si>
  <si>
    <t>맹독</t>
  </si>
  <si>
    <t>劇毒</t>
  </si>
  <si>
    <t>Confusion</t>
  </si>
  <si>
    <t>Choc Mental</t>
  </si>
  <si>
    <t>Konfusion</t>
  </si>
  <si>
    <t>Confusión</t>
  </si>
  <si>
    <t>염동력</t>
  </si>
  <si>
    <t>サイコキネシス</t>
  </si>
  <si>
    <t>Psycho</t>
  </si>
  <si>
    <t>Psychokinese</t>
  </si>
  <si>
    <t>Psichico</t>
  </si>
  <si>
    <t>사이코키네시스</t>
  </si>
  <si>
    <t>精神強念</t>
  </si>
  <si>
    <t>Hypnosis</t>
  </si>
  <si>
    <t>さいみんじゅっつ</t>
  </si>
  <si>
    <t>Hypnose</t>
  </si>
  <si>
    <t>Hipnosis</t>
  </si>
  <si>
    <t>Ipnosi</t>
  </si>
  <si>
    <t>최면술</t>
  </si>
  <si>
    <t>催眠術</t>
  </si>
  <si>
    <t>Meditate</t>
  </si>
  <si>
    <t>ヨガのポース</t>
  </si>
  <si>
    <t>Yoga</t>
  </si>
  <si>
    <t>Meditation</t>
  </si>
  <si>
    <t>Meditación</t>
  </si>
  <si>
    <t>Meditazione</t>
  </si>
  <si>
    <t>요가포즈</t>
  </si>
  <si>
    <t>瑜伽姿勢</t>
  </si>
  <si>
    <t>Agility</t>
  </si>
  <si>
    <t>こうそくいどう</t>
  </si>
  <si>
    <t>Hâte</t>
  </si>
  <si>
    <t>Agilität</t>
  </si>
  <si>
    <t>Agilidad</t>
  </si>
  <si>
    <t>Agilità</t>
  </si>
  <si>
    <t>고속이동</t>
  </si>
  <si>
    <t>高速移動</t>
  </si>
  <si>
    <t>Quick Attack</t>
  </si>
  <si>
    <t>でんこうせっか</t>
  </si>
  <si>
    <t>Vive-Attaque</t>
  </si>
  <si>
    <t>Ruckzuckhieb</t>
  </si>
  <si>
    <t>Ataque Rápido</t>
  </si>
  <si>
    <t>Attacco Rapido</t>
  </si>
  <si>
    <t>전광석화</t>
  </si>
  <si>
    <t>電光一閃</t>
  </si>
  <si>
    <t>Rage</t>
  </si>
  <si>
    <t>いかり</t>
  </si>
  <si>
    <t>Frénésie</t>
  </si>
  <si>
    <t>Raserei</t>
  </si>
  <si>
    <t>Ira</t>
  </si>
  <si>
    <t>분노</t>
  </si>
  <si>
    <t>憤怒</t>
  </si>
  <si>
    <t>Teleport</t>
  </si>
  <si>
    <t>テレポート</t>
  </si>
  <si>
    <t>Téléport</t>
  </si>
  <si>
    <t>Teletransporte</t>
  </si>
  <si>
    <t>Teletrasporto</t>
  </si>
  <si>
    <t>순간이동</t>
  </si>
  <si>
    <t>瞬間移動</t>
  </si>
  <si>
    <t>Night Shade</t>
  </si>
  <si>
    <t>ナイトヘッダ</t>
  </si>
  <si>
    <t>Ombre Nocturne</t>
  </si>
  <si>
    <t>Nachtnebel</t>
  </si>
  <si>
    <t>Tinieblas</t>
  </si>
  <si>
    <t>Ombra Notturna</t>
  </si>
  <si>
    <t>나이트헤드</t>
  </si>
  <si>
    <t>黑夜魔影</t>
  </si>
  <si>
    <t>Mimic</t>
  </si>
  <si>
    <t>ものまね</t>
  </si>
  <si>
    <t>Copie</t>
  </si>
  <si>
    <t>Mimikry</t>
  </si>
  <si>
    <t>Mimético</t>
  </si>
  <si>
    <t>흉내내기</t>
  </si>
  <si>
    <t>Screech</t>
  </si>
  <si>
    <t>いやなおと</t>
  </si>
  <si>
    <t>Grincement</t>
  </si>
  <si>
    <t>Kreideschrei</t>
  </si>
  <si>
    <t>Chirrido</t>
  </si>
  <si>
    <t>Stridio</t>
  </si>
  <si>
    <t>싫은소리</t>
  </si>
  <si>
    <t>刺耳聲</t>
  </si>
  <si>
    <t>Double Team</t>
  </si>
  <si>
    <t>かげぶんしん</t>
  </si>
  <si>
    <t>Reflet</t>
  </si>
  <si>
    <t>Doppelteam</t>
  </si>
  <si>
    <t>Doble Equipo</t>
  </si>
  <si>
    <t>Doppioteam</t>
  </si>
  <si>
    <t>그림자분신</t>
  </si>
  <si>
    <t>影子分身</t>
  </si>
  <si>
    <t>Recover</t>
  </si>
  <si>
    <t>じこさいせい</t>
  </si>
  <si>
    <t>Soin</t>
  </si>
  <si>
    <t>Genesung</t>
  </si>
  <si>
    <t>Recuperación</t>
  </si>
  <si>
    <t>Ripresa</t>
  </si>
  <si>
    <t>ＨＰ회복</t>
  </si>
  <si>
    <t>自我再生</t>
  </si>
  <si>
    <t>Harden</t>
  </si>
  <si>
    <t>かたくなる</t>
  </si>
  <si>
    <t>Härtner</t>
  </si>
  <si>
    <t>Fortaleza</t>
  </si>
  <si>
    <t>Rafforzatore</t>
  </si>
  <si>
    <t>단단해지기</t>
  </si>
  <si>
    <t>變硬</t>
  </si>
  <si>
    <t>Minimize</t>
  </si>
  <si>
    <t>ちいさくなる</t>
  </si>
  <si>
    <t>Lilliput</t>
  </si>
  <si>
    <t>Komprimator</t>
  </si>
  <si>
    <t>Reducción</t>
  </si>
  <si>
    <t>Minimizzato</t>
  </si>
  <si>
    <t>작아지기</t>
  </si>
  <si>
    <t>變小</t>
  </si>
  <si>
    <t>Smokescreen</t>
  </si>
  <si>
    <t>えんまく</t>
  </si>
  <si>
    <t>Brouillard</t>
  </si>
  <si>
    <t>Rauchwolke</t>
  </si>
  <si>
    <t>Pantalla Humo</t>
  </si>
  <si>
    <t>Muro di Fumo</t>
  </si>
  <si>
    <t>연막</t>
  </si>
  <si>
    <t>煙幕</t>
  </si>
  <si>
    <t>Confuse Ray</t>
  </si>
  <si>
    <t>あやしいひかり</t>
  </si>
  <si>
    <t>Onde Folie</t>
  </si>
  <si>
    <t>Konfusstrahl</t>
  </si>
  <si>
    <t>Rayo Confuso</t>
  </si>
  <si>
    <t>Stordiraggio</t>
  </si>
  <si>
    <t>이상한빛</t>
  </si>
  <si>
    <t>奇異之光</t>
  </si>
  <si>
    <t>Withdraw</t>
  </si>
  <si>
    <t>からにこもる</t>
  </si>
  <si>
    <t>Repli</t>
  </si>
  <si>
    <t>Panzerschutz</t>
  </si>
  <si>
    <t>Refugio</t>
  </si>
  <si>
    <t>Ritirata</t>
  </si>
  <si>
    <t>껍질에숨기</t>
  </si>
  <si>
    <t>縮入殼中</t>
  </si>
  <si>
    <t>Defense Curl</t>
  </si>
  <si>
    <t>まるくなる</t>
  </si>
  <si>
    <t>Boul'Armure</t>
  </si>
  <si>
    <t>Rizo Defensa</t>
  </si>
  <si>
    <t>Ricciolscudo</t>
  </si>
  <si>
    <t>웅크리기</t>
  </si>
  <si>
    <t>變圓</t>
  </si>
  <si>
    <t>Barrier</t>
  </si>
  <si>
    <t>バリアー</t>
  </si>
  <si>
    <t>Barriere</t>
  </si>
  <si>
    <t>Barrera</t>
  </si>
  <si>
    <t>Barriera</t>
  </si>
  <si>
    <t>배리어</t>
  </si>
  <si>
    <t>屏障</t>
  </si>
  <si>
    <t>Light Screen</t>
  </si>
  <si>
    <t>ひかりのかべ</t>
  </si>
  <si>
    <t>Mur Lumière</t>
  </si>
  <si>
    <t>Lichtschild</t>
  </si>
  <si>
    <t>Pantalla Luz</t>
  </si>
  <si>
    <t>Schermoluce</t>
  </si>
  <si>
    <t>빛의장막</t>
  </si>
  <si>
    <t>光牆</t>
  </si>
  <si>
    <t>Haze</t>
  </si>
  <si>
    <t>くろいきり</t>
  </si>
  <si>
    <t>Buée Noire</t>
  </si>
  <si>
    <t>Dunkelnebel</t>
  </si>
  <si>
    <t>Niebla</t>
  </si>
  <si>
    <t>Nube</t>
  </si>
  <si>
    <t>흑안개</t>
  </si>
  <si>
    <t>黑霧</t>
  </si>
  <si>
    <t>Reflect</t>
  </si>
  <si>
    <t>リフレクター</t>
  </si>
  <si>
    <t>Protection</t>
  </si>
  <si>
    <t>Reflecktor</t>
  </si>
  <si>
    <t>Reflejo</t>
  </si>
  <si>
    <t>Riflesso</t>
  </si>
  <si>
    <t>리플렉터</t>
  </si>
  <si>
    <t>反射壁</t>
  </si>
  <si>
    <t>Focus Energy</t>
  </si>
  <si>
    <t>きあいだめ</t>
  </si>
  <si>
    <t>Puissance</t>
  </si>
  <si>
    <t>Energiefokus</t>
  </si>
  <si>
    <t>Foco Energía</t>
  </si>
  <si>
    <t>Focalenergia</t>
  </si>
  <si>
    <t>기충전</t>
  </si>
  <si>
    <t>聚氣</t>
  </si>
  <si>
    <t>Bide</t>
  </si>
  <si>
    <t>Patience</t>
  </si>
  <si>
    <t>Venganza</t>
  </si>
  <si>
    <t>ゆびおふる</t>
  </si>
  <si>
    <t>Métronome</t>
  </si>
  <si>
    <t>Metronom</t>
  </si>
  <si>
    <t>Metrónomo</t>
  </si>
  <si>
    <t>손가락흔들기</t>
  </si>
  <si>
    <t>揮指</t>
  </si>
  <si>
    <t>Mirror Move</t>
  </si>
  <si>
    <t>オウムがえし</t>
  </si>
  <si>
    <t>Mimique</t>
  </si>
  <si>
    <t>Spiegeltrick</t>
  </si>
  <si>
    <t>Espejo</t>
  </si>
  <si>
    <t>Speculmossa</t>
  </si>
  <si>
    <t>鸚鵡學舌</t>
  </si>
  <si>
    <t>Self-Destruct</t>
  </si>
  <si>
    <t>じばく</t>
  </si>
  <si>
    <t>Finale</t>
  </si>
  <si>
    <t>Autodestrucción</t>
  </si>
  <si>
    <t>Autodistruzione</t>
  </si>
  <si>
    <t>자폭</t>
  </si>
  <si>
    <t>自爆</t>
  </si>
  <si>
    <t>玉石俱碎</t>
  </si>
  <si>
    <t>Egg Bomb</t>
  </si>
  <si>
    <t>タマゴばくだん</t>
  </si>
  <si>
    <t>Bomb'Œuf</t>
  </si>
  <si>
    <t>Eierbombe</t>
  </si>
  <si>
    <t>Bomba Huevo</t>
  </si>
  <si>
    <t>Uovobomba</t>
  </si>
  <si>
    <t>알폭탄</t>
  </si>
  <si>
    <t>炸蛋</t>
  </si>
  <si>
    <t>Lick</t>
  </si>
  <si>
    <t>したでなめる</t>
  </si>
  <si>
    <t>Léchouille</t>
  </si>
  <si>
    <t>Lengüetazo</t>
  </si>
  <si>
    <t>Leccata</t>
  </si>
  <si>
    <t>舌舔</t>
  </si>
  <si>
    <t>Smog</t>
  </si>
  <si>
    <t>スモッグ</t>
  </si>
  <si>
    <t>Purédpois</t>
  </si>
  <si>
    <t>Polución</t>
  </si>
  <si>
    <t>스모그</t>
  </si>
  <si>
    <t>濁霧</t>
  </si>
  <si>
    <t>Sludge</t>
  </si>
  <si>
    <t>ヘドロこうげき</t>
  </si>
  <si>
    <t>Détritus</t>
  </si>
  <si>
    <t>Schlammbad</t>
  </si>
  <si>
    <t>Residuos</t>
  </si>
  <si>
    <t>Fango</t>
  </si>
  <si>
    <t>오물공격</t>
  </si>
  <si>
    <t>污泥攻擊</t>
  </si>
  <si>
    <t>Bone Club</t>
  </si>
  <si>
    <t>ホネこんぼう</t>
  </si>
  <si>
    <t>Massd'Os</t>
  </si>
  <si>
    <t>Knochenkeule</t>
  </si>
  <si>
    <t>Hueso Palo</t>
  </si>
  <si>
    <t>Ossoclava</t>
  </si>
  <si>
    <t>뼈다귀치기</t>
  </si>
  <si>
    <t>骨棒</t>
  </si>
  <si>
    <t>Fire Blast</t>
  </si>
  <si>
    <t>だいもんじ</t>
  </si>
  <si>
    <t>Déflagration</t>
  </si>
  <si>
    <t>Feuersturm</t>
  </si>
  <si>
    <t>Llamarada</t>
  </si>
  <si>
    <t>Fuocobomba</t>
  </si>
  <si>
    <t>불대문자</t>
  </si>
  <si>
    <t>大字爆炎</t>
  </si>
  <si>
    <t>Waterfall</t>
  </si>
  <si>
    <t>たきのぼり</t>
  </si>
  <si>
    <t>Cascade</t>
  </si>
  <si>
    <t>Kaskade</t>
  </si>
  <si>
    <t>Cascada</t>
  </si>
  <si>
    <t>Cascata</t>
  </si>
  <si>
    <t>폭포오르기</t>
  </si>
  <si>
    <t>攀瀑</t>
  </si>
  <si>
    <t>Clamp</t>
  </si>
  <si>
    <t>からではさむ</t>
  </si>
  <si>
    <t>Claquoir</t>
  </si>
  <si>
    <t>Schnapper</t>
  </si>
  <si>
    <t>Tenaglia</t>
  </si>
  <si>
    <t>껍질끼우기</t>
  </si>
  <si>
    <t>貝殼夾擊</t>
  </si>
  <si>
    <t>Swift</t>
  </si>
  <si>
    <t>スピードスター</t>
  </si>
  <si>
    <t>Météores</t>
  </si>
  <si>
    <t>Sternschauer</t>
  </si>
  <si>
    <t>Rapidez</t>
  </si>
  <si>
    <t>Comete</t>
  </si>
  <si>
    <t>스피드스타</t>
  </si>
  <si>
    <t>高速星星</t>
  </si>
  <si>
    <t>Skull Bash</t>
  </si>
  <si>
    <t>ロケットずつき</t>
  </si>
  <si>
    <t>Coud'Krâne</t>
  </si>
  <si>
    <t>Schädelwumme</t>
  </si>
  <si>
    <t>Capocciata</t>
  </si>
  <si>
    <t>로케트박치기</t>
  </si>
  <si>
    <t>火箭頭錘</t>
  </si>
  <si>
    <t>Spike Cannon</t>
  </si>
  <si>
    <t>とげキャノン</t>
  </si>
  <si>
    <t>Picanon</t>
  </si>
  <si>
    <t>Dornkanone</t>
  </si>
  <si>
    <t>Clavo Cañón</t>
  </si>
  <si>
    <t>Sparalance</t>
  </si>
  <si>
    <t>가시대포</t>
  </si>
  <si>
    <t>尖刺加農炮</t>
  </si>
  <si>
    <t>Constrict</t>
  </si>
  <si>
    <t>からみつく</t>
  </si>
  <si>
    <t>Constriction</t>
  </si>
  <si>
    <t>Umklammerung</t>
  </si>
  <si>
    <t>Restricción</t>
  </si>
  <si>
    <t>Limitazione</t>
  </si>
  <si>
    <t>휘감기</t>
  </si>
  <si>
    <t>纏繞</t>
  </si>
  <si>
    <t>Amnesia</t>
  </si>
  <si>
    <t>ドわすれ</t>
  </si>
  <si>
    <t>Amnésie</t>
  </si>
  <si>
    <t>Amnesie</t>
  </si>
  <si>
    <t>망각술</t>
  </si>
  <si>
    <t>瞬間失憶</t>
  </si>
  <si>
    <t>Kinesis</t>
  </si>
  <si>
    <t>スプーンまげ</t>
  </si>
  <si>
    <t>Télékinésie</t>
  </si>
  <si>
    <t>Psykraft</t>
  </si>
  <si>
    <t>Kinético</t>
  </si>
  <si>
    <t>Cinèsi</t>
  </si>
  <si>
    <t>숟가락휘기</t>
  </si>
  <si>
    <t>折彎湯匙</t>
  </si>
  <si>
    <t>Soft-Boiled</t>
  </si>
  <si>
    <t>タマゴうみ</t>
  </si>
  <si>
    <t>E-Coque</t>
  </si>
  <si>
    <t>Weichei</t>
  </si>
  <si>
    <t>Amortiguador</t>
  </si>
  <si>
    <t>Covaouva</t>
  </si>
  <si>
    <t>알낳기</t>
  </si>
  <si>
    <t>生蛋</t>
  </si>
  <si>
    <t>High Jump Kick</t>
  </si>
  <si>
    <t>とびひざげり</t>
  </si>
  <si>
    <t>Pied Voltige</t>
  </si>
  <si>
    <t>Turmkick</t>
  </si>
  <si>
    <t>Pat. Salto Alta</t>
  </si>
  <si>
    <t>Calcinvolo</t>
  </si>
  <si>
    <t>무릎차기</t>
  </si>
  <si>
    <t>飛膝踢</t>
  </si>
  <si>
    <t>Glare</t>
  </si>
  <si>
    <t>へびにらみ</t>
  </si>
  <si>
    <t>Regard Médusant</t>
  </si>
  <si>
    <t>Schlangenblick</t>
  </si>
  <si>
    <t>Deslumbrar</t>
  </si>
  <si>
    <t>Sguardo Feroce</t>
  </si>
  <si>
    <t>뱀눈초리</t>
  </si>
  <si>
    <t>大蛇瞪眼</t>
  </si>
  <si>
    <t>Dream Eater</t>
  </si>
  <si>
    <t>ゆめくい</t>
  </si>
  <si>
    <t>Dévorêve</t>
  </si>
  <si>
    <t>Traumfresser</t>
  </si>
  <si>
    <t>Comesueños</t>
  </si>
  <si>
    <t>Mangiasogni</t>
  </si>
  <si>
    <t>꿈먹기</t>
  </si>
  <si>
    <t>食夢</t>
  </si>
  <si>
    <t>Poison Gas</t>
  </si>
  <si>
    <t>どくガス</t>
  </si>
  <si>
    <t>Gaz Toxik</t>
  </si>
  <si>
    <t>Giftwolke</t>
  </si>
  <si>
    <t>Gas Venenoso</t>
  </si>
  <si>
    <t>Velenogas</t>
  </si>
  <si>
    <t>毒瓦斯</t>
  </si>
  <si>
    <t>たまなげ</t>
  </si>
  <si>
    <t>Pilonnage</t>
  </si>
  <si>
    <t>Stakkato</t>
  </si>
  <si>
    <t>Bombardeo</t>
  </si>
  <si>
    <t>Attacco Pioggia</t>
  </si>
  <si>
    <t>구슬던지기</t>
  </si>
  <si>
    <t>投球</t>
  </si>
  <si>
    <t>Leech Life</t>
  </si>
  <si>
    <t>きゅうけつ</t>
  </si>
  <si>
    <t>Vampirisme</t>
  </si>
  <si>
    <t>Blutsauger</t>
  </si>
  <si>
    <t>Chupavidas</t>
  </si>
  <si>
    <t>Sanguisuga</t>
  </si>
  <si>
    <t>흡혈</t>
  </si>
  <si>
    <t>吸血</t>
  </si>
  <si>
    <t>汲取</t>
  </si>
  <si>
    <t>Lovely Kiss</t>
  </si>
  <si>
    <t>あくまのキッス</t>
  </si>
  <si>
    <t>Grobisou</t>
  </si>
  <si>
    <t>Todeskuss</t>
  </si>
  <si>
    <t>Beso Amoroso</t>
  </si>
  <si>
    <t>Demonbacio</t>
  </si>
  <si>
    <t>악마의키스</t>
  </si>
  <si>
    <t>惡魔之吻</t>
  </si>
  <si>
    <t>Sky Attack</t>
  </si>
  <si>
    <t>ゴッドバード</t>
  </si>
  <si>
    <t>Piqué</t>
  </si>
  <si>
    <t>Himmelsfeger</t>
  </si>
  <si>
    <t>Ataque Aéreo</t>
  </si>
  <si>
    <t>Aeroattacco</t>
  </si>
  <si>
    <t>불새</t>
  </si>
  <si>
    <t>神鳥猛擊</t>
  </si>
  <si>
    <t>Transform</t>
  </si>
  <si>
    <t>へんしん</t>
  </si>
  <si>
    <t>Morphing</t>
  </si>
  <si>
    <t>Wandler</t>
  </si>
  <si>
    <t>Transformación</t>
  </si>
  <si>
    <t>Trasformazione</t>
  </si>
  <si>
    <t>변신</t>
  </si>
  <si>
    <t>變身</t>
  </si>
  <si>
    <t>Bubble</t>
  </si>
  <si>
    <t>あわ</t>
  </si>
  <si>
    <t>Écume</t>
  </si>
  <si>
    <t>Bubbler</t>
  </si>
  <si>
    <t>Bolla</t>
  </si>
  <si>
    <t>거품</t>
  </si>
  <si>
    <t>泡沫</t>
  </si>
  <si>
    <t>Dizzy Punch</t>
  </si>
  <si>
    <t>ピヨピヨパンチ</t>
  </si>
  <si>
    <t>Uppercut</t>
  </si>
  <si>
    <t>Irrschlag</t>
  </si>
  <si>
    <t>Puño Mareo</t>
  </si>
  <si>
    <t>Stordipugno</t>
  </si>
  <si>
    <t>잼잼펀치</t>
  </si>
  <si>
    <t>迷昏拳</t>
  </si>
  <si>
    <t>Spore</t>
  </si>
  <si>
    <t>キノコのほうし</t>
  </si>
  <si>
    <t>Pilzspore</t>
  </si>
  <si>
    <t>Espora</t>
  </si>
  <si>
    <t>Spora</t>
  </si>
  <si>
    <t>버섯포자</t>
  </si>
  <si>
    <t>蘑菇孢子</t>
  </si>
  <si>
    <t>Flash</t>
  </si>
  <si>
    <t>フラッシュ</t>
  </si>
  <si>
    <t>Destello</t>
  </si>
  <si>
    <t>플래시</t>
  </si>
  <si>
    <t>閃光</t>
  </si>
  <si>
    <t>Psywave</t>
  </si>
  <si>
    <t>サイコウェーブ</t>
  </si>
  <si>
    <t>Vague Psy</t>
  </si>
  <si>
    <t>Psywelle</t>
  </si>
  <si>
    <t>Psicoonda</t>
  </si>
  <si>
    <t>Psiconda</t>
  </si>
  <si>
    <t>사이코웨이브</t>
  </si>
  <si>
    <t>精神波</t>
  </si>
  <si>
    <t>Splash</t>
  </si>
  <si>
    <t>はねる</t>
  </si>
  <si>
    <t>Trempette</t>
  </si>
  <si>
    <t>Platscher</t>
  </si>
  <si>
    <t>튀어오르기</t>
  </si>
  <si>
    <t>躍起</t>
  </si>
  <si>
    <t>Acid Armor</t>
  </si>
  <si>
    <t>とける</t>
  </si>
  <si>
    <t>Acidarmure</t>
  </si>
  <si>
    <t>Säurepanzer</t>
  </si>
  <si>
    <t>Armad. Ácida</t>
  </si>
  <si>
    <t>Scudo Acido</t>
  </si>
  <si>
    <t>녹기</t>
  </si>
  <si>
    <t>溶化</t>
  </si>
  <si>
    <t>Crabhammer</t>
  </si>
  <si>
    <t>クラブハンマー</t>
  </si>
  <si>
    <t>Pince-Masse</t>
  </si>
  <si>
    <t>Krabbhammer</t>
  </si>
  <si>
    <t>Martillazo</t>
  </si>
  <si>
    <t>Martellata</t>
  </si>
  <si>
    <t>찝게햄머</t>
  </si>
  <si>
    <t>蟹鉗錘</t>
  </si>
  <si>
    <t>だいばくれつ</t>
  </si>
  <si>
    <t>Esplosione</t>
  </si>
  <si>
    <t>대폭발</t>
  </si>
  <si>
    <t>大爆炸</t>
  </si>
  <si>
    <t>Fury Swipes</t>
  </si>
  <si>
    <t>みだれひっかき</t>
  </si>
  <si>
    <t>Combo-Griffe</t>
  </si>
  <si>
    <t>Kratzfurie</t>
  </si>
  <si>
    <t>Golpes Furia</t>
  </si>
  <si>
    <t>Sfuriate</t>
  </si>
  <si>
    <t>마구할퀴기</t>
  </si>
  <si>
    <t>亂抓</t>
  </si>
  <si>
    <t>Bonemarang</t>
  </si>
  <si>
    <t>ホネブーメラン</t>
  </si>
  <si>
    <t>Osmerang</t>
  </si>
  <si>
    <t>Knochmerang</t>
  </si>
  <si>
    <t>Huesomerang</t>
  </si>
  <si>
    <t>Ossomerang</t>
  </si>
  <si>
    <t>뼈다귀부메랑</t>
  </si>
  <si>
    <t>骨頭回力鏢</t>
  </si>
  <si>
    <t>Rest</t>
  </si>
  <si>
    <t>ねむる</t>
  </si>
  <si>
    <t>Repos</t>
  </si>
  <si>
    <t>Erholung</t>
  </si>
  <si>
    <t>Descanso</t>
  </si>
  <si>
    <t>Riposo</t>
  </si>
  <si>
    <t>잠자기</t>
  </si>
  <si>
    <t>睡覺</t>
  </si>
  <si>
    <t>Rock Slide</t>
  </si>
  <si>
    <t>いわなだれ</t>
  </si>
  <si>
    <t>Éboulement</t>
  </si>
  <si>
    <t>Steinhagel</t>
  </si>
  <si>
    <t>Avalancha</t>
  </si>
  <si>
    <t>Frana</t>
  </si>
  <si>
    <t>스톤샤워</t>
  </si>
  <si>
    <t>岩崩</t>
  </si>
  <si>
    <t>Hyper Fang</t>
  </si>
  <si>
    <t>ひっさつまえば</t>
  </si>
  <si>
    <t>Croc de Mort</t>
  </si>
  <si>
    <t>Hyperzahn</t>
  </si>
  <si>
    <t>Hipercolmillo</t>
  </si>
  <si>
    <t>Iperzanna</t>
  </si>
  <si>
    <t>필살앞니</t>
  </si>
  <si>
    <t>必殺門牙</t>
  </si>
  <si>
    <t>终结门牙</t>
  </si>
  <si>
    <t>Sharpen</t>
  </si>
  <si>
    <t>かくばる</t>
  </si>
  <si>
    <t>Affûtage</t>
  </si>
  <si>
    <t>Schärfer</t>
  </si>
  <si>
    <t>Afilar</t>
  </si>
  <si>
    <t>Affilatore</t>
  </si>
  <si>
    <t>각지기</t>
  </si>
  <si>
    <t>棱角化</t>
  </si>
  <si>
    <t>Conversion</t>
  </si>
  <si>
    <t>テクスチャー</t>
  </si>
  <si>
    <t>Umwandlung</t>
  </si>
  <si>
    <t>Conversión</t>
  </si>
  <si>
    <t>Conversione</t>
  </si>
  <si>
    <t>텍스처</t>
  </si>
  <si>
    <t>紋理</t>
  </si>
  <si>
    <t>Tri Attack</t>
  </si>
  <si>
    <t>トライアタック</t>
  </si>
  <si>
    <t>Triplattaque</t>
  </si>
  <si>
    <t>Triplette</t>
  </si>
  <si>
    <t>Triataque</t>
  </si>
  <si>
    <t>Tripletta</t>
  </si>
  <si>
    <t>트라이어택</t>
  </si>
  <si>
    <t>三重攻擊</t>
  </si>
  <si>
    <t>Super Fang</t>
  </si>
  <si>
    <t>いかりのまえば</t>
  </si>
  <si>
    <t>Croc Fatal</t>
  </si>
  <si>
    <t>Superzahn</t>
  </si>
  <si>
    <t>Superdiente</t>
  </si>
  <si>
    <t>Superzanna</t>
  </si>
  <si>
    <t>분노의앞니</t>
  </si>
  <si>
    <t>憤怒門牙</t>
  </si>
  <si>
    <t>Slash</t>
  </si>
  <si>
    <t>きりさく</t>
  </si>
  <si>
    <t>Tranche</t>
  </si>
  <si>
    <t>Schlitzer</t>
  </si>
  <si>
    <t>Cuchillada</t>
  </si>
  <si>
    <t>Lacerazione</t>
  </si>
  <si>
    <t>베어가르기</t>
  </si>
  <si>
    <t>劈開</t>
  </si>
  <si>
    <t>Substitute</t>
  </si>
  <si>
    <t>みがわり</t>
  </si>
  <si>
    <t>Clonage</t>
  </si>
  <si>
    <t>Delegator</t>
  </si>
  <si>
    <t>Sustituto</t>
  </si>
  <si>
    <t>Sostituto</t>
  </si>
  <si>
    <t>대타출동</t>
  </si>
  <si>
    <t>替身</t>
  </si>
  <si>
    <t>Struggle</t>
  </si>
  <si>
    <t>わるあがき</t>
  </si>
  <si>
    <t>Lutte</t>
  </si>
  <si>
    <t>Verzweifler</t>
  </si>
  <si>
    <t>Forcejeo</t>
  </si>
  <si>
    <t>Scontro</t>
  </si>
  <si>
    <t>발버둥</t>
  </si>
  <si>
    <t>掙扎</t>
  </si>
  <si>
    <t>Sketch</t>
  </si>
  <si>
    <t>スケッチ</t>
  </si>
  <si>
    <t>Gribouille</t>
  </si>
  <si>
    <t>Nachahmer</t>
  </si>
  <si>
    <t>Esquema</t>
  </si>
  <si>
    <t>Schizzo</t>
  </si>
  <si>
    <t>스케치</t>
  </si>
  <si>
    <t>寫生</t>
  </si>
  <si>
    <t>Triple Kick</t>
  </si>
  <si>
    <t>トリプルキック</t>
  </si>
  <si>
    <t>Triple-Pied</t>
  </si>
  <si>
    <t>Dreifachkick</t>
  </si>
  <si>
    <t>Triple Patada</t>
  </si>
  <si>
    <t>Triplocalcio</t>
  </si>
  <si>
    <t>트리플킥</t>
  </si>
  <si>
    <t>三連踢</t>
  </si>
  <si>
    <t>Thief</t>
  </si>
  <si>
    <t>どろぼう</t>
  </si>
  <si>
    <t>Larcin</t>
  </si>
  <si>
    <t>Raub</t>
  </si>
  <si>
    <t>Ladrón</t>
  </si>
  <si>
    <t>Furto</t>
  </si>
  <si>
    <t>도둑질</t>
  </si>
  <si>
    <t>小偷</t>
  </si>
  <si>
    <t>Spider Web</t>
  </si>
  <si>
    <t>くものす</t>
  </si>
  <si>
    <t>Toile</t>
  </si>
  <si>
    <t>Spinnennetz</t>
  </si>
  <si>
    <t>Telaraña</t>
  </si>
  <si>
    <t>Ragnatela</t>
  </si>
  <si>
    <t>거미집</t>
  </si>
  <si>
    <t>蛛網</t>
  </si>
  <si>
    <t>Mind Reader</t>
  </si>
  <si>
    <t>こころのめ</t>
  </si>
  <si>
    <t>Lire-Esprit</t>
  </si>
  <si>
    <t>Willensleser</t>
  </si>
  <si>
    <t>Telépata</t>
  </si>
  <si>
    <t>Leggimente</t>
  </si>
  <si>
    <t>마음의눈</t>
  </si>
  <si>
    <t>心之眼</t>
  </si>
  <si>
    <t>Nightmare</t>
  </si>
  <si>
    <t>あくむ</t>
  </si>
  <si>
    <t>Cauchemar</t>
  </si>
  <si>
    <t>Nachtmahr</t>
  </si>
  <si>
    <t>Pesadilla</t>
  </si>
  <si>
    <t>Incubo</t>
  </si>
  <si>
    <t>악몽</t>
  </si>
  <si>
    <t>惡夢</t>
  </si>
  <si>
    <t>Flame Wheel</t>
  </si>
  <si>
    <t>かえんぐるま</t>
  </si>
  <si>
    <t>Roue de Feu</t>
  </si>
  <si>
    <t>Flammenrad</t>
  </si>
  <si>
    <t>Rueda Fuego</t>
  </si>
  <si>
    <t>Ruotafuoco</t>
  </si>
  <si>
    <t>화염자동차</t>
  </si>
  <si>
    <t>火焰輪</t>
  </si>
  <si>
    <t>Snore</t>
  </si>
  <si>
    <t>いびき</t>
  </si>
  <si>
    <t>Ronflement</t>
  </si>
  <si>
    <t>Ronquido</t>
  </si>
  <si>
    <t>Russare</t>
  </si>
  <si>
    <t>코골기</t>
  </si>
  <si>
    <t>打鼾</t>
  </si>
  <si>
    <t>Curse</t>
  </si>
  <si>
    <t>のろい</t>
  </si>
  <si>
    <t>Malédiction</t>
  </si>
  <si>
    <t>Fluch</t>
  </si>
  <si>
    <t>Maldición</t>
  </si>
  <si>
    <t>Maledizione</t>
  </si>
  <si>
    <t>저주</t>
  </si>
  <si>
    <t>詛咒</t>
  </si>
  <si>
    <t>咒术</t>
  </si>
  <si>
    <t>Flail</t>
  </si>
  <si>
    <t>Dreschflegel</t>
  </si>
  <si>
    <t>Azote</t>
  </si>
  <si>
    <t>Flagello</t>
  </si>
  <si>
    <t>Conversion 2</t>
  </si>
  <si>
    <t>テクスチャー２</t>
  </si>
  <si>
    <t>Conversión2</t>
  </si>
  <si>
    <t>텍스처２</t>
  </si>
  <si>
    <t>紋理２</t>
  </si>
  <si>
    <t>Aeroblast</t>
  </si>
  <si>
    <t>エイロブラスト</t>
  </si>
  <si>
    <t>Aéroblast</t>
  </si>
  <si>
    <t>Luftstoß</t>
  </si>
  <si>
    <t>Aerochorro</t>
  </si>
  <si>
    <t>Aerocolpo</t>
  </si>
  <si>
    <t>에어로블라스트</t>
  </si>
  <si>
    <t>氣旋攻擊</t>
  </si>
  <si>
    <t>Cotton Spore</t>
  </si>
  <si>
    <t>わたほうし</t>
  </si>
  <si>
    <t>Spore Coton</t>
  </si>
  <si>
    <t>Baumwollsaat</t>
  </si>
  <si>
    <t>Esporagodón</t>
  </si>
  <si>
    <t>Cottonspora</t>
  </si>
  <si>
    <t>목화포자</t>
  </si>
  <si>
    <t>棉孢子</t>
  </si>
  <si>
    <t>Reversal</t>
  </si>
  <si>
    <t>きしかいせい</t>
  </si>
  <si>
    <t>Contre</t>
  </si>
  <si>
    <t>Gegenschlag</t>
  </si>
  <si>
    <t>Inversión</t>
  </si>
  <si>
    <t>Contropiede</t>
  </si>
  <si>
    <t>기사회생</t>
  </si>
  <si>
    <t>起死回生</t>
  </si>
  <si>
    <t>绝处逢生</t>
  </si>
  <si>
    <t>Spite</t>
  </si>
  <si>
    <t>うらみ</t>
  </si>
  <si>
    <t>Dépit</t>
  </si>
  <si>
    <t>Groll</t>
  </si>
  <si>
    <t>Rencor</t>
  </si>
  <si>
    <t>Dispetto</t>
  </si>
  <si>
    <t>원한</t>
  </si>
  <si>
    <t>怨恨</t>
  </si>
  <si>
    <t>Powder Snow</t>
  </si>
  <si>
    <t>こなゆき</t>
  </si>
  <si>
    <t>Pulverschnee</t>
  </si>
  <si>
    <t>Nieve Polvo</t>
  </si>
  <si>
    <t>Polneve</t>
  </si>
  <si>
    <t>눈싸라기</t>
  </si>
  <si>
    <t>細雪</t>
  </si>
  <si>
    <t>Protect</t>
  </si>
  <si>
    <t>まもる</t>
  </si>
  <si>
    <t>Abri</t>
  </si>
  <si>
    <t>Protección</t>
  </si>
  <si>
    <t>Protezione</t>
  </si>
  <si>
    <t>방어</t>
  </si>
  <si>
    <t>守住</t>
  </si>
  <si>
    <t>Mach Punch</t>
  </si>
  <si>
    <t>マッハパンチ</t>
  </si>
  <si>
    <t>Tempohieb</t>
  </si>
  <si>
    <t>Ultrapuño</t>
  </si>
  <si>
    <t>Pugnorapido</t>
  </si>
  <si>
    <t>마하펀치</t>
  </si>
  <si>
    <t>音速拳</t>
  </si>
  <si>
    <t>Scary Face</t>
  </si>
  <si>
    <t>こわいかお</t>
  </si>
  <si>
    <t>Grimace</t>
  </si>
  <si>
    <t>Grimasse</t>
  </si>
  <si>
    <t>Cara Susto</t>
  </si>
  <si>
    <t>Visotruce</t>
  </si>
  <si>
    <t>겁나는얼굴</t>
  </si>
  <si>
    <t>鬼面</t>
  </si>
  <si>
    <t>可怕面孔</t>
  </si>
  <si>
    <t>Feint Attack</t>
  </si>
  <si>
    <t>だましうち</t>
  </si>
  <si>
    <t>Feinte</t>
  </si>
  <si>
    <t>Finte</t>
  </si>
  <si>
    <t>Finta</t>
  </si>
  <si>
    <t>속여때리기</t>
  </si>
  <si>
    <t>出奇一擊</t>
  </si>
  <si>
    <t>Sweet Kiss</t>
  </si>
  <si>
    <t>てんしのキッス</t>
  </si>
  <si>
    <t>Doux Baiser</t>
  </si>
  <si>
    <t>Bitterkaus</t>
  </si>
  <si>
    <t>Beso Dulce</t>
  </si>
  <si>
    <t>Dulcebacio</t>
  </si>
  <si>
    <t>천사의키스</t>
  </si>
  <si>
    <t>天使之吻</t>
  </si>
  <si>
    <t>Belly Drum</t>
  </si>
  <si>
    <t>はらだいこ</t>
  </si>
  <si>
    <t>Cognobidon</t>
  </si>
  <si>
    <t>Bauchtrommel</t>
  </si>
  <si>
    <t>Tambor</t>
  </si>
  <si>
    <t>Punciamburo</t>
  </si>
  <si>
    <t>배북</t>
  </si>
  <si>
    <t>腹鼓</t>
  </si>
  <si>
    <t>Sludge Bomb</t>
  </si>
  <si>
    <t>ヘドロばくだん</t>
  </si>
  <si>
    <t>Bombe Beurk</t>
  </si>
  <si>
    <t>Matschbombe</t>
  </si>
  <si>
    <t>Bomba Lodo</t>
  </si>
  <si>
    <t>Fangobomba</t>
  </si>
  <si>
    <t>오물폭탄</t>
  </si>
  <si>
    <t>污泥炸彈</t>
  </si>
  <si>
    <t>Mud-Slap</t>
  </si>
  <si>
    <t>どろかけ</t>
  </si>
  <si>
    <t>Coud'Boue</t>
  </si>
  <si>
    <t>Lehmschelle</t>
  </si>
  <si>
    <t>Bofetón Lodo</t>
  </si>
  <si>
    <t>Fangosberla</t>
  </si>
  <si>
    <t>진흙뿌리기</t>
  </si>
  <si>
    <t>擲泥</t>
  </si>
  <si>
    <t>Octazooka</t>
  </si>
  <si>
    <t>オクタンほう</t>
  </si>
  <si>
    <t>Pulpocañón</t>
  </si>
  <si>
    <t>대포무노포</t>
  </si>
  <si>
    <t>章魚桶炮</t>
  </si>
  <si>
    <t>Spikes</t>
  </si>
  <si>
    <t>まきびし</t>
  </si>
  <si>
    <t>Picots</t>
  </si>
  <si>
    <t>Stachler</t>
  </si>
  <si>
    <t>Púas</t>
  </si>
  <si>
    <t>Punte</t>
  </si>
  <si>
    <t>압정뿌리기</t>
  </si>
  <si>
    <t>撒菱</t>
  </si>
  <si>
    <t>Zap Cannon</t>
  </si>
  <si>
    <t>でんじほう</t>
  </si>
  <si>
    <t>Élécanon</t>
  </si>
  <si>
    <t>Blitzkanone</t>
  </si>
  <si>
    <t>Electrocañón</t>
  </si>
  <si>
    <t>Falcecannone</t>
  </si>
  <si>
    <t>전자포</t>
  </si>
  <si>
    <t>電磁炮</t>
  </si>
  <si>
    <t>Foresight</t>
  </si>
  <si>
    <t>みやぶる</t>
  </si>
  <si>
    <t>Clairvoyance</t>
  </si>
  <si>
    <t>Scharfblick</t>
  </si>
  <si>
    <t>Profecía</t>
  </si>
  <si>
    <t>Preveggenza</t>
  </si>
  <si>
    <t>꿰뚫어보기</t>
  </si>
  <si>
    <t>識破</t>
  </si>
  <si>
    <t>Destiny Bond</t>
  </si>
  <si>
    <t>みちづれ</t>
  </si>
  <si>
    <t>Lien du Destin</t>
  </si>
  <si>
    <t>Abgangsbund</t>
  </si>
  <si>
    <t>Destino Final</t>
  </si>
  <si>
    <t>Destinobbligato</t>
  </si>
  <si>
    <t>길동무</t>
  </si>
  <si>
    <t>同命</t>
  </si>
  <si>
    <t>Perish Song</t>
  </si>
  <si>
    <t>ほろびのうた</t>
  </si>
  <si>
    <t>Abgesang</t>
  </si>
  <si>
    <t>Canto Mortal</t>
  </si>
  <si>
    <t>Ultimocanto</t>
  </si>
  <si>
    <t>멸망의노래</t>
  </si>
  <si>
    <t>滅亡之歌</t>
  </si>
  <si>
    <t>终焉之歌</t>
  </si>
  <si>
    <t>Icy Wind</t>
  </si>
  <si>
    <t>こごえるかぜ</t>
  </si>
  <si>
    <t>Vent-Glace</t>
  </si>
  <si>
    <t>Eissturm</t>
  </si>
  <si>
    <t>Viento Hielo</t>
  </si>
  <si>
    <t>Ventogelato</t>
  </si>
  <si>
    <t>얼다바람</t>
  </si>
  <si>
    <t>冰凍之風</t>
  </si>
  <si>
    <t>Detect</t>
  </si>
  <si>
    <t>みきり</t>
  </si>
  <si>
    <t>Détection</t>
  </si>
  <si>
    <t>Scanner</t>
  </si>
  <si>
    <t>Detección</t>
  </si>
  <si>
    <t>Individua</t>
  </si>
  <si>
    <t>선찰</t>
  </si>
  <si>
    <t>看穿</t>
  </si>
  <si>
    <t>Bone Rush</t>
  </si>
  <si>
    <t>ボーンラッシュ</t>
  </si>
  <si>
    <t>Charge-Os</t>
  </si>
  <si>
    <t>Knochenhatz</t>
  </si>
  <si>
    <t>Ataque Óseo</t>
  </si>
  <si>
    <t>Ossoraffica</t>
  </si>
  <si>
    <t>본러쉬</t>
  </si>
  <si>
    <t>骨棒亂打</t>
  </si>
  <si>
    <t>Lock-On</t>
  </si>
  <si>
    <t>ロックオン</t>
  </si>
  <si>
    <t>Verrouillage</t>
  </si>
  <si>
    <t>Zielschuss</t>
  </si>
  <si>
    <t>Fijar Blanco</t>
  </si>
  <si>
    <t>Localizza</t>
  </si>
  <si>
    <t>록온</t>
  </si>
  <si>
    <t>鎖定</t>
  </si>
  <si>
    <t>Outrage</t>
  </si>
  <si>
    <t>げきりん</t>
  </si>
  <si>
    <t>Colère</t>
  </si>
  <si>
    <t>Wutanfall</t>
  </si>
  <si>
    <t>Enfado</t>
  </si>
  <si>
    <t>Oltraggio</t>
  </si>
  <si>
    <t>역린</t>
  </si>
  <si>
    <t>逆鱗</t>
  </si>
  <si>
    <t>Sandstorm</t>
  </si>
  <si>
    <t>すなあらし</t>
  </si>
  <si>
    <t>Tempête-Sable</t>
  </si>
  <si>
    <t>Sandsturm</t>
  </si>
  <si>
    <t>Tormenta Arena</t>
  </si>
  <si>
    <t>Terrempesta</t>
  </si>
  <si>
    <t>모래바람</t>
  </si>
  <si>
    <t>沙暴</t>
  </si>
  <si>
    <t>Giga Drain</t>
  </si>
  <si>
    <t>ギガドレイン</t>
  </si>
  <si>
    <t>Giga-Sangsue</t>
  </si>
  <si>
    <t>Gigasauger</t>
  </si>
  <si>
    <t>Gigadrenado</t>
  </si>
  <si>
    <t>Gigassorbimento</t>
  </si>
  <si>
    <t>기가드레인</t>
  </si>
  <si>
    <t>終極吸取</t>
  </si>
  <si>
    <t>Endure</t>
  </si>
  <si>
    <t>こらえる</t>
  </si>
  <si>
    <t>Ténacité</t>
  </si>
  <si>
    <t>Ausdauer</t>
  </si>
  <si>
    <t>Aguante</t>
  </si>
  <si>
    <t>버티기</t>
  </si>
  <si>
    <t>挺住</t>
  </si>
  <si>
    <t>Charm</t>
  </si>
  <si>
    <t>あまえる</t>
  </si>
  <si>
    <t>Charme</t>
  </si>
  <si>
    <t>Encanto</t>
  </si>
  <si>
    <t>Fascino</t>
  </si>
  <si>
    <t>애교부리기</t>
  </si>
  <si>
    <t>撒嬌</t>
  </si>
  <si>
    <t>Rollout</t>
  </si>
  <si>
    <t>ころがる</t>
  </si>
  <si>
    <t>Roulade</t>
  </si>
  <si>
    <t>Walzer</t>
  </si>
  <si>
    <t>Rodar</t>
  </si>
  <si>
    <t>Rotolamento</t>
  </si>
  <si>
    <t>구르기</t>
  </si>
  <si>
    <t>滾動</t>
  </si>
  <si>
    <t>False Swipe</t>
  </si>
  <si>
    <t>むねうち</t>
  </si>
  <si>
    <t>Faux-Chage</t>
  </si>
  <si>
    <t>Trugschlag</t>
  </si>
  <si>
    <t>Falsotortazo</t>
  </si>
  <si>
    <t>Falsofinale</t>
  </si>
  <si>
    <t>칼등치기</t>
  </si>
  <si>
    <t>點到為止</t>
  </si>
  <si>
    <t>Swagger</t>
  </si>
  <si>
    <t>いばる</t>
  </si>
  <si>
    <t>Vantardise</t>
  </si>
  <si>
    <t>Angeberei</t>
  </si>
  <si>
    <t>Contoneo</t>
  </si>
  <si>
    <t>Bullo</t>
  </si>
  <si>
    <t>뽐내기</t>
  </si>
  <si>
    <t>虛張聲勢</t>
  </si>
  <si>
    <t>Milk Drink</t>
  </si>
  <si>
    <t>ミルクのみ</t>
  </si>
  <si>
    <t>Lait à Boire</t>
  </si>
  <si>
    <t>Milchgetränk</t>
  </si>
  <si>
    <t>Batido</t>
  </si>
  <si>
    <t>Buonlatte</t>
  </si>
  <si>
    <t>우유마시기</t>
  </si>
  <si>
    <t>喝牛奶</t>
  </si>
  <si>
    <t>Spark</t>
  </si>
  <si>
    <t>スパーク</t>
  </si>
  <si>
    <t>Étincelle</t>
  </si>
  <si>
    <t>Funkensprung</t>
  </si>
  <si>
    <t>Chispa</t>
  </si>
  <si>
    <t>Scintilla</t>
  </si>
  <si>
    <t>스파크</t>
  </si>
  <si>
    <t>電光</t>
  </si>
  <si>
    <t>Fury Cutter</t>
  </si>
  <si>
    <t>れんぞくぎり</t>
  </si>
  <si>
    <t>Taillade</t>
  </si>
  <si>
    <t>Zornklinge</t>
  </si>
  <si>
    <t>Corte Furia</t>
  </si>
  <si>
    <t>Tagliofuria</t>
  </si>
  <si>
    <t>연속자르기</t>
  </si>
  <si>
    <t>連斬</t>
  </si>
  <si>
    <t>Steel Wing</t>
  </si>
  <si>
    <t>はがねのつばさ</t>
  </si>
  <si>
    <t>Ailes d'Acier</t>
  </si>
  <si>
    <t>Stahlflügel</t>
  </si>
  <si>
    <t>Ala de Acero</t>
  </si>
  <si>
    <t>Alacciaio</t>
  </si>
  <si>
    <t>강철날개</t>
  </si>
  <si>
    <t>鋼翼</t>
  </si>
  <si>
    <t>Mean Look</t>
  </si>
  <si>
    <t>くろいまなざし</t>
  </si>
  <si>
    <t>Regard Noir</t>
  </si>
  <si>
    <t>Horrorblick</t>
  </si>
  <si>
    <t>Mal de Ojo</t>
  </si>
  <si>
    <t>Malosguardo</t>
  </si>
  <si>
    <t>검은눈빛</t>
  </si>
  <si>
    <t>黑色目光</t>
  </si>
  <si>
    <t>Attract</t>
  </si>
  <si>
    <t>メロメロ</t>
  </si>
  <si>
    <t>Attraction</t>
  </si>
  <si>
    <t>Anziehung</t>
  </si>
  <si>
    <t>Atracción</t>
  </si>
  <si>
    <t>Attrazione</t>
  </si>
  <si>
    <t>헤롱헤롱</t>
  </si>
  <si>
    <t>迷人</t>
  </si>
  <si>
    <t>Sleep Talk</t>
  </si>
  <si>
    <t>ねごと</t>
  </si>
  <si>
    <t>Blabla-Dodo</t>
  </si>
  <si>
    <t>Schlafrede</t>
  </si>
  <si>
    <t>Sonámbulo</t>
  </si>
  <si>
    <t>Sonnolalia</t>
  </si>
  <si>
    <t>잠꼬대</t>
  </si>
  <si>
    <t>夢話</t>
  </si>
  <si>
    <t>Heal Bell</t>
  </si>
  <si>
    <t>いやしのすず</t>
  </si>
  <si>
    <t>Glas de Soin</t>
  </si>
  <si>
    <t>Vitalglocke</t>
  </si>
  <si>
    <t>Campana Cura</t>
  </si>
  <si>
    <t>Rintoccasana</t>
  </si>
  <si>
    <t>치료방울</t>
  </si>
  <si>
    <t>治癒鈴聲</t>
  </si>
  <si>
    <t>Return</t>
  </si>
  <si>
    <t>おんがえし</t>
  </si>
  <si>
    <t>Retour</t>
  </si>
  <si>
    <t>Rückkehr</t>
  </si>
  <si>
    <t>Retribución</t>
  </si>
  <si>
    <t>Ritorno</t>
  </si>
  <si>
    <t>은혜갚기</t>
  </si>
  <si>
    <t>報恩</t>
  </si>
  <si>
    <t>Present</t>
  </si>
  <si>
    <t>プレセント</t>
  </si>
  <si>
    <t>Cadeau</t>
  </si>
  <si>
    <t>Geschenk</t>
  </si>
  <si>
    <t>Presente</t>
  </si>
  <si>
    <t>Regalino</t>
  </si>
  <si>
    <t>프레젠트</t>
  </si>
  <si>
    <t>禮物</t>
  </si>
  <si>
    <t>Frustration</t>
  </si>
  <si>
    <t>やつあたり</t>
  </si>
  <si>
    <t>Frustración</t>
  </si>
  <si>
    <t>Frustrazione</t>
  </si>
  <si>
    <t>화풀이</t>
  </si>
  <si>
    <t>遷怒</t>
  </si>
  <si>
    <t>Safeguard</t>
  </si>
  <si>
    <t>しんぴのまもり</t>
  </si>
  <si>
    <t>Rune Protect</t>
  </si>
  <si>
    <t>Bodyguard</t>
  </si>
  <si>
    <t>Velo Sagrado</t>
  </si>
  <si>
    <t>Salvaguardia</t>
  </si>
  <si>
    <t>신비의부적</t>
  </si>
  <si>
    <t>神秘守護</t>
  </si>
  <si>
    <t>Pain Split</t>
  </si>
  <si>
    <t>いたみわけ</t>
  </si>
  <si>
    <t>Balance</t>
  </si>
  <si>
    <t>Leidteiler</t>
  </si>
  <si>
    <t>Divide Dolor</t>
  </si>
  <si>
    <t>Malcomune</t>
  </si>
  <si>
    <t>아픔나누기</t>
  </si>
  <si>
    <t>分擔痛楚</t>
  </si>
  <si>
    <t>Sacred Fire</t>
  </si>
  <si>
    <t>せいなるほのう</t>
  </si>
  <si>
    <t>Feu Sacré</t>
  </si>
  <si>
    <t>Läuterfeuer</t>
  </si>
  <si>
    <t>Fuego Sagrado</t>
  </si>
  <si>
    <t>Magifuoco</t>
  </si>
  <si>
    <t>성스러운불꽃</t>
  </si>
  <si>
    <t>神聖之火</t>
  </si>
  <si>
    <t>Magnitude</t>
  </si>
  <si>
    <t>マグニチュード</t>
  </si>
  <si>
    <t>Ampleur</t>
  </si>
  <si>
    <t>Intensität</t>
  </si>
  <si>
    <t>Magnitud</t>
  </si>
  <si>
    <t>매그니튜드</t>
  </si>
  <si>
    <t>震級</t>
  </si>
  <si>
    <t>Dynamic Punch</t>
  </si>
  <si>
    <t>ばくれつパンチ</t>
  </si>
  <si>
    <t>Dynamo-Poing</t>
  </si>
  <si>
    <t>Wuchtschlag</t>
  </si>
  <si>
    <t>Puño Dinámico</t>
  </si>
  <si>
    <t>Dinamipugno</t>
  </si>
  <si>
    <t>폭발펀치</t>
  </si>
  <si>
    <t>爆裂拳</t>
  </si>
  <si>
    <t>Megahorn</t>
  </si>
  <si>
    <t>メガホーン</t>
  </si>
  <si>
    <t>Mégacorne</t>
  </si>
  <si>
    <t>Megacuerno</t>
  </si>
  <si>
    <t>Megacorno</t>
  </si>
  <si>
    <t>메가폰</t>
  </si>
  <si>
    <t>超級角擊</t>
  </si>
  <si>
    <t>Dragon Breath</t>
  </si>
  <si>
    <t>りゅうのいぶき</t>
  </si>
  <si>
    <t>Dracosouffle</t>
  </si>
  <si>
    <t>Feuerodem</t>
  </si>
  <si>
    <t>Dragoaliento</t>
  </si>
  <si>
    <t>Dragospiro</t>
  </si>
  <si>
    <t>용의숨결</t>
  </si>
  <si>
    <t>龍息</t>
  </si>
  <si>
    <t>Baton Pass</t>
  </si>
  <si>
    <t>バトンタッチ</t>
  </si>
  <si>
    <t>Relai</t>
  </si>
  <si>
    <t>Stafette</t>
  </si>
  <si>
    <t>Relevo</t>
  </si>
  <si>
    <t>Staffetta</t>
  </si>
  <si>
    <t>바톤터치</t>
  </si>
  <si>
    <t>接棒</t>
  </si>
  <si>
    <t>Encore</t>
  </si>
  <si>
    <t>アンコール</t>
  </si>
  <si>
    <t>Zugabe</t>
  </si>
  <si>
    <t>Otra Vez</t>
  </si>
  <si>
    <t>Ripeti</t>
  </si>
  <si>
    <t>앵콜</t>
  </si>
  <si>
    <t>再來一次</t>
  </si>
  <si>
    <t>Pursuit</t>
  </si>
  <si>
    <t>おいうち</t>
  </si>
  <si>
    <t>Poursuite</t>
  </si>
  <si>
    <t>Verfolgung</t>
  </si>
  <si>
    <t>Persecución</t>
  </si>
  <si>
    <t>Inseguimento</t>
  </si>
  <si>
    <t>따라가때리기</t>
  </si>
  <si>
    <t>追打</t>
  </si>
  <si>
    <t>Rapid Spin</t>
  </si>
  <si>
    <t>こうそくスピン</t>
  </si>
  <si>
    <t>Tour Rapide</t>
  </si>
  <si>
    <t>Turbodreher</t>
  </si>
  <si>
    <t>Giro Rápido</t>
  </si>
  <si>
    <t>Rapigiro</t>
  </si>
  <si>
    <t>고속스핀</t>
  </si>
  <si>
    <t>高速旋轉</t>
  </si>
  <si>
    <t>Sweet Scent</t>
  </si>
  <si>
    <t>あまいかおり</t>
  </si>
  <si>
    <t>Doux Parfum</t>
  </si>
  <si>
    <t>Lockduft</t>
  </si>
  <si>
    <t>Dulce Aroma</t>
  </si>
  <si>
    <t>Profumino</t>
  </si>
  <si>
    <t>달콤한향기</t>
  </si>
  <si>
    <t>甜甜香氣</t>
  </si>
  <si>
    <t>Iron Tail</t>
  </si>
  <si>
    <t>アイヤンテール</t>
  </si>
  <si>
    <t>Queue de Fer</t>
  </si>
  <si>
    <t>Eisenschweif</t>
  </si>
  <si>
    <t>Cola Férrea</t>
  </si>
  <si>
    <t>Codacciaio</t>
  </si>
  <si>
    <t>아이언테일</t>
  </si>
  <si>
    <t>鐵尾</t>
  </si>
  <si>
    <t>Metal Claw</t>
  </si>
  <si>
    <t>メトルクロー</t>
  </si>
  <si>
    <t>Griffe-Acier</t>
  </si>
  <si>
    <t>Metallklaue</t>
  </si>
  <si>
    <t>Garra Metal</t>
  </si>
  <si>
    <t>Ferrartigli</t>
  </si>
  <si>
    <t>메탈크로우</t>
  </si>
  <si>
    <t>金屬爪</t>
  </si>
  <si>
    <t>Vital Throw</t>
  </si>
  <si>
    <t>あてみなげ</t>
  </si>
  <si>
    <t>Corps Perdu</t>
  </si>
  <si>
    <t>Überwurf</t>
  </si>
  <si>
    <t>Tiro Vital</t>
  </si>
  <si>
    <t>Vitaltiro</t>
  </si>
  <si>
    <t>받아던지기</t>
  </si>
  <si>
    <t>借力摔</t>
  </si>
  <si>
    <t>Morning Sun</t>
  </si>
  <si>
    <t>あさのひざし</t>
  </si>
  <si>
    <t>Morgengrauen</t>
  </si>
  <si>
    <t>Sol Matinal</t>
  </si>
  <si>
    <t>Mattindoro</t>
  </si>
  <si>
    <t>아침햇살</t>
  </si>
  <si>
    <t>晨光</t>
  </si>
  <si>
    <t>Synthesis</t>
  </si>
  <si>
    <t>こうごうせい</t>
  </si>
  <si>
    <t>Synthèse</t>
  </si>
  <si>
    <t>Synthese</t>
  </si>
  <si>
    <t>Síntesis</t>
  </si>
  <si>
    <t>Sintesi</t>
  </si>
  <si>
    <t>광합성</t>
  </si>
  <si>
    <t>光合作用</t>
  </si>
  <si>
    <t>つきのひかり</t>
  </si>
  <si>
    <t>Rayon Lune</t>
  </si>
  <si>
    <t>달의불빛</t>
  </si>
  <si>
    <t>Hidden Power</t>
  </si>
  <si>
    <t>めざめるパワー</t>
  </si>
  <si>
    <t>Puissance Cachée</t>
  </si>
  <si>
    <t>Kraftreserve</t>
  </si>
  <si>
    <t>Poder Oculto</t>
  </si>
  <si>
    <t>Introforza</t>
  </si>
  <si>
    <t>잠재파워</t>
  </si>
  <si>
    <t>覺醒力量</t>
  </si>
  <si>
    <t>Cross Chop</t>
  </si>
  <si>
    <t>クロスチョップ</t>
  </si>
  <si>
    <t>Coup-Croix</t>
  </si>
  <si>
    <t>Kreuzhieb</t>
  </si>
  <si>
    <t>Tajo Cruzado</t>
  </si>
  <si>
    <t>Incrocolpo</t>
  </si>
  <si>
    <t>크로스촙</t>
  </si>
  <si>
    <t>十字劈</t>
  </si>
  <si>
    <t>Twister</t>
  </si>
  <si>
    <t>たつまき</t>
  </si>
  <si>
    <t>Ouragan</t>
  </si>
  <si>
    <t>Windhose</t>
  </si>
  <si>
    <t>Ciclón</t>
  </si>
  <si>
    <t>회오리</t>
  </si>
  <si>
    <t>龍捲風</t>
  </si>
  <si>
    <t>Rain Dance</t>
  </si>
  <si>
    <t>あまごい</t>
  </si>
  <si>
    <t>Danse-Pluie</t>
  </si>
  <si>
    <t>Regentanz</t>
  </si>
  <si>
    <t>Danza Lluvia</t>
  </si>
  <si>
    <t>Pioggiadanza</t>
  </si>
  <si>
    <t>비바라기</t>
  </si>
  <si>
    <t>求雨</t>
  </si>
  <si>
    <t>Sunny Day</t>
  </si>
  <si>
    <t>にほんばれ</t>
  </si>
  <si>
    <t>Zénith</t>
  </si>
  <si>
    <t>Sonnentag</t>
  </si>
  <si>
    <t>Día Soleado</t>
  </si>
  <si>
    <t>Giornodisole</t>
  </si>
  <si>
    <t>쾌청</t>
  </si>
  <si>
    <t>大晴天</t>
  </si>
  <si>
    <t>Crunch</t>
  </si>
  <si>
    <t>かみくだく</t>
  </si>
  <si>
    <t>Mâchouille</t>
  </si>
  <si>
    <t>Knirscher</t>
  </si>
  <si>
    <t>Triturar</t>
  </si>
  <si>
    <t>Sgranocchio</t>
  </si>
  <si>
    <t>깨물어부수기</t>
  </si>
  <si>
    <t>咬碎</t>
  </si>
  <si>
    <t>Mirror Coat</t>
  </si>
  <si>
    <t>ミラーコート</t>
  </si>
  <si>
    <t>Voile Mirroir</t>
  </si>
  <si>
    <t>Spiegelcape</t>
  </si>
  <si>
    <t>Manto Espejo</t>
  </si>
  <si>
    <t>Specchiovelo</t>
  </si>
  <si>
    <t>미러코트</t>
  </si>
  <si>
    <t>鏡面反射</t>
  </si>
  <si>
    <t>Psych Up</t>
  </si>
  <si>
    <t>じこあんじ</t>
  </si>
  <si>
    <t>Boost</t>
  </si>
  <si>
    <t>Psycho-Plus</t>
  </si>
  <si>
    <t>Más Psique</t>
  </si>
  <si>
    <t>Psicamisù</t>
  </si>
  <si>
    <t>자기암시</t>
  </si>
  <si>
    <t>自我暗示</t>
  </si>
  <si>
    <t>Extreme Speed</t>
  </si>
  <si>
    <t>しんそく</t>
  </si>
  <si>
    <t>Vitesse Extrême</t>
  </si>
  <si>
    <t>Turbotempo</t>
  </si>
  <si>
    <t>Vel. Extrema</t>
  </si>
  <si>
    <t>Extrarapido</t>
  </si>
  <si>
    <t>신속</t>
  </si>
  <si>
    <t>神速</t>
  </si>
  <si>
    <t>Ancient Power</t>
  </si>
  <si>
    <t>げんしのちから</t>
  </si>
  <si>
    <t>Pouvoir Antique</t>
  </si>
  <si>
    <t>Antik-Kraft</t>
  </si>
  <si>
    <t>Poder Pasado</t>
  </si>
  <si>
    <t>Forzantica</t>
  </si>
  <si>
    <t>원시의힘</t>
  </si>
  <si>
    <t>原始之力</t>
  </si>
  <si>
    <t>Shadow Ball</t>
  </si>
  <si>
    <t>シャドーボール</t>
  </si>
  <si>
    <t>Ball'Ombre</t>
  </si>
  <si>
    <t>Spukball</t>
  </si>
  <si>
    <t>Bola Sombra</t>
  </si>
  <si>
    <t>Palla Ombra</t>
  </si>
  <si>
    <t>섀도볼</t>
  </si>
  <si>
    <t>暗影球</t>
  </si>
  <si>
    <t>Future Sight</t>
  </si>
  <si>
    <t>みらいよち</t>
  </si>
  <si>
    <t>Prescience</t>
  </si>
  <si>
    <t>Seher</t>
  </si>
  <si>
    <t>Premonición</t>
  </si>
  <si>
    <t>Divinazione</t>
  </si>
  <si>
    <t>미래예지</t>
  </si>
  <si>
    <t>預知未來</t>
  </si>
  <si>
    <t>Rock Smash</t>
  </si>
  <si>
    <t>いわくだき</t>
  </si>
  <si>
    <t>Éclate-Roc</t>
  </si>
  <si>
    <t>Zertrümmerer</t>
  </si>
  <si>
    <t>Golpe Roca</t>
  </si>
  <si>
    <t>Spaccaroccia</t>
  </si>
  <si>
    <t>바위깨기</t>
  </si>
  <si>
    <t>碎岩</t>
  </si>
  <si>
    <t>Whirlpool</t>
  </si>
  <si>
    <t>うずしお</t>
  </si>
  <si>
    <t>Siphon</t>
  </si>
  <si>
    <t>Mulinello</t>
  </si>
  <si>
    <t>바다회오리</t>
  </si>
  <si>
    <t>潮旋</t>
  </si>
  <si>
    <t>Beat Up</t>
  </si>
  <si>
    <t>ふくろだたき</t>
  </si>
  <si>
    <t>Baston</t>
  </si>
  <si>
    <t>Prügler</t>
  </si>
  <si>
    <t>Paliza</t>
  </si>
  <si>
    <t>Picchiaduro</t>
  </si>
  <si>
    <t>집단구타</t>
  </si>
  <si>
    <t>圍攻</t>
  </si>
  <si>
    <t>Fake Out</t>
  </si>
  <si>
    <t>ねこだまし</t>
  </si>
  <si>
    <t>Bluff</t>
  </si>
  <si>
    <t>Mogelhieb</t>
  </si>
  <si>
    <t>Sorpresa</t>
  </si>
  <si>
    <t>Bruciapelo</t>
  </si>
  <si>
    <t>속이다</t>
  </si>
  <si>
    <t>擊掌奇襲</t>
  </si>
  <si>
    <t>Uproar</t>
  </si>
  <si>
    <t>さわぐ</t>
  </si>
  <si>
    <t>Brouhaha</t>
  </si>
  <si>
    <t>Aufruhr</t>
  </si>
  <si>
    <t>Alboroto</t>
  </si>
  <si>
    <t>Baraonda</t>
  </si>
  <si>
    <t>소란피기</t>
  </si>
  <si>
    <t>吵鬧</t>
  </si>
  <si>
    <t>Stockpile</t>
  </si>
  <si>
    <t>たくわえる</t>
  </si>
  <si>
    <t>Stockage</t>
  </si>
  <si>
    <t>Horter</t>
  </si>
  <si>
    <t>Reserva</t>
  </si>
  <si>
    <t>Accumulo</t>
  </si>
  <si>
    <t>비축하기</t>
  </si>
  <si>
    <t>蓄力</t>
  </si>
  <si>
    <t>Spit Up</t>
  </si>
  <si>
    <t>はきだす</t>
  </si>
  <si>
    <t>Relâche</t>
  </si>
  <si>
    <t>Entfessler</t>
  </si>
  <si>
    <t>Escupir</t>
  </si>
  <si>
    <t>Sfoghenergia</t>
  </si>
  <si>
    <t>토해내기</t>
  </si>
  <si>
    <t>噴出</t>
  </si>
  <si>
    <t>のみこむ</t>
  </si>
  <si>
    <t>Avale</t>
  </si>
  <si>
    <t>Verzehrer</t>
  </si>
  <si>
    <t>Tragar</t>
  </si>
  <si>
    <t>Intoenergia</t>
  </si>
  <si>
    <t>꿀꺽</t>
  </si>
  <si>
    <t>吞下</t>
  </si>
  <si>
    <t>Heat Wave</t>
  </si>
  <si>
    <t>ねっぷう</t>
  </si>
  <si>
    <t>Canicule</t>
  </si>
  <si>
    <t>Hitzewelle</t>
  </si>
  <si>
    <t>Onda Ígnea</t>
  </si>
  <si>
    <t>Ondacalda</t>
  </si>
  <si>
    <t>열풍</t>
  </si>
  <si>
    <t>熱風</t>
  </si>
  <si>
    <t>Hail</t>
  </si>
  <si>
    <t>あられ</t>
  </si>
  <si>
    <t>Hagelsturm</t>
  </si>
  <si>
    <t>Granizo</t>
  </si>
  <si>
    <t>Grandine</t>
  </si>
  <si>
    <t>싸라기눈</t>
  </si>
  <si>
    <t>冰雹</t>
  </si>
  <si>
    <t>Torment</t>
  </si>
  <si>
    <t>いちゃもん</t>
  </si>
  <si>
    <t>Tourmente</t>
  </si>
  <si>
    <t>Folterknecht</t>
  </si>
  <si>
    <t>Tormento</t>
  </si>
  <si>
    <t>Attaccalite</t>
  </si>
  <si>
    <t>트집</t>
  </si>
  <si>
    <t>無理取鬧</t>
  </si>
  <si>
    <t>Flatter</t>
  </si>
  <si>
    <t>おだてる</t>
  </si>
  <si>
    <t>Flatterie</t>
  </si>
  <si>
    <t>Schmeichler</t>
  </si>
  <si>
    <t>Camelo</t>
  </si>
  <si>
    <t>Adulazione</t>
  </si>
  <si>
    <t>부추기기</t>
  </si>
  <si>
    <t>吹捧</t>
  </si>
  <si>
    <t>Will-O-Wisp</t>
  </si>
  <si>
    <t>磷火</t>
  </si>
  <si>
    <t>Memento</t>
  </si>
  <si>
    <t>おきみやげ</t>
  </si>
  <si>
    <t>Souvenir</t>
  </si>
  <si>
    <t>Legado</t>
  </si>
  <si>
    <t>추억의선물</t>
  </si>
  <si>
    <t>臨別禮物</t>
  </si>
  <si>
    <t>Facade</t>
  </si>
  <si>
    <t>からげんき</t>
  </si>
  <si>
    <t>Façade</t>
  </si>
  <si>
    <t>Fassade</t>
  </si>
  <si>
    <t>Imagen</t>
  </si>
  <si>
    <t>Facciata</t>
  </si>
  <si>
    <t>객기</t>
  </si>
  <si>
    <t>硬撐</t>
  </si>
  <si>
    <t>Focus Punch</t>
  </si>
  <si>
    <t>きあいパンチ</t>
  </si>
  <si>
    <t>Mitra-Poing</t>
  </si>
  <si>
    <t>Power-Punch</t>
  </si>
  <si>
    <t>Puño Certero</t>
  </si>
  <si>
    <t>Centripugno</t>
  </si>
  <si>
    <t>힘껏펀치</t>
  </si>
  <si>
    <t>真氣拳</t>
  </si>
  <si>
    <t>Smelling Salts</t>
  </si>
  <si>
    <t>きつけ</t>
  </si>
  <si>
    <t>Stimulant</t>
  </si>
  <si>
    <t>Riechsalz</t>
  </si>
  <si>
    <t>Estímulo</t>
  </si>
  <si>
    <t>Maniereforti</t>
  </si>
  <si>
    <t>정신차리기</t>
  </si>
  <si>
    <t>清醒</t>
  </si>
  <si>
    <t>Follow Me</t>
  </si>
  <si>
    <t>このゆびとまれ</t>
  </si>
  <si>
    <t>Par Ici</t>
  </si>
  <si>
    <t>Sonoqui</t>
  </si>
  <si>
    <t>날따름</t>
  </si>
  <si>
    <t>看我嘛</t>
  </si>
  <si>
    <t>Nature Power</t>
  </si>
  <si>
    <t>しぜんのちから</t>
  </si>
  <si>
    <t>Force Nature</t>
  </si>
  <si>
    <t>Natur-Kraft</t>
  </si>
  <si>
    <t>Adaptación</t>
  </si>
  <si>
    <t>Naturforza</t>
  </si>
  <si>
    <t>자연의힘</t>
  </si>
  <si>
    <t>自然之力</t>
  </si>
  <si>
    <t>じゅうでん</t>
  </si>
  <si>
    <t>Chargeur</t>
  </si>
  <si>
    <t>Ladevorgang</t>
  </si>
  <si>
    <t>Carga</t>
  </si>
  <si>
    <t>Sottocarica</t>
  </si>
  <si>
    <t>충전</t>
  </si>
  <si>
    <t>充電</t>
  </si>
  <si>
    <t>Taunt</t>
  </si>
  <si>
    <t>ちょうはつ</t>
  </si>
  <si>
    <t>Provoc</t>
  </si>
  <si>
    <t>Verhöhner</t>
  </si>
  <si>
    <t>Mofa</t>
  </si>
  <si>
    <t>Provocazione</t>
  </si>
  <si>
    <t>도발</t>
  </si>
  <si>
    <t>挑釁</t>
  </si>
  <si>
    <t>Helping Hand</t>
  </si>
  <si>
    <t>てだすけ</t>
  </si>
  <si>
    <t>Coup d'Main</t>
  </si>
  <si>
    <t>Rechte Hand</t>
  </si>
  <si>
    <t>Refuerzo</t>
  </si>
  <si>
    <t>Altruismo</t>
  </si>
  <si>
    <t>도우미</t>
  </si>
  <si>
    <t>幫助</t>
  </si>
  <si>
    <t>Trick</t>
  </si>
  <si>
    <t>トリック</t>
  </si>
  <si>
    <t>Tourmagik</t>
  </si>
  <si>
    <t>Truco</t>
  </si>
  <si>
    <t>트릭</t>
  </si>
  <si>
    <t>戲法</t>
  </si>
  <si>
    <t>Role Play</t>
  </si>
  <si>
    <t>なりきり</t>
  </si>
  <si>
    <t>Rollenspiel</t>
  </si>
  <si>
    <t>Giocodiruolo</t>
  </si>
  <si>
    <t>역할</t>
  </si>
  <si>
    <t>扮演</t>
  </si>
  <si>
    <t>Vœu</t>
  </si>
  <si>
    <t>Wunschtraum</t>
  </si>
  <si>
    <t>Assist</t>
  </si>
  <si>
    <t>ねこのて</t>
  </si>
  <si>
    <t>Assistance</t>
  </si>
  <si>
    <t>Zuschuss</t>
  </si>
  <si>
    <t>Ayuda</t>
  </si>
  <si>
    <t>조수</t>
  </si>
  <si>
    <t>借助</t>
  </si>
  <si>
    <t>Ingrain</t>
  </si>
  <si>
    <t>ねをはる</t>
  </si>
  <si>
    <t>Racines</t>
  </si>
  <si>
    <t>Verwurzler</t>
  </si>
  <si>
    <t>Arraigo</t>
  </si>
  <si>
    <t>Radicamento</t>
  </si>
  <si>
    <t>뿌리박기</t>
  </si>
  <si>
    <t>扎根</t>
  </si>
  <si>
    <t>ばかじから</t>
  </si>
  <si>
    <t>Surpuissance</t>
  </si>
  <si>
    <t>Kraftkoloss</t>
  </si>
  <si>
    <t>Fuerza Bruta</t>
  </si>
  <si>
    <t>Troppoforte</t>
  </si>
  <si>
    <t>엄청난힘</t>
  </si>
  <si>
    <t>蠻力</t>
  </si>
  <si>
    <t>Magic Coat</t>
  </si>
  <si>
    <t>マジックコート</t>
  </si>
  <si>
    <t>Reflet Magik</t>
  </si>
  <si>
    <t>Magiemantel</t>
  </si>
  <si>
    <t>Capa Mágica</t>
  </si>
  <si>
    <t>Magivelo</t>
  </si>
  <si>
    <t>매직코트</t>
  </si>
  <si>
    <t>魔法反射</t>
  </si>
  <si>
    <t>Recycle</t>
  </si>
  <si>
    <t>リサイクル</t>
  </si>
  <si>
    <t>Recyclage</t>
  </si>
  <si>
    <t>Aufbereitung</t>
  </si>
  <si>
    <t>Reciclaje</t>
  </si>
  <si>
    <t>Riciclo</t>
  </si>
  <si>
    <t>리사이클</t>
  </si>
  <si>
    <t>回收利用</t>
  </si>
  <si>
    <t>Revenge</t>
  </si>
  <si>
    <t>リリベンジ</t>
  </si>
  <si>
    <t>Vendetta</t>
  </si>
  <si>
    <t>Vergeltung</t>
  </si>
  <si>
    <t>Desquite</t>
  </si>
  <si>
    <t>리벤지</t>
  </si>
  <si>
    <t>報復</t>
  </si>
  <si>
    <t>Brick Break</t>
  </si>
  <si>
    <t>かわらわり</t>
  </si>
  <si>
    <t>Casse-Brique</t>
  </si>
  <si>
    <t>Durchbruch</t>
  </si>
  <si>
    <t>Demolición</t>
  </si>
  <si>
    <t>Breccia</t>
  </si>
  <si>
    <t>깨트리다</t>
  </si>
  <si>
    <t>劈瓦</t>
  </si>
  <si>
    <t>Yawn</t>
  </si>
  <si>
    <t>あくび</t>
  </si>
  <si>
    <t>Bâillement</t>
  </si>
  <si>
    <t>Gähner</t>
  </si>
  <si>
    <t>Bostezo</t>
  </si>
  <si>
    <t>Sbadiglio</t>
  </si>
  <si>
    <t>하품</t>
  </si>
  <si>
    <t>哈欠</t>
  </si>
  <si>
    <t>Knock Off</t>
  </si>
  <si>
    <t>はたきおとす</t>
  </si>
  <si>
    <t>Sabotage</t>
  </si>
  <si>
    <t>Abschlag</t>
  </si>
  <si>
    <t>Desarme</t>
  </si>
  <si>
    <t>Privazione</t>
  </si>
  <si>
    <t>탁쳐서떨구기</t>
  </si>
  <si>
    <t>拍落</t>
  </si>
  <si>
    <t>Endeavor</t>
  </si>
  <si>
    <t>がむしゃら</t>
  </si>
  <si>
    <t>Effort</t>
  </si>
  <si>
    <t>Notsituation</t>
  </si>
  <si>
    <t>Esfuerzo</t>
  </si>
  <si>
    <t>Rimonta</t>
  </si>
  <si>
    <t>죽기살기</t>
  </si>
  <si>
    <t>蠻幹</t>
  </si>
  <si>
    <t>Eruption</t>
  </si>
  <si>
    <t>ふんか</t>
  </si>
  <si>
    <t>Éruption</t>
  </si>
  <si>
    <t>Estallido</t>
  </si>
  <si>
    <t>Eruzione</t>
  </si>
  <si>
    <t>분화</t>
  </si>
  <si>
    <t>噴火</t>
  </si>
  <si>
    <t>Skill Swap</t>
  </si>
  <si>
    <t>スキルスワップ</t>
  </si>
  <si>
    <t>Échange</t>
  </si>
  <si>
    <t>Fähigkeitstausch</t>
  </si>
  <si>
    <t>Intercambio</t>
  </si>
  <si>
    <t>Baratto</t>
  </si>
  <si>
    <t>스킬스웹</t>
  </si>
  <si>
    <t>特性互換</t>
  </si>
  <si>
    <t>Imprison</t>
  </si>
  <si>
    <t>Possessif</t>
  </si>
  <si>
    <t>Begrenzer</t>
  </si>
  <si>
    <t>Sellar</t>
  </si>
  <si>
    <t>Esclusiva</t>
  </si>
  <si>
    <t>Refresh</t>
  </si>
  <si>
    <t>リフレッシュ</t>
  </si>
  <si>
    <t>Régénération</t>
  </si>
  <si>
    <t>Heilung</t>
  </si>
  <si>
    <t>Alivio</t>
  </si>
  <si>
    <t>Rinfrescata</t>
  </si>
  <si>
    <t>리프레쉬</t>
  </si>
  <si>
    <t>煥然一新</t>
  </si>
  <si>
    <t>Grudge</t>
  </si>
  <si>
    <t>おんねん</t>
  </si>
  <si>
    <t>Rancune</t>
  </si>
  <si>
    <t>Nachspiel</t>
  </si>
  <si>
    <t>Rabia</t>
  </si>
  <si>
    <t>Rancore</t>
  </si>
  <si>
    <t>원념</t>
  </si>
  <si>
    <t>怨念</t>
  </si>
  <si>
    <t>Snatch</t>
  </si>
  <si>
    <t>よこどり</t>
  </si>
  <si>
    <t>Saisie</t>
  </si>
  <si>
    <t>Übernahme</t>
  </si>
  <si>
    <t>Robo</t>
  </si>
  <si>
    <t>Scippo</t>
  </si>
  <si>
    <t>가로챔</t>
  </si>
  <si>
    <t>搶奪</t>
  </si>
  <si>
    <t>化为己用</t>
  </si>
  <si>
    <t>Secret Power</t>
  </si>
  <si>
    <t>ひみつのちから</t>
  </si>
  <si>
    <t>Force Cachée</t>
  </si>
  <si>
    <t>Geheimpower</t>
  </si>
  <si>
    <t>Daño Secreto</t>
  </si>
  <si>
    <t>Forzasegreta</t>
  </si>
  <si>
    <t>비밀의힘</t>
  </si>
  <si>
    <t>秘密之力</t>
  </si>
  <si>
    <t>Dive</t>
  </si>
  <si>
    <t>ダイビング</t>
  </si>
  <si>
    <t>Plongée</t>
  </si>
  <si>
    <t>Sub</t>
  </si>
  <si>
    <t>다이빙</t>
  </si>
  <si>
    <t>Arm Thrust</t>
  </si>
  <si>
    <t>つっぱり</t>
  </si>
  <si>
    <t>Cogne</t>
  </si>
  <si>
    <t>Armstoß</t>
  </si>
  <si>
    <t>Empujón</t>
  </si>
  <si>
    <t>Sberletese</t>
  </si>
  <si>
    <t>손바닥치기</t>
  </si>
  <si>
    <t>猛推</t>
  </si>
  <si>
    <t>Camouflage</t>
  </si>
  <si>
    <t>ほごしょく</t>
  </si>
  <si>
    <t>Tarnung</t>
  </si>
  <si>
    <t>Camuflaje</t>
  </si>
  <si>
    <t>Camuffamento</t>
  </si>
  <si>
    <t>보호색</t>
  </si>
  <si>
    <t>保護色</t>
  </si>
  <si>
    <t>Tail Glow</t>
  </si>
  <si>
    <t>ほたるび</t>
  </si>
  <si>
    <t>Lumi-Queue</t>
  </si>
  <si>
    <t>Schweifglanz</t>
  </si>
  <si>
    <t>Ráfaga</t>
  </si>
  <si>
    <t>Codadiluce</t>
  </si>
  <si>
    <t>螢火</t>
  </si>
  <si>
    <t>Luster Purge</t>
  </si>
  <si>
    <t>ラスターパージ</t>
  </si>
  <si>
    <t>Lumi-Éclat</t>
  </si>
  <si>
    <t>Scheinwerfer</t>
  </si>
  <si>
    <t>Resplandor</t>
  </si>
  <si>
    <t>Abbagliante</t>
  </si>
  <si>
    <t>라스트버지</t>
  </si>
  <si>
    <t>潔淨光芒</t>
  </si>
  <si>
    <t>Mist Ball</t>
  </si>
  <si>
    <t>ミストボール</t>
  </si>
  <si>
    <t>Ball'Brume</t>
  </si>
  <si>
    <t>Nebelball</t>
  </si>
  <si>
    <t>Bola Neblina</t>
  </si>
  <si>
    <t>Foschisfera</t>
  </si>
  <si>
    <t>미스트볼</t>
  </si>
  <si>
    <t>薄霧球</t>
  </si>
  <si>
    <t>Feather Dance</t>
  </si>
  <si>
    <t>フェザーダンス</t>
  </si>
  <si>
    <t>Danse-Plumes</t>
  </si>
  <si>
    <t>Daunenreigen</t>
  </si>
  <si>
    <t>Danza Pluma</t>
  </si>
  <si>
    <t>Danzadipiume</t>
  </si>
  <si>
    <t>깃털댄스</t>
  </si>
  <si>
    <t>羽毛舞</t>
  </si>
  <si>
    <t>Teeter Dance</t>
  </si>
  <si>
    <t>フラフラダンス</t>
  </si>
  <si>
    <t>Danse Folle</t>
  </si>
  <si>
    <t>Taumeltanz</t>
  </si>
  <si>
    <t>Danza Caos</t>
  </si>
  <si>
    <t>Strampadanza</t>
  </si>
  <si>
    <t>흔들흔들댄스</t>
  </si>
  <si>
    <t>搖晃舞</t>
  </si>
  <si>
    <t>Blaze Kick</t>
  </si>
  <si>
    <t>ブレイズキック</t>
  </si>
  <si>
    <t>Pied Brûleur</t>
  </si>
  <si>
    <t>Feuerfeger</t>
  </si>
  <si>
    <t>Patada Ígnea</t>
  </si>
  <si>
    <t>Calciardente</t>
  </si>
  <si>
    <t>브레이즈킥</t>
  </si>
  <si>
    <t>火焰踢</t>
  </si>
  <si>
    <t>Mud Sport</t>
  </si>
  <si>
    <t>どろあそび</t>
  </si>
  <si>
    <t>Lance-Boue</t>
  </si>
  <si>
    <t>Lehmsuhler</t>
  </si>
  <si>
    <t>Chapoteo Lodo</t>
  </si>
  <si>
    <t>Fangata</t>
  </si>
  <si>
    <t>흙놀이</t>
  </si>
  <si>
    <t>玩泥巴</t>
  </si>
  <si>
    <t>Ice Ball</t>
  </si>
  <si>
    <t>アイスボール</t>
  </si>
  <si>
    <t>Ball'Glace</t>
  </si>
  <si>
    <t>Frostbeule</t>
  </si>
  <si>
    <t>Bola Hielo</t>
  </si>
  <si>
    <t>Palla Gelo</t>
  </si>
  <si>
    <t>아이스볼</t>
  </si>
  <si>
    <t>冰球</t>
  </si>
  <si>
    <t>Needle Arm</t>
  </si>
  <si>
    <t>ニードルアーム</t>
  </si>
  <si>
    <t>Poing Dard</t>
  </si>
  <si>
    <t>Nietenranke</t>
  </si>
  <si>
    <t>Brazo Pincho</t>
  </si>
  <si>
    <t>Pugnospine</t>
  </si>
  <si>
    <t>바늘팔</t>
  </si>
  <si>
    <t>尖刺臂</t>
  </si>
  <si>
    <t>Slack Off</t>
  </si>
  <si>
    <t>なまける</t>
  </si>
  <si>
    <t>Paresse</t>
  </si>
  <si>
    <t>Tagedieb</t>
  </si>
  <si>
    <t>Relajo</t>
  </si>
  <si>
    <t>Pigro</t>
  </si>
  <si>
    <t>태만함</t>
  </si>
  <si>
    <t>偷懶</t>
  </si>
  <si>
    <t>Hyper Voice</t>
  </si>
  <si>
    <t>ハイパーボイス</t>
  </si>
  <si>
    <t>Mégaphone</t>
  </si>
  <si>
    <t>Schallwelle</t>
  </si>
  <si>
    <t>Vozarrón</t>
  </si>
  <si>
    <t>Granvoce</t>
  </si>
  <si>
    <t>하이퍼보이스</t>
  </si>
  <si>
    <t>巨聲</t>
  </si>
  <si>
    <t>Poison Fang</t>
  </si>
  <si>
    <t>どくどくのキバ</t>
  </si>
  <si>
    <t>Crochet Venin</t>
  </si>
  <si>
    <t>Giftzahn</t>
  </si>
  <si>
    <t>Colmillo Ven</t>
  </si>
  <si>
    <t>Velenodenti</t>
  </si>
  <si>
    <t>독엄니</t>
  </si>
  <si>
    <t>劇毒牙</t>
  </si>
  <si>
    <t>Crush Claw</t>
  </si>
  <si>
    <t>ブレイククロー</t>
  </si>
  <si>
    <t>Éclate Griffe</t>
  </si>
  <si>
    <t>Zermalmklaue</t>
  </si>
  <si>
    <t>Garra Brutal</t>
  </si>
  <si>
    <t>Tritartigli</t>
  </si>
  <si>
    <t>브레이크크루</t>
  </si>
  <si>
    <t>撕裂爪</t>
  </si>
  <si>
    <t>Blast Burn</t>
  </si>
  <si>
    <t>ブラストバーン</t>
  </si>
  <si>
    <t>Rafale Feu</t>
  </si>
  <si>
    <t>Lohekanonade</t>
  </si>
  <si>
    <t>Anillo Ígneo</t>
  </si>
  <si>
    <t>Incendio</t>
  </si>
  <si>
    <t>블러스트번</t>
  </si>
  <si>
    <t>爆炸烈焰</t>
  </si>
  <si>
    <t>Hydro Cannon</t>
  </si>
  <si>
    <t>ハイドロカノン</t>
  </si>
  <si>
    <t>Hydroblast</t>
  </si>
  <si>
    <t>Aquahaubitze</t>
  </si>
  <si>
    <t>Hidrocañón</t>
  </si>
  <si>
    <t>Idrocannone</t>
  </si>
  <si>
    <t>하이드로캐논</t>
  </si>
  <si>
    <t>加農水炮</t>
  </si>
  <si>
    <t>Meteor Mash</t>
  </si>
  <si>
    <t>コメットパンチ</t>
  </si>
  <si>
    <t>Poing Météore</t>
  </si>
  <si>
    <t>Sternenhieb</t>
  </si>
  <si>
    <t>Puño Meteoro</t>
  </si>
  <si>
    <t>Meteorpugno</t>
  </si>
  <si>
    <t>코멧펀치</t>
  </si>
  <si>
    <t>彗星拳</t>
  </si>
  <si>
    <t>Astonish</t>
  </si>
  <si>
    <t>おどろかす</t>
  </si>
  <si>
    <t>Étonnement</t>
  </si>
  <si>
    <t>Erstauner</t>
  </si>
  <si>
    <t>Impresionar</t>
  </si>
  <si>
    <t>Sgomento</t>
  </si>
  <si>
    <t>놀래키기</t>
  </si>
  <si>
    <t>驚嚇</t>
  </si>
  <si>
    <t>Weather Ball</t>
  </si>
  <si>
    <t>ウェザーボール</t>
  </si>
  <si>
    <t>Ball'Météo</t>
  </si>
  <si>
    <t>Meteorologe</t>
  </si>
  <si>
    <t>Meteorobola</t>
  </si>
  <si>
    <t>Palla Clima</t>
  </si>
  <si>
    <t>웨더볼</t>
  </si>
  <si>
    <t>氣象球</t>
  </si>
  <si>
    <t>Aromatherapy</t>
  </si>
  <si>
    <t>アロマセラピー</t>
  </si>
  <si>
    <t>Aromathérapie</t>
  </si>
  <si>
    <t>Aromakur</t>
  </si>
  <si>
    <t>Aromaterapia</t>
  </si>
  <si>
    <t>아로마테라피</t>
  </si>
  <si>
    <t>芳香治療</t>
  </si>
  <si>
    <t>Fake Tears</t>
  </si>
  <si>
    <t>うそなき</t>
  </si>
  <si>
    <t>Croco Larme</t>
  </si>
  <si>
    <t>Trugträne</t>
  </si>
  <si>
    <t>Llanto Falso</t>
  </si>
  <si>
    <t>Falselacrime</t>
  </si>
  <si>
    <t>거짓울음</t>
  </si>
  <si>
    <t>假哭</t>
  </si>
  <si>
    <t>Air Cutter</t>
  </si>
  <si>
    <t>エアカッター</t>
  </si>
  <si>
    <t>Tranch'Air</t>
  </si>
  <si>
    <t>Windschnitt</t>
  </si>
  <si>
    <t>Aire Afilado</t>
  </si>
  <si>
    <t>Aerasoio</t>
  </si>
  <si>
    <t>에어컷터</t>
  </si>
  <si>
    <t>空氣利刃</t>
  </si>
  <si>
    <t>Overheat</t>
  </si>
  <si>
    <t>オーバーヒート</t>
  </si>
  <si>
    <t>Surchaufffe</t>
  </si>
  <si>
    <t>Hitzekoller</t>
  </si>
  <si>
    <t>Sofoco</t>
  </si>
  <si>
    <t>Vampata</t>
  </si>
  <si>
    <t>오버히트</t>
  </si>
  <si>
    <t>過熱</t>
  </si>
  <si>
    <t>Odor Sleuth</t>
  </si>
  <si>
    <t>かぎわける</t>
  </si>
  <si>
    <t>Flair</t>
  </si>
  <si>
    <t>Schnüffler</t>
  </si>
  <si>
    <t>Rastreo</t>
  </si>
  <si>
    <t>Segugio</t>
  </si>
  <si>
    <t>냄새구별</t>
  </si>
  <si>
    <t>氣味偵測</t>
  </si>
  <si>
    <t>Rock Tomb</t>
  </si>
  <si>
    <t>がんせきふうじ</t>
  </si>
  <si>
    <t>Tomberoche</t>
  </si>
  <si>
    <t>Felsgrab</t>
  </si>
  <si>
    <t>Tumba Rocas</t>
  </si>
  <si>
    <t>Rocciotomba</t>
  </si>
  <si>
    <t>암석봉인</t>
  </si>
  <si>
    <t>岩石封鎖</t>
  </si>
  <si>
    <t>Silver Wind</t>
  </si>
  <si>
    <t>ぎんいろのかぜ</t>
  </si>
  <si>
    <t>Vent Argenté</t>
  </si>
  <si>
    <t>Silberhauch</t>
  </si>
  <si>
    <t>Viento Plata</t>
  </si>
  <si>
    <t>Ventargenteo</t>
  </si>
  <si>
    <t>은빛바람</t>
  </si>
  <si>
    <t>銀色旋風</t>
  </si>
  <si>
    <t>Metal Sound</t>
  </si>
  <si>
    <t>きんぞくおん</t>
  </si>
  <si>
    <t>Strido-Son</t>
  </si>
  <si>
    <t>Metalsound</t>
  </si>
  <si>
    <t>Eco Metálico</t>
  </si>
  <si>
    <t>Ferrostrido</t>
  </si>
  <si>
    <t>금속음</t>
  </si>
  <si>
    <t>金屬音</t>
  </si>
  <si>
    <t>Grass Whistle</t>
  </si>
  <si>
    <t>くさぶえ</t>
  </si>
  <si>
    <t>Siffl'Herbe</t>
  </si>
  <si>
    <t>Grasflöte</t>
  </si>
  <si>
    <t>Silbato</t>
  </si>
  <si>
    <t>Meloderba</t>
  </si>
  <si>
    <t>풀피리</t>
  </si>
  <si>
    <t>草笛</t>
  </si>
  <si>
    <t>Tickle</t>
  </si>
  <si>
    <t>くすぐる</t>
  </si>
  <si>
    <t>Chatouille</t>
  </si>
  <si>
    <t>Spaßkanone</t>
  </si>
  <si>
    <t>Cosquillas</t>
  </si>
  <si>
    <t>Solletico</t>
  </si>
  <si>
    <t>간지르기</t>
  </si>
  <si>
    <t>撓癢</t>
  </si>
  <si>
    <t>Cosmic Power</t>
  </si>
  <si>
    <t>コスモパワー</t>
  </si>
  <si>
    <t>Force Cosmik</t>
  </si>
  <si>
    <t>Kosmik-Kraft</t>
  </si>
  <si>
    <t>Masa Cósmica</t>
  </si>
  <si>
    <t>Cosmoforza</t>
  </si>
  <si>
    <t>코스믹파워</t>
  </si>
  <si>
    <t>宇宙力量</t>
  </si>
  <si>
    <t>Water Spout</t>
  </si>
  <si>
    <t>しおふき</t>
  </si>
  <si>
    <t>Giclédo</t>
  </si>
  <si>
    <t>Fontränen</t>
  </si>
  <si>
    <t>Salpicar</t>
  </si>
  <si>
    <t>바지락조개</t>
  </si>
  <si>
    <t>噴水</t>
  </si>
  <si>
    <t>Signal Beam</t>
  </si>
  <si>
    <t>シグナルビーム</t>
  </si>
  <si>
    <t>Rayon Signal</t>
  </si>
  <si>
    <t>Ampelleuchte</t>
  </si>
  <si>
    <t>Doble Rayo</t>
  </si>
  <si>
    <t>Segnoraggio</t>
  </si>
  <si>
    <t>시그널빔</t>
  </si>
  <si>
    <t>信號光束</t>
  </si>
  <si>
    <t>Shadow Punch</t>
  </si>
  <si>
    <t>シャドーパンチ</t>
  </si>
  <si>
    <t>Poing Ombre</t>
  </si>
  <si>
    <t>Finsterfaust</t>
  </si>
  <si>
    <t>Puño Sombra</t>
  </si>
  <si>
    <t>Pugnodombra</t>
  </si>
  <si>
    <t>섀도펀치</t>
  </si>
  <si>
    <t>暗影拳</t>
  </si>
  <si>
    <t>Extrasensory</t>
  </si>
  <si>
    <t>じんつうりき</t>
  </si>
  <si>
    <t>Extrasenseur</t>
  </si>
  <si>
    <t>Sondersensor</t>
  </si>
  <si>
    <t>Paranormal</t>
  </si>
  <si>
    <t>Extrasenso</t>
  </si>
  <si>
    <t>신통력</t>
  </si>
  <si>
    <t>神通力</t>
  </si>
  <si>
    <t>Sky Uppercut</t>
  </si>
  <si>
    <t>スカイアッパー</t>
  </si>
  <si>
    <t>Stratopercut</t>
  </si>
  <si>
    <t>Himmelhieb</t>
  </si>
  <si>
    <t>Gancho Alto</t>
  </si>
  <si>
    <t>Stramontante</t>
  </si>
  <si>
    <t>스카이업퍼</t>
  </si>
  <si>
    <t>衝天拳</t>
  </si>
  <si>
    <t>Sand Tomb</t>
  </si>
  <si>
    <t>すなじごく</t>
  </si>
  <si>
    <t>Tourbi-Sable</t>
  </si>
  <si>
    <t>Sandgrab</t>
  </si>
  <si>
    <t>Bucle Arena</t>
  </si>
  <si>
    <t>Sabbiotomba</t>
  </si>
  <si>
    <t>모래지옥</t>
  </si>
  <si>
    <t>流沙地獄</t>
  </si>
  <si>
    <t>流沙深渊</t>
  </si>
  <si>
    <t>Sheer Cold</t>
  </si>
  <si>
    <t>ぜったいれいど</t>
  </si>
  <si>
    <t>Glaciation</t>
  </si>
  <si>
    <t>Eiseskälte</t>
  </si>
  <si>
    <t>Frío Polar</t>
  </si>
  <si>
    <t>Purogelo</t>
  </si>
  <si>
    <t>절대영도</t>
  </si>
  <si>
    <t>絕對零度</t>
  </si>
  <si>
    <t>Muddy Water</t>
  </si>
  <si>
    <t>だくりゅう</t>
  </si>
  <si>
    <t>Ocroupi</t>
  </si>
  <si>
    <t>Lehmbrühe</t>
  </si>
  <si>
    <t>Agua Lodosa</t>
  </si>
  <si>
    <t>Fanghiglia</t>
  </si>
  <si>
    <t>탁류</t>
  </si>
  <si>
    <t>濁流</t>
  </si>
  <si>
    <t>Bullet Seed</t>
  </si>
  <si>
    <t>タネマシンガン</t>
  </si>
  <si>
    <t>Balle Graine</t>
  </si>
  <si>
    <t>Kugelsaat</t>
  </si>
  <si>
    <t>Semilladora</t>
  </si>
  <si>
    <t>Semitraglia</t>
  </si>
  <si>
    <t>기관총</t>
  </si>
  <si>
    <t>種子機關槍</t>
  </si>
  <si>
    <t>Aerial Ace</t>
  </si>
  <si>
    <t>つばめがえし</t>
  </si>
  <si>
    <t>Aéropique</t>
  </si>
  <si>
    <t>Aero-Ass</t>
  </si>
  <si>
    <t>Golpe Aéreo</t>
  </si>
  <si>
    <t>Aeroassalto</t>
  </si>
  <si>
    <t>제비반환</t>
  </si>
  <si>
    <t>燕返</t>
  </si>
  <si>
    <t>Icicle Spear</t>
  </si>
  <si>
    <t>つららばり</t>
  </si>
  <si>
    <t>Stalagtite</t>
  </si>
  <si>
    <t>Eisspeer</t>
  </si>
  <si>
    <t>Carámbano</t>
  </si>
  <si>
    <t>Gelolancia</t>
  </si>
  <si>
    <t>고드름침</t>
  </si>
  <si>
    <t>冰錐</t>
  </si>
  <si>
    <t>Iron Defense</t>
  </si>
  <si>
    <t>てっぺき</t>
  </si>
  <si>
    <t>Mur de Fer</t>
  </si>
  <si>
    <t>Eisenabwehr</t>
  </si>
  <si>
    <t>Defensa Férrea</t>
  </si>
  <si>
    <t>Ferroscudo</t>
  </si>
  <si>
    <t>철벽</t>
  </si>
  <si>
    <t>鐵壁</t>
  </si>
  <si>
    <t>Block</t>
  </si>
  <si>
    <t>とおせんぼう</t>
  </si>
  <si>
    <t>Rückentzug</t>
  </si>
  <si>
    <t>Bloqueo</t>
  </si>
  <si>
    <t>Blocco</t>
  </si>
  <si>
    <t>블록</t>
  </si>
  <si>
    <t>擋路</t>
  </si>
  <si>
    <t>Howl</t>
  </si>
  <si>
    <t>とおぼえ</t>
  </si>
  <si>
    <t>Grondement</t>
  </si>
  <si>
    <t>Jauler</t>
  </si>
  <si>
    <t>Aullido</t>
  </si>
  <si>
    <t>Gridodilotta</t>
  </si>
  <si>
    <t>멀리짖음</t>
  </si>
  <si>
    <t>長嚎</t>
  </si>
  <si>
    <t>Dragon Claw</t>
  </si>
  <si>
    <t>ドラゴンクロー</t>
  </si>
  <si>
    <t>Draco-Griffe</t>
  </si>
  <si>
    <t>Drachenklaue</t>
  </si>
  <si>
    <t>Garra Dragón</t>
  </si>
  <si>
    <t>Dragartigli</t>
  </si>
  <si>
    <t>드래곤크루</t>
  </si>
  <si>
    <t>龍爪</t>
  </si>
  <si>
    <t>Frenzy Plant</t>
  </si>
  <si>
    <t>ハードプラント</t>
  </si>
  <si>
    <t>Végé-Attak</t>
  </si>
  <si>
    <t>Flora-Statue</t>
  </si>
  <si>
    <t>Planta Feroz</t>
  </si>
  <si>
    <t>Radicalbero</t>
  </si>
  <si>
    <t>하드플랜트</t>
  </si>
  <si>
    <t>瘋狂植物</t>
  </si>
  <si>
    <t>Bulk Up</t>
  </si>
  <si>
    <t>ビルドアップ</t>
  </si>
  <si>
    <t>Gonflette</t>
  </si>
  <si>
    <t>Protzer</t>
  </si>
  <si>
    <t>Corpulencia</t>
  </si>
  <si>
    <t>Granfisico</t>
  </si>
  <si>
    <t>벌크업</t>
  </si>
  <si>
    <t>健美</t>
  </si>
  <si>
    <t>Bounce</t>
  </si>
  <si>
    <t>とびはねる</t>
  </si>
  <si>
    <t>Rebond</t>
  </si>
  <si>
    <t>Sprungfeder</t>
  </si>
  <si>
    <t>Bote</t>
  </si>
  <si>
    <t>Rimbalzo</t>
  </si>
  <si>
    <t>뛰어오르다</t>
  </si>
  <si>
    <t>彈跳</t>
  </si>
  <si>
    <t>Mud Shot</t>
  </si>
  <si>
    <t>マッドショット</t>
  </si>
  <si>
    <t>Tir de Boue</t>
  </si>
  <si>
    <t>Lehmschuss</t>
  </si>
  <si>
    <t>Disparo Lodo</t>
  </si>
  <si>
    <t>Colpodifango</t>
  </si>
  <si>
    <t>머드숏</t>
  </si>
  <si>
    <t>泥巴射擊</t>
  </si>
  <si>
    <t>Poison Tail</t>
  </si>
  <si>
    <t>ポイズンテール</t>
  </si>
  <si>
    <t>Queue-Poison</t>
  </si>
  <si>
    <t>Giftschweif</t>
  </si>
  <si>
    <t>Cola Veneno</t>
  </si>
  <si>
    <t>Velenocoda</t>
  </si>
  <si>
    <t>포이즌테일</t>
  </si>
  <si>
    <t>毒尾</t>
  </si>
  <si>
    <t>Covet</t>
  </si>
  <si>
    <t>ほしがる</t>
  </si>
  <si>
    <t>Implore</t>
  </si>
  <si>
    <t>Bezirzer</t>
  </si>
  <si>
    <t>Antojo</t>
  </si>
  <si>
    <t>Supplica</t>
  </si>
  <si>
    <t>탐내다</t>
  </si>
  <si>
    <t>渴望</t>
  </si>
  <si>
    <t>Volt Tackle</t>
  </si>
  <si>
    <t>ボルテッカー</t>
  </si>
  <si>
    <t>Électacle</t>
  </si>
  <si>
    <t>Volttackle</t>
  </si>
  <si>
    <t>Placaje Eléc</t>
  </si>
  <si>
    <t>Locomovolt</t>
  </si>
  <si>
    <t>볼트태클</t>
  </si>
  <si>
    <t>伏特攻擊</t>
  </si>
  <si>
    <t>Magical Leaf</t>
  </si>
  <si>
    <t>マジカルリーフ</t>
  </si>
  <si>
    <t>Feuillemagik</t>
  </si>
  <si>
    <t>Zauberblatt</t>
  </si>
  <si>
    <t>Hoja Mágica</t>
  </si>
  <si>
    <t>Fogliamagica</t>
  </si>
  <si>
    <t>메지컬리프</t>
  </si>
  <si>
    <t>魔法葉</t>
  </si>
  <si>
    <t>Water Sport</t>
  </si>
  <si>
    <t>みずあそび</t>
  </si>
  <si>
    <t>Tourniquet</t>
  </si>
  <si>
    <t>Nassmacher</t>
  </si>
  <si>
    <t>Hidrochorro</t>
  </si>
  <si>
    <t>Docciascudo</t>
  </si>
  <si>
    <t>물놀이</t>
  </si>
  <si>
    <t>玩水</t>
  </si>
  <si>
    <t>Calm Mind</t>
  </si>
  <si>
    <t>Plénitude</t>
  </si>
  <si>
    <t>Gedankengut</t>
  </si>
  <si>
    <t>Paz Mental</t>
  </si>
  <si>
    <t>Calmamente</t>
  </si>
  <si>
    <t>Leaf Blade</t>
  </si>
  <si>
    <t>リーフブレード</t>
  </si>
  <si>
    <t>Lame Feuille</t>
  </si>
  <si>
    <t>Laubklinge</t>
  </si>
  <si>
    <t>Hoja Aguda</t>
  </si>
  <si>
    <t>Fendifoglia</t>
  </si>
  <si>
    <t>리프블레이드</t>
  </si>
  <si>
    <t>葉刃</t>
  </si>
  <si>
    <t>Dragon Dance</t>
  </si>
  <si>
    <t>りゅうのまい</t>
  </si>
  <si>
    <t>Danse Draco</t>
  </si>
  <si>
    <t>Drachentanz</t>
  </si>
  <si>
    <t>Danza Dragón</t>
  </si>
  <si>
    <t>Dragodanza</t>
  </si>
  <si>
    <t>용의춤</t>
  </si>
  <si>
    <t>龍之舞</t>
  </si>
  <si>
    <t>Rock Blast</t>
  </si>
  <si>
    <t>ロックブラスト</t>
  </si>
  <si>
    <t>Boule Roc</t>
  </si>
  <si>
    <t>Felswurf</t>
  </si>
  <si>
    <t>Pedrada</t>
  </si>
  <si>
    <t>Cadutamassi</t>
  </si>
  <si>
    <t>락블레스트</t>
  </si>
  <si>
    <t>岩石爆擊</t>
  </si>
  <si>
    <t>Shock Wave</t>
  </si>
  <si>
    <t>でんげきは</t>
  </si>
  <si>
    <t>Onde de Choc</t>
  </si>
  <si>
    <t>Schockwelle</t>
  </si>
  <si>
    <t>Onda Voltio</t>
  </si>
  <si>
    <t>Ondashock</t>
  </si>
  <si>
    <t>전격파</t>
  </si>
  <si>
    <t>電擊波</t>
  </si>
  <si>
    <t>Water Pulse</t>
  </si>
  <si>
    <t>みずのはどう</t>
  </si>
  <si>
    <t>Vibraqua</t>
  </si>
  <si>
    <t>Aquawelle</t>
  </si>
  <si>
    <t>Hidropulso</t>
  </si>
  <si>
    <t>Idropulsar</t>
  </si>
  <si>
    <t>물의파동</t>
  </si>
  <si>
    <t>水之波動</t>
  </si>
  <si>
    <t>Doom Desire</t>
  </si>
  <si>
    <t>はめつのねがい</t>
  </si>
  <si>
    <t>Carnareket</t>
  </si>
  <si>
    <t>Kismetwunsch</t>
  </si>
  <si>
    <t>Deseo Oculto</t>
  </si>
  <si>
    <t>Obbliderio</t>
  </si>
  <si>
    <t>파멸의소원</t>
  </si>
  <si>
    <t>破滅之願</t>
  </si>
  <si>
    <t>Psycho Boost</t>
  </si>
  <si>
    <t>サイコブースト</t>
  </si>
  <si>
    <t>Psycho-Boost</t>
  </si>
  <si>
    <t>Psyschub</t>
  </si>
  <si>
    <t>Psicoataque</t>
  </si>
  <si>
    <t>Psicoslancio</t>
  </si>
  <si>
    <t>사이코부스트</t>
  </si>
  <si>
    <t>精神突進</t>
  </si>
  <si>
    <t>Roost</t>
  </si>
  <si>
    <t>はねやすめ</t>
  </si>
  <si>
    <t>Atterrissage</t>
  </si>
  <si>
    <t>Ruheort</t>
  </si>
  <si>
    <t>Respiro</t>
  </si>
  <si>
    <t>Trespolo</t>
  </si>
  <si>
    <t>날개쉬기</t>
  </si>
  <si>
    <t>羽棲</t>
  </si>
  <si>
    <t>Gravity</t>
  </si>
  <si>
    <t>じゅうりょく</t>
  </si>
  <si>
    <t>Gravité</t>
  </si>
  <si>
    <t>Erdanziehung</t>
  </si>
  <si>
    <t>Gravedad</t>
  </si>
  <si>
    <t>Gravità</t>
  </si>
  <si>
    <t>중력</t>
  </si>
  <si>
    <t>重力</t>
  </si>
  <si>
    <t>Miracle Eye</t>
  </si>
  <si>
    <t>ミラクルアイ</t>
  </si>
  <si>
    <t>Œil Miracle</t>
  </si>
  <si>
    <t>Wunderauge</t>
  </si>
  <si>
    <t>Gran Ojo</t>
  </si>
  <si>
    <t>Miracolvista</t>
  </si>
  <si>
    <t>미라클아이</t>
  </si>
  <si>
    <t>奇跡之眼</t>
  </si>
  <si>
    <t>Wake-Up Slap</t>
  </si>
  <si>
    <t>めざましビンタ</t>
  </si>
  <si>
    <t>Réveil Forcé</t>
  </si>
  <si>
    <t>Weckruf</t>
  </si>
  <si>
    <t>Espabila</t>
  </si>
  <si>
    <t>Svegliopacca</t>
  </si>
  <si>
    <t>잠깨움뺨치기</t>
  </si>
  <si>
    <t>喚醒巴掌</t>
  </si>
  <si>
    <t>Hammer Arm</t>
  </si>
  <si>
    <t>アームハンマー</t>
  </si>
  <si>
    <t>Marto-Poing</t>
  </si>
  <si>
    <t>Hammerarm</t>
  </si>
  <si>
    <t>Machada</t>
  </si>
  <si>
    <t>Martelpugno</t>
  </si>
  <si>
    <t>암해머</t>
  </si>
  <si>
    <t>臂錘</t>
  </si>
  <si>
    <t>Gyro Ball</t>
  </si>
  <si>
    <t>ジャイロボール</t>
  </si>
  <si>
    <t>Gyroballe</t>
  </si>
  <si>
    <t>Gyroball</t>
  </si>
  <si>
    <t>Giro Bola</t>
  </si>
  <si>
    <t>Vortexpalla</t>
  </si>
  <si>
    <t>자이로볼</t>
  </si>
  <si>
    <t>陀螺球</t>
  </si>
  <si>
    <t>Healing Wish</t>
  </si>
  <si>
    <t>いやしのねがい</t>
  </si>
  <si>
    <t>Vœu Soin</t>
  </si>
  <si>
    <t>Heilopfer</t>
  </si>
  <si>
    <t>Deseo Cura</t>
  </si>
  <si>
    <t>Curardore</t>
  </si>
  <si>
    <t>치유소원</t>
  </si>
  <si>
    <t>治癒之願</t>
  </si>
  <si>
    <t>Brine</t>
  </si>
  <si>
    <t>しおみず</t>
  </si>
  <si>
    <t>Saumure</t>
  </si>
  <si>
    <t>Lake</t>
  </si>
  <si>
    <t>Salmuera</t>
  </si>
  <si>
    <t>Acquadisale</t>
  </si>
  <si>
    <t>소금물</t>
  </si>
  <si>
    <t>鹽水</t>
  </si>
  <si>
    <t>Natural Gift</t>
  </si>
  <si>
    <t>しぜんのめぐみ</t>
  </si>
  <si>
    <t>Don Naturel</t>
  </si>
  <si>
    <t>Beerenkräfte</t>
  </si>
  <si>
    <t>Don Natural</t>
  </si>
  <si>
    <t>Dononaturale</t>
  </si>
  <si>
    <t>자연의은혜</t>
  </si>
  <si>
    <t>自然之恩</t>
  </si>
  <si>
    <t>Feint</t>
  </si>
  <si>
    <t>フェイント</t>
  </si>
  <si>
    <t>Ruse</t>
  </si>
  <si>
    <t>Offenlegung</t>
  </si>
  <si>
    <t>Amago</t>
  </si>
  <si>
    <t>Fintoattacco</t>
  </si>
  <si>
    <t>페인트</t>
  </si>
  <si>
    <t>佯攻</t>
  </si>
  <si>
    <t>Pluck</t>
  </si>
  <si>
    <t>ついばむ</t>
  </si>
  <si>
    <t>Picore</t>
  </si>
  <si>
    <t>Pflücker</t>
  </si>
  <si>
    <t>Picoteo</t>
  </si>
  <si>
    <t>Spennata</t>
  </si>
  <si>
    <t>쪼아대기</t>
  </si>
  <si>
    <t>啄食</t>
  </si>
  <si>
    <t>Tailwind</t>
  </si>
  <si>
    <t>おいかぜ</t>
  </si>
  <si>
    <t>Vent Arrière</t>
  </si>
  <si>
    <t>Rückenwind</t>
  </si>
  <si>
    <t>Viento Afín</t>
  </si>
  <si>
    <t>Ventoincoda</t>
  </si>
  <si>
    <t>순풍</t>
  </si>
  <si>
    <t>順風</t>
  </si>
  <si>
    <t>Acupressure</t>
  </si>
  <si>
    <t>つぼをつく</t>
  </si>
  <si>
    <t>Acupression</t>
  </si>
  <si>
    <t>Akupressur</t>
  </si>
  <si>
    <t>Acupresión</t>
  </si>
  <si>
    <t>Acupressione</t>
  </si>
  <si>
    <t>경혈찌르기</t>
  </si>
  <si>
    <t>點穴</t>
  </si>
  <si>
    <t>Metal Burst</t>
  </si>
  <si>
    <t>メタルバースト</t>
  </si>
  <si>
    <t>Fulmifer</t>
  </si>
  <si>
    <t>Metallstoß</t>
  </si>
  <si>
    <t>Repr. Metal</t>
  </si>
  <si>
    <t>Metalscoppio</t>
  </si>
  <si>
    <t>메탈버스트</t>
  </si>
  <si>
    <t>金屬爆炸</t>
  </si>
  <si>
    <t>U-turn</t>
  </si>
  <si>
    <t>とんぼがえり</t>
  </si>
  <si>
    <t>Demi-Tour</t>
  </si>
  <si>
    <t>Kehrtwende</t>
  </si>
  <si>
    <t>Ida y Vuelta</t>
  </si>
  <si>
    <t>Retromarcia</t>
  </si>
  <si>
    <t>유턴</t>
  </si>
  <si>
    <t>急速折返</t>
  </si>
  <si>
    <t>Close Combat</t>
  </si>
  <si>
    <t>インファイト</t>
  </si>
  <si>
    <t>Nahkampf</t>
  </si>
  <si>
    <t>A Bocajarro</t>
  </si>
  <si>
    <t>Zuffa</t>
  </si>
  <si>
    <t>인파이트</t>
  </si>
  <si>
    <t>近身戰</t>
  </si>
  <si>
    <t>Payback</t>
  </si>
  <si>
    <t>しっぺがえし</t>
  </si>
  <si>
    <t>Représailles</t>
  </si>
  <si>
    <t>Gegenstoß</t>
  </si>
  <si>
    <t>Rivincita</t>
  </si>
  <si>
    <t>보복</t>
  </si>
  <si>
    <t>以牙還牙</t>
  </si>
  <si>
    <t>Assurance</t>
  </si>
  <si>
    <t>ダメおし</t>
  </si>
  <si>
    <t>Gewissheit</t>
  </si>
  <si>
    <t>Buena Baza</t>
  </si>
  <si>
    <t>Garanzia</t>
  </si>
  <si>
    <t>승부굳히기</t>
  </si>
  <si>
    <t>惡意追擊</t>
  </si>
  <si>
    <t>Embargo</t>
  </si>
  <si>
    <t>さしおさえ</t>
  </si>
  <si>
    <t>Itemsperre</t>
  </si>
  <si>
    <t>Divieto</t>
  </si>
  <si>
    <t>금제</t>
  </si>
  <si>
    <t>查封</t>
  </si>
  <si>
    <t>Fling</t>
  </si>
  <si>
    <t>なげつける</t>
  </si>
  <si>
    <t>Dégommage</t>
  </si>
  <si>
    <t>Schleuder</t>
  </si>
  <si>
    <t>Lancio</t>
  </si>
  <si>
    <t>내던지기</t>
  </si>
  <si>
    <t>投擲</t>
  </si>
  <si>
    <t>Psycho Shift</t>
  </si>
  <si>
    <t>サイコシフト</t>
  </si>
  <si>
    <t>Échange Psy</t>
  </si>
  <si>
    <t>Psybann</t>
  </si>
  <si>
    <t>Psicocambio</t>
  </si>
  <si>
    <t>Psicotrasfer</t>
  </si>
  <si>
    <t>사이코시프트</t>
  </si>
  <si>
    <t>精神轉移</t>
  </si>
  <si>
    <t>Trump Card</t>
  </si>
  <si>
    <t>きりふだ</t>
  </si>
  <si>
    <t>Atout</t>
  </si>
  <si>
    <t>Trumpfkarte</t>
  </si>
  <si>
    <t>As Oculto</t>
  </si>
  <si>
    <t>Asso</t>
  </si>
  <si>
    <t>마지막수단</t>
  </si>
  <si>
    <t>王牌</t>
  </si>
  <si>
    <t>Heal Block</t>
  </si>
  <si>
    <t>かいふくふうじ</t>
  </si>
  <si>
    <t>Anti-Soin</t>
  </si>
  <si>
    <t>Heilblockade</t>
  </si>
  <si>
    <t>Anticura</t>
  </si>
  <si>
    <t>회복봉인</t>
  </si>
  <si>
    <t>回復封鎖</t>
  </si>
  <si>
    <t>Wring Out</t>
  </si>
  <si>
    <t>しぼりとる</t>
  </si>
  <si>
    <t>Essorage</t>
  </si>
  <si>
    <t>Auswringen</t>
  </si>
  <si>
    <t>Estrujón</t>
  </si>
  <si>
    <t>Strizzata</t>
  </si>
  <si>
    <t>쥐어짜기</t>
  </si>
  <si>
    <t>絞緊</t>
  </si>
  <si>
    <t>Power Trick</t>
  </si>
  <si>
    <t>パワートリック</t>
  </si>
  <si>
    <t>Astuce Force</t>
  </si>
  <si>
    <t>Krafttrick</t>
  </si>
  <si>
    <t>Truco Fuerza</t>
  </si>
  <si>
    <t>Ingannoforza</t>
  </si>
  <si>
    <t>파워트릭</t>
  </si>
  <si>
    <t>力量戲法</t>
  </si>
  <si>
    <t>Gastro Acid</t>
  </si>
  <si>
    <t>いえき</t>
  </si>
  <si>
    <t>Suc Digestif</t>
  </si>
  <si>
    <t>Magensäfte</t>
  </si>
  <si>
    <t>Bilis</t>
  </si>
  <si>
    <t>Gastroacido</t>
  </si>
  <si>
    <t>위액</t>
  </si>
  <si>
    <t>胃液</t>
  </si>
  <si>
    <t>Lucky Chant</t>
  </si>
  <si>
    <t>おまじない</t>
  </si>
  <si>
    <t>Air Veinard</t>
  </si>
  <si>
    <t>Beschwörung</t>
  </si>
  <si>
    <t>Conjuro</t>
  </si>
  <si>
    <t>Fortuncanto</t>
  </si>
  <si>
    <t>주술</t>
  </si>
  <si>
    <t>幸運咒語</t>
  </si>
  <si>
    <t>Me First</t>
  </si>
  <si>
    <t>さきどり</t>
  </si>
  <si>
    <t>Moi d'Abord</t>
  </si>
  <si>
    <t>Egotrip</t>
  </si>
  <si>
    <t>Yo Primero</t>
  </si>
  <si>
    <t>Precedenza</t>
  </si>
  <si>
    <t>선취</t>
  </si>
  <si>
    <t>Copycat</t>
  </si>
  <si>
    <t>まねっこ</t>
  </si>
  <si>
    <t>Photocopie</t>
  </si>
  <si>
    <t>Imitator</t>
  </si>
  <si>
    <t>Copión</t>
  </si>
  <si>
    <t>Copione</t>
  </si>
  <si>
    <t>흉내쟁이</t>
  </si>
  <si>
    <t>仿效</t>
  </si>
  <si>
    <t>Power Swap</t>
  </si>
  <si>
    <t>パワースワップ</t>
  </si>
  <si>
    <t>Permuforce</t>
  </si>
  <si>
    <t>Krafttausch</t>
  </si>
  <si>
    <t>Cambiafuerza</t>
  </si>
  <si>
    <t>Barattoforza</t>
  </si>
  <si>
    <t>파워스웹</t>
  </si>
  <si>
    <t>力量互換</t>
  </si>
  <si>
    <t>Guard Swap</t>
  </si>
  <si>
    <t>ガードスワップ</t>
  </si>
  <si>
    <t>Permugarde</t>
  </si>
  <si>
    <t>Schutztausch</t>
  </si>
  <si>
    <t>Cambiadefensa</t>
  </si>
  <si>
    <t>Barattoscudo</t>
  </si>
  <si>
    <t>가드스웹</t>
  </si>
  <si>
    <t>防守互換</t>
  </si>
  <si>
    <t>Punishment</t>
  </si>
  <si>
    <t>おしおき</t>
  </si>
  <si>
    <t>Punition</t>
  </si>
  <si>
    <t>Strafattacke</t>
  </si>
  <si>
    <t>Castigo</t>
  </si>
  <si>
    <t>Punizione</t>
  </si>
  <si>
    <t>혼내기</t>
  </si>
  <si>
    <t>懲罰</t>
  </si>
  <si>
    <t>Last Resort</t>
  </si>
  <si>
    <t>とっておき</t>
  </si>
  <si>
    <t>Dernier Recours</t>
  </si>
  <si>
    <t>Zuflucht</t>
  </si>
  <si>
    <t>Última Baza</t>
  </si>
  <si>
    <t>Ultimascelta</t>
  </si>
  <si>
    <t>뒀다쓰기</t>
  </si>
  <si>
    <t>珍藏</t>
  </si>
  <si>
    <t>Worry Seed</t>
  </si>
  <si>
    <t>まやみのタネ</t>
  </si>
  <si>
    <t>Soucigraine</t>
  </si>
  <si>
    <t>Sorgensamen</t>
  </si>
  <si>
    <t>Abatidoras</t>
  </si>
  <si>
    <t>Affannoseme</t>
  </si>
  <si>
    <t>고민씨</t>
  </si>
  <si>
    <t>煩惱種子</t>
  </si>
  <si>
    <t>Sucker Punch</t>
  </si>
  <si>
    <t>ふいうち</t>
  </si>
  <si>
    <t>Coup Bas</t>
  </si>
  <si>
    <t>Tiefschlag</t>
  </si>
  <si>
    <t>Golpe Bajo</t>
  </si>
  <si>
    <t>Sbigoattacco</t>
  </si>
  <si>
    <t>기습</t>
  </si>
  <si>
    <t>突襲</t>
  </si>
  <si>
    <t>Toxic Spikes</t>
  </si>
  <si>
    <t>どくぶし</t>
  </si>
  <si>
    <t>Pics Toxik</t>
  </si>
  <si>
    <t>Giftspitzen</t>
  </si>
  <si>
    <t>Púas Tóxicas</t>
  </si>
  <si>
    <t>Fielepunte</t>
  </si>
  <si>
    <t>독압정</t>
  </si>
  <si>
    <t>毒菱</t>
  </si>
  <si>
    <t>Heart Swap</t>
  </si>
  <si>
    <t>ハートスワップ</t>
  </si>
  <si>
    <t>Permucœur</t>
  </si>
  <si>
    <t>Statustausch</t>
  </si>
  <si>
    <t>Cambia Almas</t>
  </si>
  <si>
    <t>Cuorbaratto</t>
  </si>
  <si>
    <t>하트스웹</t>
  </si>
  <si>
    <t>心靈互換</t>
  </si>
  <si>
    <t>Aqua Ring</t>
  </si>
  <si>
    <t>アクアリング</t>
  </si>
  <si>
    <t>Anneau Hydro</t>
  </si>
  <si>
    <t>Wasserring</t>
  </si>
  <si>
    <t>Acua Aro</t>
  </si>
  <si>
    <t>Acquanello</t>
  </si>
  <si>
    <t>아쿠아링</t>
  </si>
  <si>
    <t>水流環</t>
  </si>
  <si>
    <t>Magnet Rise</t>
  </si>
  <si>
    <t>でんじふゆう</t>
  </si>
  <si>
    <t>Vol Magnétik</t>
  </si>
  <si>
    <t>Magnetflug</t>
  </si>
  <si>
    <t>Levitón</t>
  </si>
  <si>
    <t>Magnetascesa</t>
  </si>
  <si>
    <t>전자부유</t>
  </si>
  <si>
    <t>電磁飄浮</t>
  </si>
  <si>
    <t>Flare Blitz</t>
  </si>
  <si>
    <t>フレアドライブ</t>
  </si>
  <si>
    <t>Boutefeu</t>
  </si>
  <si>
    <t>Flammenblitz</t>
  </si>
  <si>
    <t>Envite Ígneo</t>
  </si>
  <si>
    <t>Fuococarica</t>
  </si>
  <si>
    <t>플레어드라이브</t>
  </si>
  <si>
    <t>閃焰衝鋒</t>
  </si>
  <si>
    <t>Force Palm</t>
  </si>
  <si>
    <t>はっけい</t>
  </si>
  <si>
    <t>Forte-Paume</t>
  </si>
  <si>
    <t>Kraftwelle</t>
  </si>
  <si>
    <t>Palmeo</t>
  </si>
  <si>
    <t>Palmoforza</t>
  </si>
  <si>
    <t>발경</t>
  </si>
  <si>
    <t>發勁</t>
  </si>
  <si>
    <t>Aura Sphere</t>
  </si>
  <si>
    <t>はどうだん</t>
  </si>
  <si>
    <t>Aurasphère</t>
  </si>
  <si>
    <t>Aurasphäre</t>
  </si>
  <si>
    <t>Esfera Aural</t>
  </si>
  <si>
    <t>Forzasfera</t>
  </si>
  <si>
    <t>파동탄</t>
  </si>
  <si>
    <t>波導彈</t>
  </si>
  <si>
    <t>Rock Polish</t>
  </si>
  <si>
    <t>ロックカット</t>
  </si>
  <si>
    <t>Poliroche</t>
  </si>
  <si>
    <t>Steinpolitur</t>
  </si>
  <si>
    <t>Pulimento</t>
  </si>
  <si>
    <t>Lucidatura</t>
  </si>
  <si>
    <t>록커트</t>
  </si>
  <si>
    <t>岩石打磨</t>
  </si>
  <si>
    <t>Poison Jab</t>
  </si>
  <si>
    <t>Direct Toxik</t>
  </si>
  <si>
    <t>Gifthieb</t>
  </si>
  <si>
    <t>Puya Nociva</t>
  </si>
  <si>
    <t>Velenpuntura</t>
  </si>
  <si>
    <t>독찌르기</t>
  </si>
  <si>
    <t>Dark Pulse</t>
  </si>
  <si>
    <t>あくのはどう</t>
  </si>
  <si>
    <t>Vibroscur</t>
  </si>
  <si>
    <t>Finsteraura</t>
  </si>
  <si>
    <t>Pulso Umbrío</t>
  </si>
  <si>
    <t>Neropulsar</t>
  </si>
  <si>
    <t>악의파동</t>
  </si>
  <si>
    <t>惡之波動</t>
  </si>
  <si>
    <t>Night Slash</t>
  </si>
  <si>
    <t>つじぎり</t>
  </si>
  <si>
    <t>Tranche-Nuit</t>
  </si>
  <si>
    <t>Nachthieb</t>
  </si>
  <si>
    <t>Tajo Umbrío</t>
  </si>
  <si>
    <t>Nottesferza</t>
  </si>
  <si>
    <t>깜짝베기</t>
  </si>
  <si>
    <t>暗襲要害</t>
  </si>
  <si>
    <t>Aqua Tail</t>
  </si>
  <si>
    <t>アクアテール</t>
  </si>
  <si>
    <t>Hydro-Queue</t>
  </si>
  <si>
    <t>Nassschweif</t>
  </si>
  <si>
    <t>Acua Cola</t>
  </si>
  <si>
    <t>Idrondata</t>
  </si>
  <si>
    <t>아쿠아테일</t>
  </si>
  <si>
    <t>水流尾</t>
  </si>
  <si>
    <t>Seed Bomb</t>
  </si>
  <si>
    <t>タネばくだん</t>
  </si>
  <si>
    <t>Canon Graine</t>
  </si>
  <si>
    <t>Samenbomben</t>
  </si>
  <si>
    <t>Bomba Germen</t>
  </si>
  <si>
    <t>Semebomba</t>
  </si>
  <si>
    <t>씨폭탄</t>
  </si>
  <si>
    <t>種子炸彈</t>
  </si>
  <si>
    <t>Air Slash</t>
  </si>
  <si>
    <t>エアルスラッシュ</t>
  </si>
  <si>
    <t>Lame d'Air</t>
  </si>
  <si>
    <t>Luftschnitt</t>
  </si>
  <si>
    <t>Tajo Aéreo</t>
  </si>
  <si>
    <t>Eterelama</t>
  </si>
  <si>
    <t>에어슬래시</t>
  </si>
  <si>
    <t>空氣斬</t>
  </si>
  <si>
    <t>空气之刃</t>
  </si>
  <si>
    <t>X-Scissors</t>
  </si>
  <si>
    <t>シザークロス</t>
  </si>
  <si>
    <t>Plaie Croix</t>
  </si>
  <si>
    <t>Kreuzschere</t>
  </si>
  <si>
    <t>Tijera X</t>
  </si>
  <si>
    <t>Forbice X</t>
  </si>
  <si>
    <t>시저크로스</t>
  </si>
  <si>
    <t>十字剪</t>
  </si>
  <si>
    <t>Bug Buzz</t>
  </si>
  <si>
    <t>むしのさざめき</t>
  </si>
  <si>
    <t>Bourdon</t>
  </si>
  <si>
    <t>Käfergebrumm</t>
  </si>
  <si>
    <t>Zumbido</t>
  </si>
  <si>
    <t>Ronzio</t>
  </si>
  <si>
    <t>벌레의야단법석</t>
  </si>
  <si>
    <t>蟲鳴</t>
  </si>
  <si>
    <t>Dragon Pulse</t>
  </si>
  <si>
    <t>りゅうのはどう</t>
  </si>
  <si>
    <t>Draco-Choc</t>
  </si>
  <si>
    <t>Drachenpuls</t>
  </si>
  <si>
    <t>Pulso Dragón</t>
  </si>
  <si>
    <t>Dragopulsar</t>
  </si>
  <si>
    <t>용의파동</t>
  </si>
  <si>
    <t>龍之波動</t>
  </si>
  <si>
    <t>Dragon Rush</t>
  </si>
  <si>
    <t>ドラゴンダイブ</t>
  </si>
  <si>
    <t>Draco-Charge</t>
  </si>
  <si>
    <t>Drachenstoß</t>
  </si>
  <si>
    <t>Carga Dragón</t>
  </si>
  <si>
    <t>Dragofuria</t>
  </si>
  <si>
    <t>드래곤다이브</t>
  </si>
  <si>
    <t>龍之俯衝</t>
  </si>
  <si>
    <t>Power Gem</t>
  </si>
  <si>
    <t>パワージェム</t>
  </si>
  <si>
    <t>Rayon Gemme</t>
  </si>
  <si>
    <t>Juwelenkraft</t>
  </si>
  <si>
    <t>Joya de Luz</t>
  </si>
  <si>
    <t>Gemmoforza</t>
  </si>
  <si>
    <t>파워젬</t>
  </si>
  <si>
    <t>力量寶石</t>
  </si>
  <si>
    <t>Drain Punch</t>
  </si>
  <si>
    <t>ドレインパンチ</t>
  </si>
  <si>
    <t>Vampi-Poing</t>
  </si>
  <si>
    <t>Ableithieb</t>
  </si>
  <si>
    <t>Puño Drenaje</t>
  </si>
  <si>
    <t>Assorbipugno</t>
  </si>
  <si>
    <t>드레인펀치</t>
  </si>
  <si>
    <t>吸取拳</t>
  </si>
  <si>
    <t>Vacuum Wave</t>
  </si>
  <si>
    <t>しんくうは</t>
  </si>
  <si>
    <t>Onde Vide</t>
  </si>
  <si>
    <t>Vakuumwelle</t>
  </si>
  <si>
    <t>Onda Vacío</t>
  </si>
  <si>
    <t>Vuotonda</t>
  </si>
  <si>
    <t>진공파</t>
  </si>
  <si>
    <t>真空波</t>
  </si>
  <si>
    <t>Focus Blast</t>
  </si>
  <si>
    <t>きあいだま</t>
  </si>
  <si>
    <t>Exploforce</t>
  </si>
  <si>
    <t>Fokusstoß</t>
  </si>
  <si>
    <t>Onda Certera</t>
  </si>
  <si>
    <t>Focalcolpo</t>
  </si>
  <si>
    <t>기합구슬</t>
  </si>
  <si>
    <t>真氣彈</t>
  </si>
  <si>
    <t>Energy Ball</t>
  </si>
  <si>
    <t>エナジーボール</t>
  </si>
  <si>
    <t>Éco-Sphère</t>
  </si>
  <si>
    <t>Energieball</t>
  </si>
  <si>
    <t>Energibola</t>
  </si>
  <si>
    <t>Energipalla</t>
  </si>
  <si>
    <t>에너지볼</t>
  </si>
  <si>
    <t>能量球</t>
  </si>
  <si>
    <t>Brave Bird</t>
  </si>
  <si>
    <t>ブレイブバード</t>
  </si>
  <si>
    <t>Sturzflug</t>
  </si>
  <si>
    <t>Pájaro Osado</t>
  </si>
  <si>
    <t>Baldeali</t>
  </si>
  <si>
    <t>브레이브버드</t>
  </si>
  <si>
    <t>勇鳥猛攻</t>
  </si>
  <si>
    <t>Earth Power</t>
  </si>
  <si>
    <t>だいちのちから</t>
  </si>
  <si>
    <t>Telluriforce</t>
  </si>
  <si>
    <t>Erdkräfte</t>
  </si>
  <si>
    <t>Tierra Viva</t>
  </si>
  <si>
    <t>Geoforza</t>
  </si>
  <si>
    <t>대지의힘</t>
  </si>
  <si>
    <t>大地之力</t>
  </si>
  <si>
    <t>Switcheroo</t>
  </si>
  <si>
    <t>すりかえ</t>
  </si>
  <si>
    <t>Passe-Passe</t>
  </si>
  <si>
    <t>Wechseldich</t>
  </si>
  <si>
    <t>Trapicheo</t>
  </si>
  <si>
    <t>Rapidscambio</t>
  </si>
  <si>
    <t>바꿔치기</t>
  </si>
  <si>
    <t>掉包</t>
  </si>
  <si>
    <t>Giga Impact</t>
  </si>
  <si>
    <t>ギガインパクト</t>
  </si>
  <si>
    <t>Gigastoß</t>
  </si>
  <si>
    <t>Gigaimpacto</t>
  </si>
  <si>
    <t>Gigaimpatto</t>
  </si>
  <si>
    <t>기가임팩트</t>
  </si>
  <si>
    <t>終極衝擊</t>
  </si>
  <si>
    <t>Nasty Plot</t>
  </si>
  <si>
    <t>わるだくみ</t>
  </si>
  <si>
    <t>Machination</t>
  </si>
  <si>
    <t>Ränkeschmied</t>
  </si>
  <si>
    <t>Maquinación</t>
  </si>
  <si>
    <t>Congiura</t>
  </si>
  <si>
    <t>나쁜음모</t>
  </si>
  <si>
    <t>詭計</t>
  </si>
  <si>
    <t>Bullet Punch</t>
  </si>
  <si>
    <t>バレットパンチ</t>
  </si>
  <si>
    <t>Pisto-Poing</t>
  </si>
  <si>
    <t>Patronenhieb</t>
  </si>
  <si>
    <t>Puño Bala</t>
  </si>
  <si>
    <t>Pugnoscarica</t>
  </si>
  <si>
    <t>불릿펀치</t>
  </si>
  <si>
    <t>子彈拳</t>
  </si>
  <si>
    <t>Avalanche</t>
  </si>
  <si>
    <t>ゆきなだれ</t>
  </si>
  <si>
    <t>Lawine</t>
  </si>
  <si>
    <t>Alud</t>
  </si>
  <si>
    <t>Slavina</t>
  </si>
  <si>
    <t>눈사태</t>
  </si>
  <si>
    <t>雪崩</t>
  </si>
  <si>
    <t>Ice Shard</t>
  </si>
  <si>
    <t>こおりのつぶて</t>
  </si>
  <si>
    <t>Éclats Glace</t>
  </si>
  <si>
    <t>Eissplitter</t>
  </si>
  <si>
    <t>Canto Helado</t>
  </si>
  <si>
    <t>Geloscheggia</t>
  </si>
  <si>
    <t>얼음뭉치</t>
  </si>
  <si>
    <t>冰礫</t>
  </si>
  <si>
    <t>Shadow Claw</t>
  </si>
  <si>
    <t>シャドークロー</t>
  </si>
  <si>
    <t>Griffe Ombre</t>
  </si>
  <si>
    <t>Dunkelklaue</t>
  </si>
  <si>
    <t>Garra Umbría</t>
  </si>
  <si>
    <t>Ombrartigli</t>
  </si>
  <si>
    <t>섀도크루</t>
  </si>
  <si>
    <t>暗影爪</t>
  </si>
  <si>
    <t>Thunder Fang</t>
  </si>
  <si>
    <t>かみなりのキバ</t>
  </si>
  <si>
    <t>Crocs Éclair</t>
  </si>
  <si>
    <t>Donnerzahn</t>
  </si>
  <si>
    <t>Colmillo Rayo</t>
  </si>
  <si>
    <t>Fulmindenti</t>
  </si>
  <si>
    <t>번개엄니</t>
  </si>
  <si>
    <t>雷電牙</t>
  </si>
  <si>
    <t>Ice Fang</t>
  </si>
  <si>
    <t>こおりのキバ</t>
  </si>
  <si>
    <t>Crocs Givre</t>
  </si>
  <si>
    <t>Eiszahn</t>
  </si>
  <si>
    <t>Colmillo Hielo</t>
  </si>
  <si>
    <t>Gelodenti</t>
  </si>
  <si>
    <t>얼음엄니</t>
  </si>
  <si>
    <t>冰凍牙</t>
  </si>
  <si>
    <t>Fire Fang</t>
  </si>
  <si>
    <t>ほのおのキバ</t>
  </si>
  <si>
    <t>Crocs Feu</t>
  </si>
  <si>
    <t>Feuerzahn</t>
  </si>
  <si>
    <t>Colmillo Fuego</t>
  </si>
  <si>
    <t>Rogodenti</t>
  </si>
  <si>
    <t>불꽃엄니</t>
  </si>
  <si>
    <t>火焰牙</t>
  </si>
  <si>
    <t>Shadow Sneak</t>
  </si>
  <si>
    <t>かげうち</t>
  </si>
  <si>
    <t>Ombre Portée</t>
  </si>
  <si>
    <t>Schattenstoß</t>
  </si>
  <si>
    <t>Sombra Vil</t>
  </si>
  <si>
    <t>Furtivombra</t>
  </si>
  <si>
    <t>야습</t>
  </si>
  <si>
    <t>影子偷襲</t>
  </si>
  <si>
    <t>Mud Bomb</t>
  </si>
  <si>
    <t>どろばくだん</t>
  </si>
  <si>
    <t>Boue-Bombe</t>
  </si>
  <si>
    <t>Schlammbombe</t>
  </si>
  <si>
    <t>Bomba Fango</t>
  </si>
  <si>
    <t>Pantanobomba</t>
  </si>
  <si>
    <t>진흙폭탄</t>
  </si>
  <si>
    <t>泥巴炸彈</t>
  </si>
  <si>
    <t>Psycho Cut</t>
  </si>
  <si>
    <t>サイコカッター</t>
  </si>
  <si>
    <t>Coupe Psycho</t>
  </si>
  <si>
    <t>Psychoklinge</t>
  </si>
  <si>
    <t>Psicocorte</t>
  </si>
  <si>
    <t>Psicotaglio</t>
  </si>
  <si>
    <t>사이코커터</t>
  </si>
  <si>
    <t>精神利刃</t>
  </si>
  <si>
    <t>Zen Headbutt</t>
  </si>
  <si>
    <t>しねんのずつき</t>
  </si>
  <si>
    <t>Psykoud'Boule</t>
  </si>
  <si>
    <t>Zen-Kopfstoß</t>
  </si>
  <si>
    <t>Cabezazo Zen</t>
  </si>
  <si>
    <t>Cozzata Zen</t>
  </si>
  <si>
    <t>사념의박치기</t>
  </si>
  <si>
    <t>意念頭錘</t>
  </si>
  <si>
    <t>Mirror Shot</t>
  </si>
  <si>
    <t>ミラーショット</t>
  </si>
  <si>
    <t>Miroi-Tir</t>
  </si>
  <si>
    <t>Spiegelsalve</t>
  </si>
  <si>
    <t>Disparo Espejo</t>
  </si>
  <si>
    <t>Cristalcolpo</t>
  </si>
  <si>
    <t>미러숏</t>
  </si>
  <si>
    <t>鏡光射擊</t>
  </si>
  <si>
    <t>Flash Cannon</t>
  </si>
  <si>
    <t>ラスターカノン</t>
  </si>
  <si>
    <t>Luminocanon</t>
  </si>
  <si>
    <t>Lichtkanone</t>
  </si>
  <si>
    <t>Foco Respl.</t>
  </si>
  <si>
    <t>Cannonflash</t>
  </si>
  <si>
    <t>러스터캐논</t>
  </si>
  <si>
    <t>加農光炮</t>
  </si>
  <si>
    <t>Rock Climb</t>
  </si>
  <si>
    <t>ロッククライム</t>
  </si>
  <si>
    <t>Escalade</t>
  </si>
  <si>
    <t>Kraxler</t>
  </si>
  <si>
    <t>Treparrocas</t>
  </si>
  <si>
    <t>Scalaroccia</t>
  </si>
  <si>
    <t>락클라임</t>
  </si>
  <si>
    <t>攀岩</t>
  </si>
  <si>
    <t>Defog</t>
  </si>
  <si>
    <t>きりばらい</t>
  </si>
  <si>
    <t>Anti-Brume</t>
  </si>
  <si>
    <t>Auflockern</t>
  </si>
  <si>
    <t>Despejar</t>
  </si>
  <si>
    <t>Scacciabruma</t>
  </si>
  <si>
    <t>안개제거</t>
  </si>
  <si>
    <t>清除濃霧</t>
  </si>
  <si>
    <t>Trick Room</t>
  </si>
  <si>
    <t>トリックルーム</t>
  </si>
  <si>
    <t>Distorsion</t>
  </si>
  <si>
    <t>Bizarroraum</t>
  </si>
  <si>
    <t>Espacio Raro</t>
  </si>
  <si>
    <t>Distortozona</t>
  </si>
  <si>
    <t>트릭룸</t>
  </si>
  <si>
    <t>戲法空間</t>
  </si>
  <si>
    <t>Draco Meteor</t>
  </si>
  <si>
    <t>りゅうせいぐん</t>
  </si>
  <si>
    <t>Draco-Météore</t>
  </si>
  <si>
    <t>Cometa Draco</t>
  </si>
  <si>
    <t>Dragobolide</t>
  </si>
  <si>
    <t>용성군</t>
  </si>
  <si>
    <t>流星群</t>
  </si>
  <si>
    <t>Discharge</t>
  </si>
  <si>
    <t>ほうでん</t>
  </si>
  <si>
    <t>Coup d'Jus</t>
  </si>
  <si>
    <t>Ladungsstoß</t>
  </si>
  <si>
    <t>Chispazo</t>
  </si>
  <si>
    <t>Scarica</t>
  </si>
  <si>
    <t>Lava Plume</t>
  </si>
  <si>
    <t>ふんえん</t>
  </si>
  <si>
    <t>Ébullilave</t>
  </si>
  <si>
    <t>Flammensturm</t>
  </si>
  <si>
    <t>Humareda</t>
  </si>
  <si>
    <t>Lavasbuffo</t>
  </si>
  <si>
    <t>분연</t>
  </si>
  <si>
    <t>噴煙</t>
  </si>
  <si>
    <t>Leaf Storm</t>
  </si>
  <si>
    <t>リーフストーム</t>
  </si>
  <si>
    <t>Tempête Verte</t>
  </si>
  <si>
    <t>Blättersturm</t>
  </si>
  <si>
    <t>Lluevehojas</t>
  </si>
  <si>
    <t>Verdebufera</t>
  </si>
  <si>
    <t>리프스톰</t>
  </si>
  <si>
    <t>飛葉風暴</t>
  </si>
  <si>
    <t>Power Whip</t>
  </si>
  <si>
    <t>パワーウィップ</t>
  </si>
  <si>
    <t>Mégafouet</t>
  </si>
  <si>
    <t>Blattgeißel</t>
  </si>
  <si>
    <t>Latigazo</t>
  </si>
  <si>
    <t>Vigorcolpo</t>
  </si>
  <si>
    <t>파워휩</t>
  </si>
  <si>
    <t>Rock Wrecker</t>
  </si>
  <si>
    <t>がんせきほう</t>
  </si>
  <si>
    <t>Roc-Boulet</t>
  </si>
  <si>
    <t>Felswerfer</t>
  </si>
  <si>
    <t>Romperrocas</t>
  </si>
  <si>
    <t>Devastomasso</t>
  </si>
  <si>
    <t>암석포</t>
  </si>
  <si>
    <t>岩石炮</t>
  </si>
  <si>
    <t>Cross Poison</t>
  </si>
  <si>
    <t>クロスポイスン</t>
  </si>
  <si>
    <t>Poison Croix</t>
  </si>
  <si>
    <t>Giftstreich</t>
  </si>
  <si>
    <t>Veneno X</t>
  </si>
  <si>
    <t>Velenocroce</t>
  </si>
  <si>
    <t>크로스포이즌</t>
  </si>
  <si>
    <t>十字毒刃</t>
  </si>
  <si>
    <t>Gunk Shot</t>
  </si>
  <si>
    <t>ダストシュート</t>
  </si>
  <si>
    <t>Détricanon</t>
  </si>
  <si>
    <t>Mülltreffer</t>
  </si>
  <si>
    <t>Lanzamugre</t>
  </si>
  <si>
    <t>Sporcolancio</t>
  </si>
  <si>
    <t>더스트슈트</t>
  </si>
  <si>
    <t>垃圾射擊</t>
  </si>
  <si>
    <t>Iron Head</t>
  </si>
  <si>
    <t>アイアンヘッド</t>
  </si>
  <si>
    <t>Tête de Fer</t>
  </si>
  <si>
    <t>Eisenschädel</t>
  </si>
  <si>
    <t>Cabezahierro</t>
  </si>
  <si>
    <t>Metaltestata</t>
  </si>
  <si>
    <t>아이언헤드</t>
  </si>
  <si>
    <t>鐵頭</t>
  </si>
  <si>
    <t>Magnet Bomb</t>
  </si>
  <si>
    <t>マグネットボム</t>
  </si>
  <si>
    <t>Bombe Aimant</t>
  </si>
  <si>
    <t>Magnetbombe</t>
  </si>
  <si>
    <t>Bomba Imán</t>
  </si>
  <si>
    <t>Bombagnete</t>
  </si>
  <si>
    <t>마그넷봄</t>
  </si>
  <si>
    <t>磁鐵炸彈</t>
  </si>
  <si>
    <t>Stone Edge</t>
  </si>
  <si>
    <t>ストーンエッジ</t>
  </si>
  <si>
    <t>Lame de Roc</t>
  </si>
  <si>
    <t>Steinkante</t>
  </si>
  <si>
    <t>Roca Afilada</t>
  </si>
  <si>
    <t>Pietrataglio</t>
  </si>
  <si>
    <t>스톤에지</t>
  </si>
  <si>
    <t>尖石攻擊</t>
  </si>
  <si>
    <t>Captivate</t>
  </si>
  <si>
    <t>ようわく</t>
  </si>
  <si>
    <t>Séduction</t>
  </si>
  <si>
    <t>Liebreiz</t>
  </si>
  <si>
    <t>Seducción</t>
  </si>
  <si>
    <t>Incanto</t>
  </si>
  <si>
    <t>유혹</t>
  </si>
  <si>
    <t>誘惑</t>
  </si>
  <si>
    <t>Stealth Rock</t>
  </si>
  <si>
    <t>ステルスロック</t>
  </si>
  <si>
    <t>Piège de Roc</t>
  </si>
  <si>
    <t>Tarnstein</t>
  </si>
  <si>
    <t>Trampa Rocas</t>
  </si>
  <si>
    <t>Levitoroccia</t>
  </si>
  <si>
    <t>스텔스록</t>
  </si>
  <si>
    <t>隱形岩</t>
  </si>
  <si>
    <t>Grass Knot</t>
  </si>
  <si>
    <t>くさむすび</t>
  </si>
  <si>
    <t>Nœud Herbe</t>
  </si>
  <si>
    <t>Strauchler</t>
  </si>
  <si>
    <t>Hierba Lazo</t>
  </si>
  <si>
    <t>Laccioerboso</t>
  </si>
  <si>
    <t>풀묶기</t>
  </si>
  <si>
    <t>打草結</t>
  </si>
  <si>
    <t>Chatter</t>
  </si>
  <si>
    <t>おしゃべり</t>
  </si>
  <si>
    <t>Babil</t>
  </si>
  <si>
    <t>Geschwätz</t>
  </si>
  <si>
    <t>Cháchara</t>
  </si>
  <si>
    <t>Schiamazzo</t>
  </si>
  <si>
    <t>수다</t>
  </si>
  <si>
    <t>喋喋不休</t>
  </si>
  <si>
    <t>Judgment</t>
  </si>
  <si>
    <t>さばきのつぶて</t>
  </si>
  <si>
    <t>Jugement</t>
  </si>
  <si>
    <t>Urteilskraft</t>
  </si>
  <si>
    <t>Sentencia</t>
  </si>
  <si>
    <t>Giudizio</t>
  </si>
  <si>
    <t>심판의뭉치</t>
  </si>
  <si>
    <t>制裁光礫</t>
  </si>
  <si>
    <t>Bug Bite</t>
  </si>
  <si>
    <t>むしくい</t>
  </si>
  <si>
    <t>Piqûre</t>
  </si>
  <si>
    <t>Käferbiss</t>
  </si>
  <si>
    <t>Picadura</t>
  </si>
  <si>
    <t>Coleomorso</t>
  </si>
  <si>
    <t>벌레먹음</t>
  </si>
  <si>
    <t>蟲咬</t>
  </si>
  <si>
    <t>Charge Beam</t>
  </si>
  <si>
    <t>チャージビーム</t>
  </si>
  <si>
    <t>Rayon Chargé</t>
  </si>
  <si>
    <t>Ladestrahl</t>
  </si>
  <si>
    <t>Rayo Carga</t>
  </si>
  <si>
    <t>Raggioscossa</t>
  </si>
  <si>
    <t>차지빔</t>
  </si>
  <si>
    <t>充電光束</t>
  </si>
  <si>
    <t>Wood Hammer</t>
  </si>
  <si>
    <t>ウッドハンマー</t>
  </si>
  <si>
    <t>Martobois</t>
  </si>
  <si>
    <t>Holzhammer</t>
  </si>
  <si>
    <t>Mazazo</t>
  </si>
  <si>
    <t>Mazzuolegno</t>
  </si>
  <si>
    <t>우드해머</t>
  </si>
  <si>
    <t>木槌</t>
  </si>
  <si>
    <t>Aqua Jet</t>
  </si>
  <si>
    <t>アクアジェット</t>
  </si>
  <si>
    <t>Aqua-Jet</t>
  </si>
  <si>
    <t>Wasserdüse</t>
  </si>
  <si>
    <t>Acua Jet</t>
  </si>
  <si>
    <t>Acquagetto</t>
  </si>
  <si>
    <t>아쿠아제트</t>
  </si>
  <si>
    <t>水流噴射</t>
  </si>
  <si>
    <t>Attack Order</t>
  </si>
  <si>
    <t>こうげきしれい</t>
  </si>
  <si>
    <t>Appel Attak</t>
  </si>
  <si>
    <t>Schlagbefehl</t>
  </si>
  <si>
    <t>Al Ataque</t>
  </si>
  <si>
    <t>Commandourto</t>
  </si>
  <si>
    <t>공격지령</t>
  </si>
  <si>
    <t>攻擊指令</t>
  </si>
  <si>
    <t>Defend Order</t>
  </si>
  <si>
    <t>ぼうぎょしれい</t>
  </si>
  <si>
    <t>Appel Défense</t>
  </si>
  <si>
    <t>Blockbefehl</t>
  </si>
  <si>
    <t>A Defender</t>
  </si>
  <si>
    <t>Commandoscudo</t>
  </si>
  <si>
    <t>방어지령</t>
  </si>
  <si>
    <t>防禦指令</t>
  </si>
  <si>
    <t>Heal Order</t>
  </si>
  <si>
    <t>かいふくしれい</t>
  </si>
  <si>
    <t>Appel Soins</t>
  </si>
  <si>
    <t>Heilbefehl</t>
  </si>
  <si>
    <t>Auxilio</t>
  </si>
  <si>
    <t>Commandocura</t>
  </si>
  <si>
    <t>회복지령</t>
  </si>
  <si>
    <t>回復指令</t>
  </si>
  <si>
    <t>Head Smash</t>
  </si>
  <si>
    <t>もろはのずつき</t>
  </si>
  <si>
    <t>Fracass'Tête</t>
  </si>
  <si>
    <t>Testarazo</t>
  </si>
  <si>
    <t>Zuccata</t>
  </si>
  <si>
    <t>양날박치기</t>
  </si>
  <si>
    <t>雙刃頭錘</t>
  </si>
  <si>
    <t>Double Hit</t>
  </si>
  <si>
    <t>ダブルアタック</t>
  </si>
  <si>
    <t>Coup Double</t>
  </si>
  <si>
    <t>Doppelschlag</t>
  </si>
  <si>
    <t>Doble Golpe</t>
  </si>
  <si>
    <t>Doppiosmash</t>
  </si>
  <si>
    <t>더블어택</t>
  </si>
  <si>
    <t>二連擊</t>
  </si>
  <si>
    <t>Roar of Time</t>
  </si>
  <si>
    <t>ときのほうこう</t>
  </si>
  <si>
    <t>Hurle-Temps</t>
  </si>
  <si>
    <t>Zeitenlärm</t>
  </si>
  <si>
    <t>Distorsión</t>
  </si>
  <si>
    <t>Fragortempo</t>
  </si>
  <si>
    <t>시간의포효</t>
  </si>
  <si>
    <t>時光咆哮</t>
  </si>
  <si>
    <t>Spacial Rend</t>
  </si>
  <si>
    <t>あくうせつだん</t>
  </si>
  <si>
    <t>Spatio-Rift</t>
  </si>
  <si>
    <t>Raumschlag</t>
  </si>
  <si>
    <t>Corte Vacío</t>
  </si>
  <si>
    <t>Fendispazio</t>
  </si>
  <si>
    <t>공간절단</t>
  </si>
  <si>
    <t>亞空裂斬</t>
  </si>
  <si>
    <t>Lunar Dance</t>
  </si>
  <si>
    <t>みかずきのまい</t>
  </si>
  <si>
    <t>Danse Lune</t>
  </si>
  <si>
    <t>Lunartanz</t>
  </si>
  <si>
    <t>Danza Lunar</t>
  </si>
  <si>
    <t>Lunardanza</t>
  </si>
  <si>
    <t>초승달춤</t>
  </si>
  <si>
    <t>新月舞</t>
  </si>
  <si>
    <t>Crush Grip</t>
  </si>
  <si>
    <t>にぎりつぶす</t>
  </si>
  <si>
    <t>Presse</t>
  </si>
  <si>
    <t>Quetschgriff</t>
  </si>
  <si>
    <t>Agarrón</t>
  </si>
  <si>
    <t>Sbriciolmano</t>
  </si>
  <si>
    <t>묵사발</t>
  </si>
  <si>
    <t>捏碎</t>
  </si>
  <si>
    <t>Magma Storm</t>
  </si>
  <si>
    <t>マグマストーム</t>
  </si>
  <si>
    <t>Vortex Magma</t>
  </si>
  <si>
    <t>Lavasturm</t>
  </si>
  <si>
    <t>Lluvia Ígnea</t>
  </si>
  <si>
    <t>Magmaclisma</t>
  </si>
  <si>
    <t>마그마스톰</t>
  </si>
  <si>
    <t>熔岩風暴</t>
  </si>
  <si>
    <t>Dark Void</t>
  </si>
  <si>
    <t>ダークホール</t>
  </si>
  <si>
    <t>Trou Noir</t>
  </si>
  <si>
    <t>Schlummerort</t>
  </si>
  <si>
    <t>Brecha Negra</t>
  </si>
  <si>
    <t>Vuototetro</t>
  </si>
  <si>
    <t>다크홀</t>
  </si>
  <si>
    <t>暗黑洞</t>
  </si>
  <si>
    <t>Seed Flare</t>
  </si>
  <si>
    <t>シードフレア</t>
  </si>
  <si>
    <t>Fulmigraine</t>
  </si>
  <si>
    <t>Schocksamen</t>
  </si>
  <si>
    <t>Fogonazo</t>
  </si>
  <si>
    <t>Infuriaseme</t>
  </si>
  <si>
    <t>시드플레어</t>
  </si>
  <si>
    <t>種子閃光</t>
  </si>
  <si>
    <t>Ominous Wind</t>
  </si>
  <si>
    <t>あやしいかぜ</t>
  </si>
  <si>
    <t>Vent Mauvais</t>
  </si>
  <si>
    <t>Unheilböen</t>
  </si>
  <si>
    <t>Viento Aciago</t>
  </si>
  <si>
    <t>Funestovento</t>
  </si>
  <si>
    <t>괴상한바람</t>
  </si>
  <si>
    <t>奇異之風</t>
  </si>
  <si>
    <t>Shadow Force</t>
  </si>
  <si>
    <t>シャドーダイブ</t>
  </si>
  <si>
    <t>Revenant</t>
  </si>
  <si>
    <t>Schemenkraft</t>
  </si>
  <si>
    <t>Golpe Umbrío</t>
  </si>
  <si>
    <t>Oscurotuffo</t>
  </si>
  <si>
    <t>섀도다이브</t>
  </si>
  <si>
    <t>暗影潛襲</t>
  </si>
  <si>
    <t>Hone Claws</t>
  </si>
  <si>
    <t>つめとぎ</t>
  </si>
  <si>
    <t>Aiguisage</t>
  </si>
  <si>
    <t>Klauenwetzer</t>
  </si>
  <si>
    <t>Afilagarras</t>
  </si>
  <si>
    <t>Unghiaguzze</t>
  </si>
  <si>
    <t>손톱갈기</t>
  </si>
  <si>
    <t>磨爪</t>
  </si>
  <si>
    <t>Wide Guard</t>
  </si>
  <si>
    <t>ワイドガード</t>
  </si>
  <si>
    <t>Garde Large</t>
  </si>
  <si>
    <t>Rundumschutz</t>
  </si>
  <si>
    <t>Vastaguardia</t>
  </si>
  <si>
    <t>와이드가드</t>
  </si>
  <si>
    <t>廣域防守</t>
  </si>
  <si>
    <t>Guard Split</t>
  </si>
  <si>
    <t>ガードシェア</t>
  </si>
  <si>
    <t>Partage Garde</t>
  </si>
  <si>
    <t>Schutzteiler</t>
  </si>
  <si>
    <t>Isoguardia</t>
  </si>
  <si>
    <t>Paridifesa</t>
  </si>
  <si>
    <t>가드셰어</t>
  </si>
  <si>
    <t>防守平分</t>
  </si>
  <si>
    <t>Power Split</t>
  </si>
  <si>
    <t>パワーシェア</t>
  </si>
  <si>
    <t>Partage Force</t>
  </si>
  <si>
    <t>Kraftteiler</t>
  </si>
  <si>
    <t>Isofuerza</t>
  </si>
  <si>
    <t>Pariattacco</t>
  </si>
  <si>
    <t>파워셰어</t>
  </si>
  <si>
    <t>力量平分</t>
  </si>
  <si>
    <t>Wonder Room</t>
  </si>
  <si>
    <t>ワンダールーム</t>
  </si>
  <si>
    <t>Zone Étrange</t>
  </si>
  <si>
    <t>Wunderraum</t>
  </si>
  <si>
    <t>Zona Extraña</t>
  </si>
  <si>
    <t>Mirabilzona</t>
  </si>
  <si>
    <t>원더룸</t>
  </si>
  <si>
    <t>奇妙空間</t>
  </si>
  <si>
    <t>Psyshock</t>
  </si>
  <si>
    <t>サイコショック</t>
  </si>
  <si>
    <t>Choc Psy</t>
  </si>
  <si>
    <t>Psychoshock</t>
  </si>
  <si>
    <t>Psicocarga</t>
  </si>
  <si>
    <t>Psicoshock</t>
  </si>
  <si>
    <t>사이코쇼크</t>
  </si>
  <si>
    <t>精神衝擊</t>
  </si>
  <si>
    <t>Venoshock</t>
  </si>
  <si>
    <t>ベノムショック</t>
  </si>
  <si>
    <t>Choc Venin</t>
  </si>
  <si>
    <t>Giftschock</t>
  </si>
  <si>
    <t>Carga Tóxica</t>
  </si>
  <si>
    <t>Velenoshock</t>
  </si>
  <si>
    <t>베놈쇼크</t>
  </si>
  <si>
    <t>毒液衝擊</t>
  </si>
  <si>
    <t>Autotomize</t>
  </si>
  <si>
    <t>ボヂィパージ</t>
  </si>
  <si>
    <t>Allègement</t>
  </si>
  <si>
    <t>Autotomie</t>
  </si>
  <si>
    <t>Aligerar</t>
  </si>
  <si>
    <t>Sganciapesi</t>
  </si>
  <si>
    <t>바디퍼지</t>
  </si>
  <si>
    <t>身體輕量化</t>
  </si>
  <si>
    <t>Rage Powder</t>
  </si>
  <si>
    <t>いかりのこな</t>
  </si>
  <si>
    <t>Poudre Fureur</t>
  </si>
  <si>
    <t>Wulpulver</t>
  </si>
  <si>
    <t>Polvo Ira</t>
  </si>
  <si>
    <t>Polverabbia</t>
  </si>
  <si>
    <t>분노가루</t>
  </si>
  <si>
    <t>憤怒粉</t>
  </si>
  <si>
    <t>Telekinesis</t>
  </si>
  <si>
    <t>テリキネシス</t>
  </si>
  <si>
    <t>Lévikinésie</t>
  </si>
  <si>
    <t>Telekinese</t>
  </si>
  <si>
    <t>Telequinesis</t>
  </si>
  <si>
    <t>Telecinesi</t>
  </si>
  <si>
    <t>텔레키네시스</t>
  </si>
  <si>
    <t>意念移物</t>
  </si>
  <si>
    <t>Magic Room</t>
  </si>
  <si>
    <t>マジックルーム</t>
  </si>
  <si>
    <t>Zone Magique</t>
  </si>
  <si>
    <t>Magieraum</t>
  </si>
  <si>
    <t>Zona Mágica</t>
  </si>
  <si>
    <t>Magicozona</t>
  </si>
  <si>
    <t>매직룸</t>
  </si>
  <si>
    <t>魔法空間</t>
  </si>
  <si>
    <t>Smack Down</t>
  </si>
  <si>
    <t>うちおとす</t>
  </si>
  <si>
    <t>Anti-Air</t>
  </si>
  <si>
    <t>Katapult</t>
  </si>
  <si>
    <t>Antiaéreo</t>
  </si>
  <si>
    <t>Abbattimento</t>
  </si>
  <si>
    <t>떨어뜨리기</t>
  </si>
  <si>
    <t>擊落</t>
  </si>
  <si>
    <t>Storm Throw</t>
  </si>
  <si>
    <t>やまあらし</t>
  </si>
  <si>
    <t>Yama Arashi</t>
  </si>
  <si>
    <t>Bergsturm</t>
  </si>
  <si>
    <t>Llave Corsé</t>
  </si>
  <si>
    <t>Tempestretta</t>
  </si>
  <si>
    <t>업어후리기</t>
  </si>
  <si>
    <t>山嵐摔</t>
  </si>
  <si>
    <t>Flame Burst</t>
  </si>
  <si>
    <t>はじけるほのお</t>
  </si>
  <si>
    <t>Rebondifeu</t>
  </si>
  <si>
    <t>Funkenflug</t>
  </si>
  <si>
    <t>Pirolancio</t>
  </si>
  <si>
    <t>불꽃튀기기</t>
  </si>
  <si>
    <t>烈焰濺射</t>
  </si>
  <si>
    <t>Sludge Wave</t>
  </si>
  <si>
    <t>ヘドロウェーブ</t>
  </si>
  <si>
    <t>Cradovague</t>
  </si>
  <si>
    <t>Schlammwoge</t>
  </si>
  <si>
    <t>Onda Tóxica</t>
  </si>
  <si>
    <t>Fangonda</t>
  </si>
  <si>
    <t>오물웨이브</t>
  </si>
  <si>
    <t>污泥波</t>
  </si>
  <si>
    <t>Quiver Dance</t>
  </si>
  <si>
    <t>ちょうのまい</t>
  </si>
  <si>
    <t>Papillodanse</t>
  </si>
  <si>
    <t>Falterreigen</t>
  </si>
  <si>
    <t>Danza Aleteo</t>
  </si>
  <si>
    <t>Eledanza</t>
  </si>
  <si>
    <t>나비춤</t>
  </si>
  <si>
    <t>蝶舞</t>
  </si>
  <si>
    <t>Heavy Slam</t>
  </si>
  <si>
    <t>ヘビーボンパー</t>
  </si>
  <si>
    <t>Tacle Lourd</t>
  </si>
  <si>
    <t>Rammboss</t>
  </si>
  <si>
    <t>Cuerpo Pesado</t>
  </si>
  <si>
    <t>Pesobomba</t>
  </si>
  <si>
    <t>헤비봄버</t>
  </si>
  <si>
    <t>重磅衝撞</t>
  </si>
  <si>
    <t>Synchronoise</t>
  </si>
  <si>
    <t>シンクロノイズ</t>
  </si>
  <si>
    <t>Synchropeine</t>
  </si>
  <si>
    <t>Synchrolärm</t>
  </si>
  <si>
    <t>Sincrorruido</t>
  </si>
  <si>
    <t>Sincrumore</t>
  </si>
  <si>
    <t>싱크로노이즈</t>
  </si>
  <si>
    <t>同步干擾</t>
  </si>
  <si>
    <t>Electro Ball</t>
  </si>
  <si>
    <t>エレキボール</t>
  </si>
  <si>
    <t>Boule Élek</t>
  </si>
  <si>
    <t>Elektroball</t>
  </si>
  <si>
    <t>Bola Voltio</t>
  </si>
  <si>
    <t>Energisfera</t>
  </si>
  <si>
    <t>일렉트릭볼</t>
  </si>
  <si>
    <t>電球</t>
  </si>
  <si>
    <t>Soak</t>
  </si>
  <si>
    <t>みずびたし</t>
  </si>
  <si>
    <t>Détrempage</t>
  </si>
  <si>
    <t>Überflutung</t>
  </si>
  <si>
    <t>Anegar</t>
  </si>
  <si>
    <t>Inondazione</t>
  </si>
  <si>
    <t>물붓기</t>
  </si>
  <si>
    <t>浸水</t>
  </si>
  <si>
    <t>Flame Charge</t>
  </si>
  <si>
    <t>ニトロチャージ</t>
  </si>
  <si>
    <t>Nitrocharge</t>
  </si>
  <si>
    <t>Nitroladung</t>
  </si>
  <si>
    <t>Nitrocarga</t>
  </si>
  <si>
    <t>Nitrocarica</t>
  </si>
  <si>
    <t>니트로차지</t>
  </si>
  <si>
    <t>蓄能焰襲</t>
  </si>
  <si>
    <t>Coil</t>
  </si>
  <si>
    <t>とぐろをまく</t>
  </si>
  <si>
    <t>Enroulement</t>
  </si>
  <si>
    <t>Einrollen</t>
  </si>
  <si>
    <t>Enrosque</t>
  </si>
  <si>
    <t>Arrotola</t>
  </si>
  <si>
    <t>똬리틀기</t>
  </si>
  <si>
    <t>盤蜷</t>
  </si>
  <si>
    <t>Low Sweep</t>
  </si>
  <si>
    <t>ローキッキ</t>
  </si>
  <si>
    <t>Balayette</t>
  </si>
  <si>
    <t>Fußtritt</t>
  </si>
  <si>
    <t>Puntapié</t>
  </si>
  <si>
    <t>Calciobasso</t>
  </si>
  <si>
    <t>로킥</t>
  </si>
  <si>
    <t>下盤踢</t>
  </si>
  <si>
    <t>Acid Spray</t>
  </si>
  <si>
    <t>アシッドボム</t>
  </si>
  <si>
    <t>Bombe Acide</t>
  </si>
  <si>
    <t>Säurespeier</t>
  </si>
  <si>
    <t>Bomba Ácida</t>
  </si>
  <si>
    <t>Acidobomba</t>
  </si>
  <si>
    <t>애시드봄</t>
  </si>
  <si>
    <t>酸液炸彈</t>
  </si>
  <si>
    <t>Foul Play</t>
  </si>
  <si>
    <t>イカサマ</t>
  </si>
  <si>
    <t>Tricherie</t>
  </si>
  <si>
    <t>Schmarotzer</t>
  </si>
  <si>
    <t>Juego Sucio</t>
  </si>
  <si>
    <t>Ripicca</t>
  </si>
  <si>
    <t>속임수</t>
  </si>
  <si>
    <t>欺詐</t>
  </si>
  <si>
    <t>移花接木</t>
  </si>
  <si>
    <t>Simple Beam</t>
  </si>
  <si>
    <t>シンプルビーム</t>
  </si>
  <si>
    <t>Rayon Simple</t>
  </si>
  <si>
    <t>Wankelstrahl</t>
  </si>
  <si>
    <t>Onda Simple</t>
  </si>
  <si>
    <t>Ondisinvolta</t>
  </si>
  <si>
    <t>심플빔</t>
  </si>
  <si>
    <t>單純光束</t>
  </si>
  <si>
    <t>Entrainment</t>
  </si>
  <si>
    <t>なかまづくり</t>
  </si>
  <si>
    <t>Ten-Danse</t>
  </si>
  <si>
    <t>Zwango</t>
  </si>
  <si>
    <t>Danza Amiga</t>
  </si>
  <si>
    <t>Saltamicizia</t>
  </si>
  <si>
    <t>동료만들기</t>
  </si>
  <si>
    <t>找夥伴</t>
  </si>
  <si>
    <t>After You</t>
  </si>
  <si>
    <t>おさきにどうぞ</t>
  </si>
  <si>
    <t>Après Vous</t>
  </si>
  <si>
    <t>Galanterie</t>
  </si>
  <si>
    <t>Cede Paso</t>
  </si>
  <si>
    <t>Cortesia</t>
  </si>
  <si>
    <t>돌림노래</t>
  </si>
  <si>
    <t>您先請</t>
  </si>
  <si>
    <t>Round</t>
  </si>
  <si>
    <t>りんしょう</t>
  </si>
  <si>
    <t>Chant Canon</t>
  </si>
  <si>
    <t>Kanon</t>
  </si>
  <si>
    <t>Coro</t>
  </si>
  <si>
    <t>輪唱</t>
  </si>
  <si>
    <t>Echoed Voice</t>
  </si>
  <si>
    <t>エコーボイス</t>
  </si>
  <si>
    <t>Écho</t>
  </si>
  <si>
    <t>Widerfall</t>
  </si>
  <si>
    <t>Eco Voz</t>
  </si>
  <si>
    <t>Echeggiavoce</t>
  </si>
  <si>
    <t>에코보이스</t>
  </si>
  <si>
    <t>回聲</t>
  </si>
  <si>
    <t>Chip Away</t>
  </si>
  <si>
    <t>なしくずき</t>
  </si>
  <si>
    <t>Attrition</t>
  </si>
  <si>
    <t>Zermürben</t>
  </si>
  <si>
    <t>Guardia Baja</t>
  </si>
  <si>
    <t>Insidia</t>
  </si>
  <si>
    <t>야금야금</t>
  </si>
  <si>
    <t>逐步擊破</t>
  </si>
  <si>
    <t>Clear Smog</t>
  </si>
  <si>
    <t>クリアスモッグ</t>
  </si>
  <si>
    <t>Bain de Smog</t>
  </si>
  <si>
    <t>Klärsmog</t>
  </si>
  <si>
    <t>Niebla Clara</t>
  </si>
  <si>
    <t>Pulifumo</t>
  </si>
  <si>
    <t>클리어스모그</t>
  </si>
  <si>
    <t>清除之煙</t>
  </si>
  <si>
    <t>Stored Power</t>
  </si>
  <si>
    <t>アシストパワー</t>
  </si>
  <si>
    <t>Force Ajoutée</t>
  </si>
  <si>
    <t>Kraftvorrat</t>
  </si>
  <si>
    <t>Poder Reserva</t>
  </si>
  <si>
    <t>Veicolaforza</t>
  </si>
  <si>
    <t>어시스트파워</t>
  </si>
  <si>
    <t>輔助力量</t>
  </si>
  <si>
    <t>Quick Guard</t>
  </si>
  <si>
    <t>ファストガード</t>
  </si>
  <si>
    <t>Prévention</t>
  </si>
  <si>
    <t>Rapidschutz</t>
  </si>
  <si>
    <t>Anticipo</t>
  </si>
  <si>
    <t>퍼스트가드</t>
  </si>
  <si>
    <t>快速防守</t>
  </si>
  <si>
    <t>Ally Switch</t>
  </si>
  <si>
    <t>サイコチェンジ</t>
  </si>
  <si>
    <t>Interversion</t>
  </si>
  <si>
    <t>Seitentausch</t>
  </si>
  <si>
    <t>Cambio Banda</t>
  </si>
  <si>
    <t>Cambiaposto</t>
  </si>
  <si>
    <t>사이드체인지</t>
  </si>
  <si>
    <t>交換場地</t>
  </si>
  <si>
    <t>Scald</t>
  </si>
  <si>
    <t>ねっとう</t>
  </si>
  <si>
    <t>Ébullition</t>
  </si>
  <si>
    <t>Siedewasser</t>
  </si>
  <si>
    <t>Escaldar</t>
  </si>
  <si>
    <t>Idrovampata</t>
  </si>
  <si>
    <t>열탕</t>
  </si>
  <si>
    <t>熱水</t>
  </si>
  <si>
    <t>Shell Smash</t>
  </si>
  <si>
    <t>からをやぶる</t>
  </si>
  <si>
    <t>Exuviation</t>
  </si>
  <si>
    <t>Hausbruch</t>
  </si>
  <si>
    <t>Rompecoraza</t>
  </si>
  <si>
    <t>Gettaguscio</t>
  </si>
  <si>
    <t>껍질깨기</t>
  </si>
  <si>
    <t>破殼</t>
  </si>
  <si>
    <t>Heal Pulse</t>
  </si>
  <si>
    <t>いやしのはどう</t>
  </si>
  <si>
    <t>Vibra Soin</t>
  </si>
  <si>
    <t>Heilwoge</t>
  </si>
  <si>
    <t>Pulso Cura</t>
  </si>
  <si>
    <t>Ondasana</t>
  </si>
  <si>
    <t>치유파동</t>
  </si>
  <si>
    <t>治癒波動</t>
  </si>
  <si>
    <t>Hex</t>
  </si>
  <si>
    <t>たたりめ</t>
  </si>
  <si>
    <t>Châtiment</t>
  </si>
  <si>
    <t>Bürde</t>
  </si>
  <si>
    <t>Infortunio</t>
  </si>
  <si>
    <t>Sciagura</t>
  </si>
  <si>
    <t>병상첨병</t>
  </si>
  <si>
    <t>禍不單行</t>
  </si>
  <si>
    <t>Sky Drop</t>
  </si>
  <si>
    <t>フリーフォール</t>
  </si>
  <si>
    <t>Chute Libre</t>
  </si>
  <si>
    <t>Freier Fall</t>
  </si>
  <si>
    <t>Caída Libre</t>
  </si>
  <si>
    <t>Cadutalibera</t>
  </si>
  <si>
    <t>프리폴</t>
  </si>
  <si>
    <t>自由落體</t>
  </si>
  <si>
    <t>Shift Gear</t>
  </si>
  <si>
    <t>ギアチェンジ</t>
  </si>
  <si>
    <t>Chgt Vitesse</t>
  </si>
  <si>
    <t>Gangwechsel</t>
  </si>
  <si>
    <t>Cambiomarcha</t>
  </si>
  <si>
    <t>Cambiomarcia</t>
  </si>
  <si>
    <t>기어체인지</t>
  </si>
  <si>
    <t>換檔</t>
  </si>
  <si>
    <t>Circle Throw</t>
  </si>
  <si>
    <t>ともえなげ</t>
  </si>
  <si>
    <t>Projection</t>
  </si>
  <si>
    <t>Überkopfwurf</t>
  </si>
  <si>
    <t>Llave Giro</t>
  </si>
  <si>
    <t>Ribaltiro</t>
  </si>
  <si>
    <t>배대뒤치기</t>
  </si>
  <si>
    <t>巴投</t>
  </si>
  <si>
    <t>Incinerate</t>
  </si>
  <si>
    <t>やきつくす</t>
  </si>
  <si>
    <t>Calcination</t>
  </si>
  <si>
    <t>Einäschern</t>
  </si>
  <si>
    <t>Calcinación</t>
  </si>
  <si>
    <t>Bruciatutto</t>
  </si>
  <si>
    <t>불태우기</t>
  </si>
  <si>
    <t>燒盡</t>
  </si>
  <si>
    <t>烧净</t>
  </si>
  <si>
    <t>Quash</t>
  </si>
  <si>
    <t>さきおくり</t>
  </si>
  <si>
    <t>À la Queue</t>
  </si>
  <si>
    <t>Verzögerung</t>
  </si>
  <si>
    <t>Último Lugar</t>
  </si>
  <si>
    <t>Spintone</t>
  </si>
  <si>
    <t>순서미루기</t>
  </si>
  <si>
    <t>延後</t>
  </si>
  <si>
    <t>Acrobatics</t>
  </si>
  <si>
    <t>アクロバット</t>
  </si>
  <si>
    <t>Acrobatie</t>
  </si>
  <si>
    <t>Acrobatik</t>
  </si>
  <si>
    <t>Acróbata</t>
  </si>
  <si>
    <t>Acrobazia</t>
  </si>
  <si>
    <t>애크러뱃</t>
  </si>
  <si>
    <t>雜技</t>
  </si>
  <si>
    <t>Reflect Type</t>
  </si>
  <si>
    <t>ミラータイプ</t>
  </si>
  <si>
    <t>Copie-Type</t>
  </si>
  <si>
    <t>Typenspiegel</t>
  </si>
  <si>
    <t>Clonatipo</t>
  </si>
  <si>
    <t>Riflettipo</t>
  </si>
  <si>
    <t>미러타입</t>
  </si>
  <si>
    <t>鏡面屬性</t>
  </si>
  <si>
    <t>Retaliate</t>
  </si>
  <si>
    <t>かたきうち</t>
  </si>
  <si>
    <t>Vengence</t>
  </si>
  <si>
    <t>Heimzahlung</t>
  </si>
  <si>
    <t>Represalia</t>
  </si>
  <si>
    <t>Nemesi</t>
  </si>
  <si>
    <t>원수갚기</t>
  </si>
  <si>
    <t>報仇</t>
  </si>
  <si>
    <t>Final Gambit</t>
  </si>
  <si>
    <t>いのちがけ</t>
  </si>
  <si>
    <t>Tout ou Rein</t>
  </si>
  <si>
    <t>Wagemut</t>
  </si>
  <si>
    <t>Sacrificio</t>
  </si>
  <si>
    <t>Azzardo</t>
  </si>
  <si>
    <t>목숨걸기</t>
  </si>
  <si>
    <t>搏命</t>
  </si>
  <si>
    <t>Bestow</t>
  </si>
  <si>
    <t>ギフトパス</t>
  </si>
  <si>
    <t>Passe-Cadeau</t>
  </si>
  <si>
    <t>Offerte</t>
  </si>
  <si>
    <t>Ofrenda</t>
  </si>
  <si>
    <t>Cediregalo</t>
  </si>
  <si>
    <t>기프트패스</t>
  </si>
  <si>
    <t>傳遞禮物</t>
  </si>
  <si>
    <t>Inferno</t>
  </si>
  <si>
    <t>れんごく</t>
  </si>
  <si>
    <t>Feu d'Enfer</t>
  </si>
  <si>
    <t>Infierno</t>
  </si>
  <si>
    <t>Marchiatura</t>
  </si>
  <si>
    <t>연옥</t>
  </si>
  <si>
    <t>煉獄</t>
  </si>
  <si>
    <t>烈火深渊</t>
  </si>
  <si>
    <t>Water Pledge</t>
  </si>
  <si>
    <t>Aire d'Eau</t>
  </si>
  <si>
    <t>Wassersäulen</t>
  </si>
  <si>
    <t>Voto Agua</t>
  </si>
  <si>
    <t>Acquapatto</t>
  </si>
  <si>
    <t>물의맹세</t>
  </si>
  <si>
    <t>水之誓約</t>
  </si>
  <si>
    <t>Fire Pledge</t>
  </si>
  <si>
    <t>Aire de Feu</t>
  </si>
  <si>
    <t>Feuersäulen</t>
  </si>
  <si>
    <t>Voto Fuego</t>
  </si>
  <si>
    <t>Fiammapatto</t>
  </si>
  <si>
    <t>불꽃의맹세</t>
  </si>
  <si>
    <t>火之誓約</t>
  </si>
  <si>
    <t>Grass Pledge</t>
  </si>
  <si>
    <t>Aire d'Herbe</t>
  </si>
  <si>
    <t>Pflanzensäulen</t>
  </si>
  <si>
    <t>Voto Planta</t>
  </si>
  <si>
    <t>Erbapatto</t>
  </si>
  <si>
    <t>풀의맹세</t>
  </si>
  <si>
    <t>草之誓約</t>
  </si>
  <si>
    <t>Volt Switch</t>
  </si>
  <si>
    <t>ボルトチェンジ</t>
  </si>
  <si>
    <t>Change Éclair</t>
  </si>
  <si>
    <t>Voltwechsel</t>
  </si>
  <si>
    <t>Voltiocambio</t>
  </si>
  <si>
    <t>Invertivolt</t>
  </si>
  <si>
    <t>볼트체인지</t>
  </si>
  <si>
    <t>伏特替換</t>
  </si>
  <si>
    <t>Struggle Bug</t>
  </si>
  <si>
    <t>むしのていこう</t>
  </si>
  <si>
    <t>Survinsecte</t>
  </si>
  <si>
    <t>Käfertrutz</t>
  </si>
  <si>
    <t>Estoicismo</t>
  </si>
  <si>
    <t>Entomoblocco</t>
  </si>
  <si>
    <t>벌레의저항</t>
  </si>
  <si>
    <t>蟲之抵抗</t>
  </si>
  <si>
    <t>Bulldoze</t>
  </si>
  <si>
    <t>じならし</t>
  </si>
  <si>
    <t>Piétisol</t>
  </si>
  <si>
    <t>Dampfwalze</t>
  </si>
  <si>
    <t>Terratemblor</t>
  </si>
  <si>
    <t>Battiterra</t>
  </si>
  <si>
    <t>땅고르기</t>
  </si>
  <si>
    <t>重踏</t>
  </si>
  <si>
    <t>Frost Breath</t>
  </si>
  <si>
    <t>こおりのいぶき</t>
  </si>
  <si>
    <t>Souffle Glacé</t>
  </si>
  <si>
    <t>Eisesodem</t>
  </si>
  <si>
    <t>Vaho Gélido</t>
  </si>
  <si>
    <t>Alitogelido</t>
  </si>
  <si>
    <t>얼음숨결</t>
  </si>
  <si>
    <t>冰息</t>
  </si>
  <si>
    <t>Dragon Tail</t>
  </si>
  <si>
    <t>ドラゴンテール</t>
  </si>
  <si>
    <t>Draco-Queue</t>
  </si>
  <si>
    <t>Drachenrute</t>
  </si>
  <si>
    <t>Cola Dragón</t>
  </si>
  <si>
    <t>Codadrago</t>
  </si>
  <si>
    <t>드래곤테일</t>
  </si>
  <si>
    <t>龍尾</t>
  </si>
  <si>
    <t>Work Up</t>
  </si>
  <si>
    <t>ふるいたてる</t>
  </si>
  <si>
    <t>Rengorgement</t>
  </si>
  <si>
    <t>Kraftschub</t>
  </si>
  <si>
    <t>Avivar</t>
  </si>
  <si>
    <t>Cuordileone</t>
  </si>
  <si>
    <t>분발</t>
  </si>
  <si>
    <t>自我激勵</t>
  </si>
  <si>
    <t>Electroweb</t>
  </si>
  <si>
    <t>エレキネット</t>
  </si>
  <si>
    <t>Toile Élek</t>
  </si>
  <si>
    <t>Elektronetz</t>
  </si>
  <si>
    <t>Electrotela</t>
  </si>
  <si>
    <t>Elettrotela</t>
  </si>
  <si>
    <t>일렉트릭네트</t>
  </si>
  <si>
    <t>電網</t>
  </si>
  <si>
    <t>Wild Charge</t>
  </si>
  <si>
    <t>ワイルドボルト</t>
  </si>
  <si>
    <t>Éclair Fou</t>
  </si>
  <si>
    <t>Stromstoß</t>
  </si>
  <si>
    <t>Voltiocruel</t>
  </si>
  <si>
    <t>Sprizzalampo</t>
  </si>
  <si>
    <t>와일드볼트</t>
  </si>
  <si>
    <t>瘋狂伏特</t>
  </si>
  <si>
    <t>Drill Run</t>
  </si>
  <si>
    <t>ドリルライナー</t>
  </si>
  <si>
    <t>Tunnelier</t>
  </si>
  <si>
    <t>Schlagbohrer</t>
  </si>
  <si>
    <t>Taladradora</t>
  </si>
  <si>
    <t>Giravvita</t>
  </si>
  <si>
    <t>드릴라이너</t>
  </si>
  <si>
    <t>直衝鑽</t>
  </si>
  <si>
    <t>Dual Chop</t>
  </si>
  <si>
    <t>ダブルチョップ</t>
  </si>
  <si>
    <t>Double Baffe</t>
  </si>
  <si>
    <t>Doppelhieb</t>
  </si>
  <si>
    <t>Golpe Bis</t>
  </si>
  <si>
    <t>Doppiocolpo</t>
  </si>
  <si>
    <t>더블촙</t>
  </si>
  <si>
    <t>二連劈</t>
  </si>
  <si>
    <t>Heart Stamp</t>
  </si>
  <si>
    <t>ハートスタンプ</t>
  </si>
  <si>
    <t>Crèvecœur</t>
  </si>
  <si>
    <t>Herzstempel</t>
  </si>
  <si>
    <t>Arrumaco</t>
  </si>
  <si>
    <t>Cuorestampo</t>
  </si>
  <si>
    <t>하트스탬프</t>
  </si>
  <si>
    <t>愛心印章</t>
  </si>
  <si>
    <t>Horn Leech</t>
  </si>
  <si>
    <t>ウッドホーン</t>
  </si>
  <si>
    <t>Encornebois</t>
  </si>
  <si>
    <t>Holzgeweih</t>
  </si>
  <si>
    <t>Asta Drenaje</t>
  </si>
  <si>
    <t>Legnicorno</t>
  </si>
  <si>
    <t>우드호른</t>
  </si>
  <si>
    <t>木角</t>
  </si>
  <si>
    <t>Sacred Sword</t>
  </si>
  <si>
    <t>せいなるつるぎ</t>
  </si>
  <si>
    <t>Lame Sainte</t>
  </si>
  <si>
    <t>Sanctoklinge</t>
  </si>
  <si>
    <t>Espada Santa</t>
  </si>
  <si>
    <t>Spadasolenne</t>
  </si>
  <si>
    <t>성스러운칼</t>
  </si>
  <si>
    <t>聖劍</t>
  </si>
  <si>
    <t>Razor Shell</t>
  </si>
  <si>
    <t>シェルブレード</t>
  </si>
  <si>
    <t>Coqui-Lame</t>
  </si>
  <si>
    <t>Kalkklinge</t>
  </si>
  <si>
    <t>Concha Filo</t>
  </si>
  <si>
    <t>Conchilama</t>
  </si>
  <si>
    <t>셸블레이드</t>
  </si>
  <si>
    <t>貝殼刃</t>
  </si>
  <si>
    <t>Heat Crash</t>
  </si>
  <si>
    <t>ヒートスタンプ</t>
  </si>
  <si>
    <t>Tacle Feu</t>
  </si>
  <si>
    <t>Brandstempel</t>
  </si>
  <si>
    <t>Golpe Calor</t>
  </si>
  <si>
    <t>Marchiafuoco</t>
  </si>
  <si>
    <t>히트스탬프</t>
  </si>
  <si>
    <t>高溫重壓</t>
  </si>
  <si>
    <t>Leaf Tornado</t>
  </si>
  <si>
    <t>グラスミキサー</t>
  </si>
  <si>
    <t>Phytomixeur</t>
  </si>
  <si>
    <t>Grasmixer</t>
  </si>
  <si>
    <t>Ciclón de Hojas</t>
  </si>
  <si>
    <t>Vorticerba</t>
  </si>
  <si>
    <t>그래스믹서</t>
  </si>
  <si>
    <t>青草攪拌器</t>
  </si>
  <si>
    <t>Steamroller</t>
  </si>
  <si>
    <t>ハードローラー</t>
  </si>
  <si>
    <t>Bulldoboule</t>
  </si>
  <si>
    <t>Quetschwalze</t>
  </si>
  <si>
    <t>Rodillo de Púas</t>
  </si>
  <si>
    <t>Rulloduro</t>
  </si>
  <si>
    <t>하드롤러</t>
  </si>
  <si>
    <t>瘋狂滾壓</t>
  </si>
  <si>
    <t>Cotton Guard</t>
  </si>
  <si>
    <t>コットンガード</t>
  </si>
  <si>
    <t>Cotogarde</t>
  </si>
  <si>
    <t>Watteschild</t>
  </si>
  <si>
    <t>Rizo Algodón</t>
  </si>
  <si>
    <t>Cotonscudo</t>
  </si>
  <si>
    <t>코튼가드</t>
  </si>
  <si>
    <t>棉花防守</t>
  </si>
  <si>
    <t>Night Daze</t>
  </si>
  <si>
    <t>ナイトバースト</t>
  </si>
  <si>
    <t>Explonuit</t>
  </si>
  <si>
    <t>Nachtflut</t>
  </si>
  <si>
    <t>Pulso Noche</t>
  </si>
  <si>
    <t>Urtoscuro</t>
  </si>
  <si>
    <t>나이트버스트</t>
  </si>
  <si>
    <t>暗黑爆破</t>
  </si>
  <si>
    <t>Psystrike</t>
  </si>
  <si>
    <t>サイコブレイク</t>
  </si>
  <si>
    <t>Frappe Psy</t>
  </si>
  <si>
    <t>Psychostoß</t>
  </si>
  <si>
    <t>Onda Metal</t>
  </si>
  <si>
    <t>Psicobotta</t>
  </si>
  <si>
    <t>사이코브레이크</t>
  </si>
  <si>
    <t>精神擊破</t>
  </si>
  <si>
    <t>Tail Slap</t>
  </si>
  <si>
    <t>スイープビンタ</t>
  </si>
  <si>
    <t>Plumo-Queue</t>
  </si>
  <si>
    <t>Kehrschelle</t>
  </si>
  <si>
    <t>Plumerazo</t>
  </si>
  <si>
    <t>Spazzasberla</t>
  </si>
  <si>
    <t>스위프뺨치기</t>
  </si>
  <si>
    <t>掃尾拍打</t>
  </si>
  <si>
    <t>Hurricane</t>
  </si>
  <si>
    <t>ぼうふう</t>
  </si>
  <si>
    <t>Vent Violent</t>
  </si>
  <si>
    <t>Orkan</t>
  </si>
  <si>
    <t>Vendaval</t>
  </si>
  <si>
    <t>Tifone</t>
  </si>
  <si>
    <t>폭풍</t>
  </si>
  <si>
    <t>暴風</t>
  </si>
  <si>
    <t>Head Charge</t>
  </si>
  <si>
    <t>アフロブレイク</t>
  </si>
  <si>
    <t>Peignée</t>
  </si>
  <si>
    <t>Steinschädel</t>
  </si>
  <si>
    <t>Ariete</t>
  </si>
  <si>
    <t>Ricciolata</t>
  </si>
  <si>
    <t>아프로브레이크</t>
  </si>
  <si>
    <t>爆炸頭突擊</t>
  </si>
  <si>
    <t>Gear Grind</t>
  </si>
  <si>
    <t>ギアソーサー</t>
  </si>
  <si>
    <t>Lancécrou</t>
  </si>
  <si>
    <t>Klikkdiskus</t>
  </si>
  <si>
    <t>Rueda Doble</t>
  </si>
  <si>
    <t>Ingracolpo</t>
  </si>
  <si>
    <t>기어소서</t>
  </si>
  <si>
    <t>齒輪飛盤</t>
  </si>
  <si>
    <t>Searing Shot</t>
  </si>
  <si>
    <t>かえんだん</t>
  </si>
  <si>
    <t>Incendie</t>
  </si>
  <si>
    <t>Flammenball</t>
  </si>
  <si>
    <t>Bomba Ígnea</t>
  </si>
  <si>
    <t>Sparafuoco</t>
  </si>
  <si>
    <t>화염탄</t>
  </si>
  <si>
    <t>火焰彈</t>
  </si>
  <si>
    <t>Techno Blast</t>
  </si>
  <si>
    <t>テクノバスター</t>
  </si>
  <si>
    <t>Techno-Buster</t>
  </si>
  <si>
    <t>Techblaster</t>
  </si>
  <si>
    <t>Tecno Shock</t>
  </si>
  <si>
    <t>Tecnobotto</t>
  </si>
  <si>
    <t>테크노버스터</t>
  </si>
  <si>
    <t>高科技光炮</t>
  </si>
  <si>
    <t>Relic Song</t>
  </si>
  <si>
    <t>いにしえのうた</t>
  </si>
  <si>
    <t>Chant Antique</t>
  </si>
  <si>
    <t>Urgesang</t>
  </si>
  <si>
    <t>Canto Arcaico</t>
  </si>
  <si>
    <t>Cantoantico</t>
  </si>
  <si>
    <t>옛노래</t>
  </si>
  <si>
    <t>古老之歌</t>
  </si>
  <si>
    <t>Secret Sword</t>
  </si>
  <si>
    <t>しんぴのつるぎ</t>
  </si>
  <si>
    <t>Lame Ouinte</t>
  </si>
  <si>
    <t>Mystoschwert</t>
  </si>
  <si>
    <t>Sable Místico</t>
  </si>
  <si>
    <t>Spadamistica</t>
  </si>
  <si>
    <t>신비의칼</t>
  </si>
  <si>
    <t>神秘之劍</t>
  </si>
  <si>
    <t>Glaciate</t>
  </si>
  <si>
    <t>こごえるせかい</t>
  </si>
  <si>
    <t>Ère Glaciaire</t>
  </si>
  <si>
    <t>Eiszeit</t>
  </si>
  <si>
    <t>Mundo Gélido</t>
  </si>
  <si>
    <t>Gelamondo</t>
  </si>
  <si>
    <t>얼다세계</t>
  </si>
  <si>
    <t>冰封世界</t>
  </si>
  <si>
    <t>Bolt Strike</t>
  </si>
  <si>
    <t>Charge Foudre</t>
  </si>
  <si>
    <t>Blitzschlag</t>
  </si>
  <si>
    <t>Ataque Fulgor</t>
  </si>
  <si>
    <t>Lucesiluro</t>
  </si>
  <si>
    <t>Blue Flare</t>
  </si>
  <si>
    <t>あおいほのお</t>
  </si>
  <si>
    <t>Flamme Bleue</t>
  </si>
  <si>
    <t>Blauflammen</t>
  </si>
  <si>
    <t>Llama Azul</t>
  </si>
  <si>
    <t>Fuocoblu</t>
  </si>
  <si>
    <t>푸른불꽃</t>
  </si>
  <si>
    <t>青焰</t>
  </si>
  <si>
    <t>Fiery Dance</t>
  </si>
  <si>
    <t>ほのおのまい</t>
  </si>
  <si>
    <t>Danse du Feu</t>
  </si>
  <si>
    <t>Feuerreigen</t>
  </si>
  <si>
    <t>Danza Llama</t>
  </si>
  <si>
    <t>Voldifuoco</t>
  </si>
  <si>
    <t>불꽃춤</t>
  </si>
  <si>
    <t>火之舞</t>
  </si>
  <si>
    <t>Freeze Shock</t>
  </si>
  <si>
    <t>フリーズボルト</t>
  </si>
  <si>
    <t>Éclair Gelé</t>
  </si>
  <si>
    <t>Frostvolt</t>
  </si>
  <si>
    <t>Rayo Gélido</t>
  </si>
  <si>
    <t>Elettrogelo</t>
  </si>
  <si>
    <t>프리즈볼트</t>
  </si>
  <si>
    <t>冰凍伏特</t>
  </si>
  <si>
    <t>Ice Burn</t>
  </si>
  <si>
    <t>コールドフレア</t>
  </si>
  <si>
    <t>Feu Glacé</t>
  </si>
  <si>
    <t>Frosthauch</t>
  </si>
  <si>
    <t>Llama Gélida</t>
  </si>
  <si>
    <t>Vampagelida</t>
  </si>
  <si>
    <t>콜드플레어</t>
  </si>
  <si>
    <t>極寒冷焰</t>
  </si>
  <si>
    <t>Snarl</t>
  </si>
  <si>
    <t>バークアウト</t>
  </si>
  <si>
    <t>Aboiement</t>
  </si>
  <si>
    <t>Standpauke</t>
  </si>
  <si>
    <t>Alarido</t>
  </si>
  <si>
    <t>Urlorabbia</t>
  </si>
  <si>
    <t>바크아웃</t>
  </si>
  <si>
    <t>大聲咆哮</t>
  </si>
  <si>
    <t>Icicle Crash</t>
  </si>
  <si>
    <t>つららおとし</t>
  </si>
  <si>
    <t>Chute Glace</t>
  </si>
  <si>
    <t>Eiszapfhagel</t>
  </si>
  <si>
    <t>Chuzos</t>
  </si>
  <si>
    <t>Scagliagelo</t>
  </si>
  <si>
    <t>고드름떨구기</t>
  </si>
  <si>
    <t>冰柱墜擊</t>
  </si>
  <si>
    <t>V-create</t>
  </si>
  <si>
    <t>Ｖジェネレード</t>
  </si>
  <si>
    <t>Coup Victoire</t>
  </si>
  <si>
    <t>V-Generator</t>
  </si>
  <si>
    <t>V de Fuego</t>
  </si>
  <si>
    <t>Generatore V</t>
  </si>
  <si>
    <t>V제너레이트</t>
  </si>
  <si>
    <t>Ｖ熱焰</t>
  </si>
  <si>
    <t>Fusion Flare</t>
  </si>
  <si>
    <t>クロスフレイム</t>
  </si>
  <si>
    <t>Flamme Croix</t>
  </si>
  <si>
    <t>Kreuzflamme</t>
  </si>
  <si>
    <t>Llama Fusión</t>
  </si>
  <si>
    <t>Incrofiamma</t>
  </si>
  <si>
    <t>크로스플레임</t>
  </si>
  <si>
    <t>交錯火焰</t>
  </si>
  <si>
    <t>Fusion Bolt</t>
  </si>
  <si>
    <t>クロスサンダー</t>
  </si>
  <si>
    <t>Éclair Croix</t>
  </si>
  <si>
    <t>Kreuzdonner</t>
  </si>
  <si>
    <t>Rayo Fusión</t>
  </si>
  <si>
    <t>Incrotuono</t>
  </si>
  <si>
    <t>크로스썬더</t>
  </si>
  <si>
    <t>交錯閃電</t>
  </si>
  <si>
    <t>Flying Press</t>
  </si>
  <si>
    <t>フライングプレス</t>
  </si>
  <si>
    <t>Plancha Voladora</t>
  </si>
  <si>
    <t>Schiacciatuffo</t>
  </si>
  <si>
    <t>플라잉프레스</t>
  </si>
  <si>
    <t>飛身重壓</t>
  </si>
  <si>
    <t>Mat Block</t>
  </si>
  <si>
    <t>たたみがえし</t>
  </si>
  <si>
    <t>Tatamigaeshi</t>
  </si>
  <si>
    <t>Tatami-Schild</t>
  </si>
  <si>
    <t>Escudo Tatami</t>
  </si>
  <si>
    <t>Ribaltappeto</t>
  </si>
  <si>
    <t>마룻바닥세워막기</t>
  </si>
  <si>
    <t>掀榻榻米</t>
  </si>
  <si>
    <t>Belch</t>
  </si>
  <si>
    <t>ゲップ</t>
  </si>
  <si>
    <t>Éructation</t>
  </si>
  <si>
    <t>Rülpser</t>
  </si>
  <si>
    <t>Eructo</t>
  </si>
  <si>
    <t>Rutto</t>
  </si>
  <si>
    <t>트림</t>
  </si>
  <si>
    <t>打嗝</t>
  </si>
  <si>
    <t>Rototiller</t>
  </si>
  <si>
    <t>たがやす</t>
  </si>
  <si>
    <t>Fertilisation</t>
  </si>
  <si>
    <t>Pflüger</t>
  </si>
  <si>
    <t>Fertilizante</t>
  </si>
  <si>
    <t>Aracampo</t>
  </si>
  <si>
    <t>Sticky Web</t>
  </si>
  <si>
    <t>ねばねばネット</t>
  </si>
  <si>
    <t>Toile Gluante</t>
  </si>
  <si>
    <t>Klebenetz</t>
  </si>
  <si>
    <t>Red Viscosa</t>
  </si>
  <si>
    <t>Rete Vischiosa</t>
  </si>
  <si>
    <t>끈적끈적네트</t>
  </si>
  <si>
    <t>黏黏网</t>
  </si>
  <si>
    <t>Fell Stinger</t>
  </si>
  <si>
    <t>とどめばり</t>
  </si>
  <si>
    <t>Dard Mortel</t>
  </si>
  <si>
    <t>Stachelfinale</t>
  </si>
  <si>
    <t>Aguijón Letal</t>
  </si>
  <si>
    <t>Pungiglione</t>
  </si>
  <si>
    <t>마지막일침</t>
  </si>
  <si>
    <t>致命针刺</t>
  </si>
  <si>
    <t>Phantom Force</t>
  </si>
  <si>
    <t>ゴーストダイブ</t>
  </si>
  <si>
    <t>Hantise</t>
  </si>
  <si>
    <t>Phantomkraft</t>
  </si>
  <si>
    <t>Golpe Fantasma</t>
  </si>
  <si>
    <t>Spettrotuffo</t>
  </si>
  <si>
    <t>고스트다이브</t>
  </si>
  <si>
    <t>潜灵奇袭</t>
  </si>
  <si>
    <t>Trick-or-Treat</t>
  </si>
  <si>
    <t>ハロウィン</t>
  </si>
  <si>
    <t>Halloween</t>
  </si>
  <si>
    <t>핼러윈</t>
  </si>
  <si>
    <t>万圣夜</t>
  </si>
  <si>
    <t>Noble Roar</t>
  </si>
  <si>
    <t>Râle Mâle</t>
  </si>
  <si>
    <t>Kampfgebrüll</t>
  </si>
  <si>
    <t>Rugido de Guerra</t>
  </si>
  <si>
    <t>Urlo</t>
  </si>
  <si>
    <t>Ion Deluge</t>
  </si>
  <si>
    <t>プラズマシャワー</t>
  </si>
  <si>
    <t>Déluge Plasmique</t>
  </si>
  <si>
    <t>Plasmaschauer</t>
  </si>
  <si>
    <t>Cortina Plasma</t>
  </si>
  <si>
    <t>Pioggiaplasma</t>
  </si>
  <si>
    <t>플라스마샤워</t>
  </si>
  <si>
    <t>等离子浴</t>
  </si>
  <si>
    <t>Parabolic Charge</t>
  </si>
  <si>
    <t>パラボラチャージ</t>
  </si>
  <si>
    <t>Parabocharge</t>
  </si>
  <si>
    <t>Parabolladung</t>
  </si>
  <si>
    <t>Carga Parábola</t>
  </si>
  <si>
    <t>Caricaparabola</t>
  </si>
  <si>
    <t>파라볼라차지</t>
  </si>
  <si>
    <t>抛物面充电</t>
  </si>
  <si>
    <t>Forest's Curse</t>
  </si>
  <si>
    <t>もりののろい</t>
  </si>
  <si>
    <t>Maléfice Sylvain</t>
  </si>
  <si>
    <t>Waldesfluch</t>
  </si>
  <si>
    <t>Condena Silvana</t>
  </si>
  <si>
    <t>숲의저주</t>
  </si>
  <si>
    <t>森林詛咒</t>
  </si>
  <si>
    <t>森林咒术</t>
  </si>
  <si>
    <t>Petal Blizzard</t>
  </si>
  <si>
    <t>はなふぶき</t>
  </si>
  <si>
    <t>Tempête Florale</t>
  </si>
  <si>
    <t>Blütenwirbel</t>
  </si>
  <si>
    <t>Tormenta Floral</t>
  </si>
  <si>
    <t>Fiortempesta</t>
  </si>
  <si>
    <t>꽃보라</t>
  </si>
  <si>
    <t>落英缤纷</t>
  </si>
  <si>
    <t>Freeze-Dry</t>
  </si>
  <si>
    <t>フリズドライ</t>
  </si>
  <si>
    <t>Lyophilisation</t>
  </si>
  <si>
    <t>Gefriertrockner</t>
  </si>
  <si>
    <t>Liofilización</t>
  </si>
  <si>
    <t>Liofilizzazione</t>
  </si>
  <si>
    <t>프리즈드라이</t>
  </si>
  <si>
    <t>冷冻干燥</t>
  </si>
  <si>
    <t>Disarming Voice</t>
  </si>
  <si>
    <t>チャームボイス</t>
  </si>
  <si>
    <t>Voix Enjôleuse</t>
  </si>
  <si>
    <t>Säuselstimme</t>
  </si>
  <si>
    <t>Voz Cautivadora</t>
  </si>
  <si>
    <t>Incantavoce</t>
  </si>
  <si>
    <t>차밍보이스</t>
  </si>
  <si>
    <t>魅惑之聲</t>
  </si>
  <si>
    <t>Parting Shot</t>
  </si>
  <si>
    <t>せてゼリフ</t>
  </si>
  <si>
    <t>Dernier Mot</t>
  </si>
  <si>
    <t>Abgangstirade</t>
  </si>
  <si>
    <t>Última Palabra</t>
  </si>
  <si>
    <t>Monito</t>
  </si>
  <si>
    <t>막말내뱉기</t>
  </si>
  <si>
    <t>抛下狠话</t>
  </si>
  <si>
    <t>Topsy-Turvy</t>
  </si>
  <si>
    <t>ひっくりかえす</t>
  </si>
  <si>
    <t>Renversement</t>
  </si>
  <si>
    <t>Invertigo</t>
  </si>
  <si>
    <t>Reversión</t>
  </si>
  <si>
    <t>Sottosopra</t>
  </si>
  <si>
    <t>뒤집어엎기</t>
  </si>
  <si>
    <t>颠倒</t>
  </si>
  <si>
    <t>Draining Kiss</t>
  </si>
  <si>
    <t>ドレインキッス</t>
  </si>
  <si>
    <t>Vampibaiser</t>
  </si>
  <si>
    <t>Diebeskuss</t>
  </si>
  <si>
    <t>Beso Drenaje</t>
  </si>
  <si>
    <t>Assorbibacio</t>
  </si>
  <si>
    <t>드게인키스</t>
  </si>
  <si>
    <t>吸取之吻</t>
  </si>
  <si>
    <t>Crafty Shield</t>
  </si>
  <si>
    <t>トリックガード</t>
  </si>
  <si>
    <t>Vigilance</t>
  </si>
  <si>
    <t>Trickschutz</t>
  </si>
  <si>
    <t>Truco Defensa</t>
  </si>
  <si>
    <t>Truccodifesa</t>
  </si>
  <si>
    <t>트릭가드</t>
  </si>
  <si>
    <t>戏法防守</t>
  </si>
  <si>
    <t>Flower Shield</t>
  </si>
  <si>
    <t>フラワーガード</t>
  </si>
  <si>
    <t>Garde Florale</t>
  </si>
  <si>
    <t>Floraschutz</t>
  </si>
  <si>
    <t>Defensa Floral</t>
  </si>
  <si>
    <t>Fiordifesa</t>
  </si>
  <si>
    <t>플라워가드</t>
  </si>
  <si>
    <t>鲜花防守</t>
  </si>
  <si>
    <t>Grassy Terrain</t>
  </si>
  <si>
    <t>グラスフィールド</t>
  </si>
  <si>
    <t>Champ Herbu</t>
  </si>
  <si>
    <t>Grasfeld</t>
  </si>
  <si>
    <t>Campo de hierba</t>
  </si>
  <si>
    <t>Campo Erboso</t>
  </si>
  <si>
    <t>그래스필드</t>
  </si>
  <si>
    <t>青草場地</t>
  </si>
  <si>
    <t>Misty Terrain</t>
  </si>
  <si>
    <t>ミストフィールド</t>
  </si>
  <si>
    <t>Champ Brumeux</t>
  </si>
  <si>
    <t>Nebelfeld</t>
  </si>
  <si>
    <t>Campo de niebla</t>
  </si>
  <si>
    <t>Campo Nebbioso</t>
  </si>
  <si>
    <t>미스트필드</t>
  </si>
  <si>
    <t>薄霧場地</t>
  </si>
  <si>
    <t>Electrify</t>
  </si>
  <si>
    <t>そうでん</t>
  </si>
  <si>
    <t>Électrisation</t>
  </si>
  <si>
    <t>Elektrifizierung</t>
  </si>
  <si>
    <t>Electrificación</t>
  </si>
  <si>
    <t>Elettrocontagio</t>
  </si>
  <si>
    <t>송전</t>
  </si>
  <si>
    <t>输电</t>
  </si>
  <si>
    <t>Play Rough</t>
  </si>
  <si>
    <t>じゃれつく</t>
  </si>
  <si>
    <t>Câlinerie</t>
  </si>
  <si>
    <t>Knuddler</t>
  </si>
  <si>
    <t>Carantoña</t>
  </si>
  <si>
    <t>Carineria</t>
  </si>
  <si>
    <t>치근거리기</t>
  </si>
  <si>
    <t>嬉闹</t>
  </si>
  <si>
    <t>Fairy Wind</t>
  </si>
  <si>
    <t>ようせいのかぜ</t>
  </si>
  <si>
    <t>Vent Féérique</t>
  </si>
  <si>
    <t>Feenbrise</t>
  </si>
  <si>
    <t>Viento Feérico</t>
  </si>
  <si>
    <t>Vento di Fata</t>
  </si>
  <si>
    <t>요정의바람</t>
  </si>
  <si>
    <t>妖精之风</t>
  </si>
  <si>
    <t>Moonblast</t>
  </si>
  <si>
    <t>ムーンフォース</t>
  </si>
  <si>
    <t>Pouvior Lunaire</t>
  </si>
  <si>
    <t>Mondgewalt</t>
  </si>
  <si>
    <t>Fuerza Lunar</t>
  </si>
  <si>
    <t>Forza Lunare</t>
  </si>
  <si>
    <t>문포스</t>
  </si>
  <si>
    <t>月亮之力</t>
  </si>
  <si>
    <t>Boomburst</t>
  </si>
  <si>
    <t>ばくおんぱ</t>
  </si>
  <si>
    <t>Bang Sonique</t>
  </si>
  <si>
    <t>Überschallknall</t>
  </si>
  <si>
    <t>Estruendo</t>
  </si>
  <si>
    <t>Ondaboato</t>
  </si>
  <si>
    <t>폭음파</t>
  </si>
  <si>
    <t>爆音波</t>
  </si>
  <si>
    <t>Fairy Lock</t>
  </si>
  <si>
    <t>フェアリーロック</t>
  </si>
  <si>
    <t>Verrou Enchanté</t>
  </si>
  <si>
    <t>Feenschloss</t>
  </si>
  <si>
    <t>Cerrojo Feérico</t>
  </si>
  <si>
    <t>Blocco Fatato</t>
  </si>
  <si>
    <t>페어리록</t>
  </si>
  <si>
    <t>妖精之锁</t>
  </si>
  <si>
    <t>King's Shield</t>
  </si>
  <si>
    <t>キングシールド</t>
  </si>
  <si>
    <t>Bouclier Royal</t>
  </si>
  <si>
    <t>Königsschild</t>
  </si>
  <si>
    <t>Escudo Real</t>
  </si>
  <si>
    <t>Scudo Reale</t>
  </si>
  <si>
    <t>킹실드</t>
  </si>
  <si>
    <t>王者盾牌</t>
  </si>
  <si>
    <t>Play Nice</t>
  </si>
  <si>
    <t>なかよくする</t>
  </si>
  <si>
    <t>Camaraderie</t>
  </si>
  <si>
    <t>Kameradschaft</t>
  </si>
  <si>
    <t>Camaradería</t>
  </si>
  <si>
    <t>Simpatia</t>
  </si>
  <si>
    <t>친해지기</t>
  </si>
  <si>
    <t>和睦相处</t>
  </si>
  <si>
    <t>Confide</t>
  </si>
  <si>
    <t>ないしょばなし</t>
  </si>
  <si>
    <t>Confidence</t>
  </si>
  <si>
    <t>Vertrauenssache</t>
  </si>
  <si>
    <t>Confidencia</t>
  </si>
  <si>
    <t>Confidenza</t>
  </si>
  <si>
    <t>비밀이야기</t>
  </si>
  <si>
    <t>密语</t>
  </si>
  <si>
    <t>Diamond Storm</t>
  </si>
  <si>
    <t>ダイヤストーム</t>
  </si>
  <si>
    <t>Orage Adamantin</t>
  </si>
  <si>
    <t>Diamantsturm</t>
  </si>
  <si>
    <t>Torm. Diamantes</t>
  </si>
  <si>
    <t>Diamantempesta</t>
  </si>
  <si>
    <t>다이아스톰</t>
  </si>
  <si>
    <t>钻石风暴</t>
  </si>
  <si>
    <t>Steam Eruption</t>
  </si>
  <si>
    <t>スチームバースト</t>
  </si>
  <si>
    <t>Jet de Vapeur</t>
  </si>
  <si>
    <t>Dampfschwall</t>
  </si>
  <si>
    <t>Chorro de Vapor</t>
  </si>
  <si>
    <t>Vaporscoppio</t>
  </si>
  <si>
    <t>스팀버스트</t>
  </si>
  <si>
    <t>蒸汽爆炸</t>
  </si>
  <si>
    <t>Hyperspace Hole</t>
  </si>
  <si>
    <t>いじげんホール</t>
  </si>
  <si>
    <t>TrouDimensionnel</t>
  </si>
  <si>
    <t>Dimensionsloch</t>
  </si>
  <si>
    <t>Paso Dimensional</t>
  </si>
  <si>
    <t>Forodimensionale</t>
  </si>
  <si>
    <t>다른차원홀</t>
  </si>
  <si>
    <t>异次元洞</t>
  </si>
  <si>
    <t>Water Shuriken</t>
  </si>
  <si>
    <t>みずしゅりけん</t>
  </si>
  <si>
    <t>Sheauriken</t>
  </si>
  <si>
    <t>Wasser-Shuriken</t>
  </si>
  <si>
    <t>Shuriken de Agua</t>
  </si>
  <si>
    <t>Acqualame</t>
  </si>
  <si>
    <t>물수리검</t>
  </si>
  <si>
    <t>飞水手里剑</t>
  </si>
  <si>
    <t>Mystical Fire</t>
  </si>
  <si>
    <t>マジカルフレイム</t>
  </si>
  <si>
    <t>Feu Ensorcelé</t>
  </si>
  <si>
    <t>Magieflamme</t>
  </si>
  <si>
    <t>Llama Embrujada</t>
  </si>
  <si>
    <t>Magifiamma</t>
  </si>
  <si>
    <t>매지컬플레임</t>
  </si>
  <si>
    <t>魔法火焰</t>
  </si>
  <si>
    <t>Spiky Shield</t>
  </si>
  <si>
    <t>ニードルガード</t>
  </si>
  <si>
    <t>Pico-Défense</t>
  </si>
  <si>
    <t>Schutzstacheln</t>
  </si>
  <si>
    <t>Barrera Espinosa</t>
  </si>
  <si>
    <t>Agodifesa</t>
  </si>
  <si>
    <t>니들가드</t>
  </si>
  <si>
    <t>尖刺防守</t>
  </si>
  <si>
    <t>Aromatic Mist</t>
  </si>
  <si>
    <t>アロマミスト</t>
  </si>
  <si>
    <t>Brume Capiteuse</t>
  </si>
  <si>
    <t>Duftwolke</t>
  </si>
  <si>
    <t>Niebla Aromática</t>
  </si>
  <si>
    <t>Nebularoma</t>
  </si>
  <si>
    <t>아로마미스트</t>
  </si>
  <si>
    <t>芳香薄雾</t>
  </si>
  <si>
    <t>Eerie Impulse</t>
  </si>
  <si>
    <t>かいでんぱ</t>
  </si>
  <si>
    <t>Ondes Étranges</t>
  </si>
  <si>
    <t>Mystowellen</t>
  </si>
  <si>
    <t>Onda Anómala</t>
  </si>
  <si>
    <t>Elettromistero</t>
  </si>
  <si>
    <t>괴전파</t>
  </si>
  <si>
    <t>怪异电波</t>
  </si>
  <si>
    <t>Venom Drench</t>
  </si>
  <si>
    <t>ベノムトラップ</t>
  </si>
  <si>
    <t>Piège de Venin</t>
  </si>
  <si>
    <t>Giftfalle</t>
  </si>
  <si>
    <t>Trampa Venenosa</t>
  </si>
  <si>
    <t>Velenotrappola</t>
  </si>
  <si>
    <t>베놈트랩</t>
  </si>
  <si>
    <t>毒液陷阱</t>
  </si>
  <si>
    <t>Powder</t>
  </si>
  <si>
    <t>ふんじん</t>
  </si>
  <si>
    <t>Nuée de Poudre</t>
  </si>
  <si>
    <t>Pulverschleuder</t>
  </si>
  <si>
    <t>Polvo Explosivo</t>
  </si>
  <si>
    <t>Pulviscoppio</t>
  </si>
  <si>
    <t>분진</t>
  </si>
  <si>
    <t>粉塵</t>
  </si>
  <si>
    <t>Geomancy</t>
  </si>
  <si>
    <t>ジオコントロール</t>
  </si>
  <si>
    <t>Géo-Contrôle</t>
  </si>
  <si>
    <t>Geokontrolle</t>
  </si>
  <si>
    <t>Geocontrol</t>
  </si>
  <si>
    <t>지오컨트롤</t>
  </si>
  <si>
    <t>大地掌控</t>
  </si>
  <si>
    <t>Magnetic Flux</t>
  </si>
  <si>
    <t>じばそうさ</t>
  </si>
  <si>
    <t>Magné-Contrôle</t>
  </si>
  <si>
    <t>Magnetregler</t>
  </si>
  <si>
    <t>Aura Magnética</t>
  </si>
  <si>
    <t>Controllo Polare</t>
  </si>
  <si>
    <t>자기장조작</t>
  </si>
  <si>
    <t>磁場操控</t>
  </si>
  <si>
    <t>Happy Hour</t>
  </si>
  <si>
    <t>ハッピータイム</t>
  </si>
  <si>
    <t>Étrennes</t>
  </si>
  <si>
    <t>Goldene Zeiten</t>
  </si>
  <si>
    <t>Paga Extra</t>
  </si>
  <si>
    <t>Cuccagna</t>
  </si>
  <si>
    <t>해피타임</t>
  </si>
  <si>
    <t>歡樂時光</t>
  </si>
  <si>
    <t>Electric Terrain</t>
  </si>
  <si>
    <t>エレキフィールド</t>
  </si>
  <si>
    <t>Champ Électrifié</t>
  </si>
  <si>
    <t>Elektrofeld</t>
  </si>
  <si>
    <t>Campo Eléctrico</t>
  </si>
  <si>
    <t>Campo Elettrico</t>
  </si>
  <si>
    <t>일렉트릭필드</t>
  </si>
  <si>
    <t>電氣場地</t>
  </si>
  <si>
    <t>Dazzling Gleam</t>
  </si>
  <si>
    <t>マジカルシャイン</t>
  </si>
  <si>
    <t>Éclat Magique</t>
  </si>
  <si>
    <t>Zauberschein</t>
  </si>
  <si>
    <t>Brillo Mágico</t>
  </si>
  <si>
    <t>Magibrillio</t>
  </si>
  <si>
    <t>매지컬샤인</t>
  </si>
  <si>
    <t>魔法闪耀</t>
  </si>
  <si>
    <t>Celebrate</t>
  </si>
  <si>
    <t>おいわい</t>
  </si>
  <si>
    <t>Ehrentag</t>
  </si>
  <si>
    <t>Celebración</t>
  </si>
  <si>
    <t>Auguri</t>
  </si>
  <si>
    <t>축하</t>
  </si>
  <si>
    <t>庆祝</t>
  </si>
  <si>
    <t>Hold Hands</t>
  </si>
  <si>
    <t>てをつなぐ</t>
  </si>
  <si>
    <t>Mains Jointes</t>
  </si>
  <si>
    <t>Händchenhalten</t>
  </si>
  <si>
    <t>Manos Juntas</t>
  </si>
  <si>
    <t>Mano nella Mano</t>
  </si>
  <si>
    <t>손에손잡기</t>
  </si>
  <si>
    <t>牵手</t>
  </si>
  <si>
    <t>Baby-Doll Eyes</t>
  </si>
  <si>
    <t>つぶらなひとみ</t>
  </si>
  <si>
    <t>Regard Touchant</t>
  </si>
  <si>
    <t>Kulleraugen</t>
  </si>
  <si>
    <t>Ojitos Tiernos</t>
  </si>
  <si>
    <t>Occhioni Teneri</t>
  </si>
  <si>
    <t>초롱초롱눈동자</t>
  </si>
  <si>
    <t>圆瞳</t>
  </si>
  <si>
    <t>Nuzzle</t>
  </si>
  <si>
    <t>ほっぺすりすり</t>
  </si>
  <si>
    <t>Frotte-Frimousse</t>
  </si>
  <si>
    <t>Wangenrubbler</t>
  </si>
  <si>
    <t>Moflete Estático</t>
  </si>
  <si>
    <t>Elettrococcola</t>
  </si>
  <si>
    <t>볼부비부비</t>
  </si>
  <si>
    <t>蹭蹭臉頰</t>
  </si>
  <si>
    <t>Hold Back</t>
  </si>
  <si>
    <t>てかげん</t>
  </si>
  <si>
    <t>Retenue</t>
  </si>
  <si>
    <t>Zurückhaltung</t>
  </si>
  <si>
    <t>Clemencia</t>
  </si>
  <si>
    <t>Riguardo</t>
  </si>
  <si>
    <t>적당히손봐주기</t>
  </si>
  <si>
    <t>手下留情</t>
  </si>
  <si>
    <t>Infestation</t>
  </si>
  <si>
    <t>まとわりつく</t>
  </si>
  <si>
    <t>Harcèlement</t>
  </si>
  <si>
    <t>Plage</t>
  </si>
  <si>
    <t>Acoso</t>
  </si>
  <si>
    <t>Assillo</t>
  </si>
  <si>
    <t>엉겨붙기</t>
  </si>
  <si>
    <t>死纏爛打</t>
  </si>
  <si>
    <t>纠缠不休</t>
  </si>
  <si>
    <t>Power-Up Punch</t>
  </si>
  <si>
    <t>グログパンチ</t>
  </si>
  <si>
    <t>Poing Boost</t>
  </si>
  <si>
    <t>Steigerungshieb</t>
  </si>
  <si>
    <t>Puño Incremento</t>
  </si>
  <si>
    <t>Crescipugno</t>
  </si>
  <si>
    <t>그로우펀치</t>
  </si>
  <si>
    <t>增强拳</t>
  </si>
  <si>
    <t>Oblivion Wing</t>
  </si>
  <si>
    <t>デスウイング</t>
  </si>
  <si>
    <t>Mort'Ailes</t>
  </si>
  <si>
    <t>Unheilsschwingen</t>
  </si>
  <si>
    <t>Ala Mortífera</t>
  </si>
  <si>
    <t>Ali del Fato</t>
  </si>
  <si>
    <t>데스윙</t>
  </si>
  <si>
    <t>死亡之翼</t>
  </si>
  <si>
    <t>归天之翼</t>
  </si>
  <si>
    <t>Thousand Arrows</t>
  </si>
  <si>
    <t>サウサンドアロー</t>
  </si>
  <si>
    <t>Myria-Flèches</t>
  </si>
  <si>
    <t>Tausend Pfeile</t>
  </si>
  <si>
    <t>Mil Flechas</t>
  </si>
  <si>
    <t>Mille Frecce</t>
  </si>
  <si>
    <t>사우전드애로</t>
  </si>
  <si>
    <t>千箭齊發</t>
  </si>
  <si>
    <t>Thousand Waves</t>
  </si>
  <si>
    <t>サウサンドウァーブ</t>
  </si>
  <si>
    <t>Myria-Vagues</t>
  </si>
  <si>
    <t>Tausend Wellen</t>
  </si>
  <si>
    <t>Mil Temblores</t>
  </si>
  <si>
    <t>Mille Onde</t>
  </si>
  <si>
    <t>사우전드웨이브</t>
  </si>
  <si>
    <t>千波激盪</t>
  </si>
  <si>
    <t>Land's Wrath</t>
  </si>
  <si>
    <t>グランドフォース</t>
  </si>
  <si>
    <t>Force Chtonienne</t>
  </si>
  <si>
    <t>Bodengewalt</t>
  </si>
  <si>
    <t>Fuerza Telúrica</t>
  </si>
  <si>
    <t>Forza Tellurica</t>
  </si>
  <si>
    <t>그라운드포스</t>
  </si>
  <si>
    <t>大地神力</t>
  </si>
  <si>
    <t>Light of Ruin</t>
  </si>
  <si>
    <t>はめつのひかり</t>
  </si>
  <si>
    <t>Lumière du Néant</t>
  </si>
  <si>
    <t>Lux Calamitatis</t>
  </si>
  <si>
    <t>Luz Aniquiladora</t>
  </si>
  <si>
    <t>Luce Nefasta</t>
  </si>
  <si>
    <t>파멸의빛</t>
  </si>
  <si>
    <t>破灭之光</t>
  </si>
  <si>
    <t>Origin Pulse</t>
  </si>
  <si>
    <t>こんげんのはどう</t>
  </si>
  <si>
    <t>Onde Originelle</t>
  </si>
  <si>
    <t>Ursprungswoge</t>
  </si>
  <si>
    <t>Pulso Primigenio</t>
  </si>
  <si>
    <t>Primopulsar</t>
  </si>
  <si>
    <t>근원의파동</t>
  </si>
  <si>
    <t>根源波动</t>
  </si>
  <si>
    <t>Precipice Blades</t>
  </si>
  <si>
    <t>だんがいのつるぎ</t>
  </si>
  <si>
    <t>Lame Pangéenne</t>
  </si>
  <si>
    <t>Abgrundsklinge</t>
  </si>
  <si>
    <t>Filo del Abismo</t>
  </si>
  <si>
    <t>Spade Telluriche</t>
  </si>
  <si>
    <t>단애의칼</t>
  </si>
  <si>
    <t>断崖之剑</t>
  </si>
  <si>
    <t>Dragon Ascent</t>
  </si>
  <si>
    <t>ガリョウテンセイ</t>
  </si>
  <si>
    <t>Draco-Ascension</t>
  </si>
  <si>
    <t>Zenitstürmer</t>
  </si>
  <si>
    <t>Ascenso Draco</t>
  </si>
  <si>
    <t>Ascesa del Drago</t>
  </si>
  <si>
    <t>화룡점정</t>
  </si>
  <si>
    <t>画龙点睛</t>
  </si>
  <si>
    <t>Hyperspace Fury</t>
  </si>
  <si>
    <t>いじげんラッシュ</t>
  </si>
  <si>
    <t>Furie Dimension</t>
  </si>
  <si>
    <t>Dimensionswahn</t>
  </si>
  <si>
    <t>Cerco Dimensión</t>
  </si>
  <si>
    <t>Urtodimensionale</t>
  </si>
  <si>
    <t>다른차원러시</t>
  </si>
  <si>
    <t>异次元猛攻</t>
  </si>
  <si>
    <t>Breakneck Blitz</t>
  </si>
  <si>
    <t>ウルトラダッシュアタック</t>
  </si>
  <si>
    <t>Turbo-Charge Bulldozer</t>
  </si>
  <si>
    <t>Hyper-Sprintangriff</t>
  </si>
  <si>
    <t>Carrera Arrolladora</t>
  </si>
  <si>
    <t>Carica Travolgente</t>
  </si>
  <si>
    <t>울트라대시어택</t>
  </si>
  <si>
    <t>究極無敵大衝撞</t>
  </si>
  <si>
    <t>All-Out Pummeling</t>
  </si>
  <si>
    <t>全力無双激烈拳</t>
  </si>
  <si>
    <t>Combo Hyper-Furie</t>
  </si>
  <si>
    <t>Fulminante Faustschläge</t>
  </si>
  <si>
    <t>Ráfaga Demoledora</t>
  </si>
  <si>
    <t>Iperscarica Furiosa</t>
  </si>
  <si>
    <t>전력무쌍격렬권</t>
  </si>
  <si>
    <t>全力無雙激烈拳</t>
  </si>
  <si>
    <t>Supersonic Skystrike</t>
  </si>
  <si>
    <t>ファイナルダイブクラッシュ</t>
  </si>
  <si>
    <t>Piqué Supersonique</t>
  </si>
  <si>
    <t>Finaler Steilflug</t>
  </si>
  <si>
    <t>Picado Supersónico</t>
  </si>
  <si>
    <t>Picchiata Devastante</t>
  </si>
  <si>
    <t>파이널다이브클래시</t>
  </si>
  <si>
    <t>極速俯衝轟烈撞</t>
  </si>
  <si>
    <t>Acid Downpour</t>
  </si>
  <si>
    <t>アシッドポイズンヂリート</t>
  </si>
  <si>
    <t>Déluge Causti-Toxique</t>
  </si>
  <si>
    <t>Vernichtender Säureregen</t>
  </si>
  <si>
    <t>Diluvio Corrosivo</t>
  </si>
  <si>
    <t>Acidiluvio Corrosivo</t>
  </si>
  <si>
    <t>애시드포이즌딜리트</t>
  </si>
  <si>
    <t>強酸劇毒滅絕雨</t>
  </si>
  <si>
    <t>Tectonic Rage</t>
  </si>
  <si>
    <t>ライジングランドオーバー</t>
  </si>
  <si>
    <t>Éruption Géo-Sismique</t>
  </si>
  <si>
    <t>Seismische Eruption</t>
  </si>
  <si>
    <t>Barrena Telúrica</t>
  </si>
  <si>
    <t>Furore della Terra</t>
  </si>
  <si>
    <t>라이징랜드오버</t>
  </si>
  <si>
    <t>地隆嘯天大終結</t>
  </si>
  <si>
    <t>Continental Crush</t>
  </si>
  <si>
    <t>ワールドエンドフォール</t>
  </si>
  <si>
    <t>Apocalypse Gigalithique</t>
  </si>
  <si>
    <t>Apokalyptische Steinpresse</t>
  </si>
  <si>
    <t>Aplast. Gigalítico</t>
  </si>
  <si>
    <t>Gigamacigno Polverizzante</t>
  </si>
  <si>
    <t>월즈엔드폴</t>
  </si>
  <si>
    <t>毀天滅地巨岩墜</t>
  </si>
  <si>
    <t>Savage Spin-Out</t>
  </si>
  <si>
    <t>絶対捕食回転斬</t>
  </si>
  <si>
    <t>Cocon Fatal</t>
  </si>
  <si>
    <t>Wirbelnder Insektenhieb</t>
  </si>
  <si>
    <t>Guadaña Sedosa</t>
  </si>
  <si>
    <t>Bozzolo Fatale</t>
  </si>
  <si>
    <t>절대포식회전참</t>
  </si>
  <si>
    <t>絕對捕食迴旋斬</t>
  </si>
  <si>
    <t>Never-Ending Nightmare</t>
  </si>
  <si>
    <t>無限暗夜への誘い</t>
  </si>
  <si>
    <t>Appel des Ombres Éternelles</t>
  </si>
  <si>
    <t>Ewige Nacht</t>
  </si>
  <si>
    <t>Presa Espectral</t>
  </si>
  <si>
    <t>Abbraccio Spettrale</t>
  </si>
  <si>
    <t>무한암야로의유인</t>
  </si>
  <si>
    <t>無盡暗夜之誘惑</t>
  </si>
  <si>
    <t>Corkscrew Crash</t>
  </si>
  <si>
    <t>超絶螺旋連撃</t>
  </si>
  <si>
    <t>Vrille Maximum</t>
  </si>
  <si>
    <t>Turbo-Spiralkombo</t>
  </si>
  <si>
    <t>Hélice Trepanadora</t>
  </si>
  <si>
    <t>Spirale Perforante</t>
  </si>
  <si>
    <t>초월나선연격</t>
  </si>
  <si>
    <t>超絕螺旋連擊</t>
  </si>
  <si>
    <t>Inferno Overdrive</t>
  </si>
  <si>
    <t>ダイナミックフルフレイム</t>
  </si>
  <si>
    <t>Pyro-Explosion Cataclysmique</t>
  </si>
  <si>
    <t>Dynamische Maxiflamme</t>
  </si>
  <si>
    <t>Hecatombe Pírica</t>
  </si>
  <si>
    <t>Fiammobomba Detonante</t>
  </si>
  <si>
    <t>다이내믹풀플레임</t>
  </si>
  <si>
    <t>超強極限爆焰彈</t>
  </si>
  <si>
    <t>Hydro Vortex</t>
  </si>
  <si>
    <t>スーパーアクアトスネード</t>
  </si>
  <si>
    <t>Super Tourbillon Abyssal</t>
  </si>
  <si>
    <t>Super-Wassertornado</t>
  </si>
  <si>
    <t>Hidrovórtice Abisal</t>
  </si>
  <si>
    <t>Idrovortice Abissale</t>
  </si>
  <si>
    <t>슈퍼아쿠아토네이도</t>
  </si>
  <si>
    <t>超級水流大漩渦</t>
  </si>
  <si>
    <t>Bloom Doom</t>
  </si>
  <si>
    <t>ブルームシャインエクストラ</t>
  </si>
  <si>
    <t>Pétalexplosion Éblouissante</t>
  </si>
  <si>
    <t>Brillante Blütenpracht</t>
  </si>
  <si>
    <t>Megatón Floral</t>
  </si>
  <si>
    <t>Floriscoppio Sfolgorante</t>
  </si>
  <si>
    <t>블룸샤인엑스트라</t>
  </si>
  <si>
    <t>絢爛繽紛花怒放</t>
  </si>
  <si>
    <t>Gigavolt Havoc</t>
  </si>
  <si>
    <t>スパーキングギガボルト</t>
  </si>
  <si>
    <t>Fulguro-Lance Gigavolt</t>
  </si>
  <si>
    <t>Gigavolt-Funkensalve</t>
  </si>
  <si>
    <t>Gigavoltio Destructor</t>
  </si>
  <si>
    <t>Gigascarica Folgorante</t>
  </si>
  <si>
    <t>스파킹기가볼트</t>
  </si>
  <si>
    <t>終極伏特狂雷閃</t>
  </si>
  <si>
    <t>Shattered Psyche</t>
  </si>
  <si>
    <t>マキシマムサイブレイカー</t>
  </si>
  <si>
    <t>Psycho-Pulvérisation EX</t>
  </si>
  <si>
    <t>Psycho-Schmetterschlag</t>
  </si>
  <si>
    <t>Disruptor Psíquico</t>
  </si>
  <si>
    <t>Impatto Psicocinetico</t>
  </si>
  <si>
    <t>맥시멈사이브레이커</t>
  </si>
  <si>
    <t>至高精神破壞波</t>
  </si>
  <si>
    <t>Subzero Slammer</t>
  </si>
  <si>
    <t>レイジングジオフリーズ</t>
  </si>
  <si>
    <t>Laser Cryogénique</t>
  </si>
  <si>
    <t>Tobender Geofrost</t>
  </si>
  <si>
    <t>Crioaliento Despiadado</t>
  </si>
  <si>
    <t>Criodistruzione Polare</t>
  </si>
  <si>
    <t>레이징지오프리즈</t>
  </si>
  <si>
    <t>激狂大地萬里冰</t>
  </si>
  <si>
    <t>Devastating Drake</t>
  </si>
  <si>
    <t>アルチィメットドラゴンバーン</t>
  </si>
  <si>
    <t>Chaos Draconique</t>
  </si>
  <si>
    <t>Drastisches Drachendröhnen</t>
  </si>
  <si>
    <t>Dracoaliento Devastador</t>
  </si>
  <si>
    <t>Dragoschianto Finale</t>
  </si>
  <si>
    <t>얼티메이트드래곤번</t>
  </si>
  <si>
    <t>究極巨龍震天地</t>
  </si>
  <si>
    <t>Black Hole Eclipse</t>
  </si>
  <si>
    <t>ブラックホールイクリプス</t>
  </si>
  <si>
    <t>Trou Noir des Ombres</t>
  </si>
  <si>
    <t>Agujero Negro Aniquilador</t>
  </si>
  <si>
    <t>Buco Nero del Non Ritorno</t>
  </si>
  <si>
    <t>블랙홀이클립스</t>
  </si>
  <si>
    <t>黑洞吞噬萬物滅</t>
  </si>
  <si>
    <t>Twinkle Tackle</t>
  </si>
  <si>
    <t>ラブリースターインパクト</t>
  </si>
  <si>
    <t>Impact Choupinova</t>
  </si>
  <si>
    <t>Entzückender Sternenstoß</t>
  </si>
  <si>
    <t>Arrumaco Sideral</t>
  </si>
  <si>
    <t>Astroimpatto Fatato</t>
  </si>
  <si>
    <t>러블리스타임팩트</t>
  </si>
  <si>
    <t>可愛星星飛天撞</t>
  </si>
  <si>
    <t>Catastropika</t>
  </si>
  <si>
    <t>ひっさつのピカチュート</t>
  </si>
  <si>
    <t>Pikachute Foudroyante</t>
  </si>
  <si>
    <t>Perfektes Pika-Projektil</t>
  </si>
  <si>
    <t>Pikavoltio Letal</t>
  </si>
  <si>
    <t>Super Pikaboom</t>
  </si>
  <si>
    <t>필살피카슛</t>
  </si>
  <si>
    <t>皮卡皮卡必殺擊</t>
  </si>
  <si>
    <t>Shore Up</t>
  </si>
  <si>
    <t>すなあつめ</t>
  </si>
  <si>
    <t>Amass'Sable</t>
  </si>
  <si>
    <t>Sandsammler</t>
  </si>
  <si>
    <t>Recogearena</t>
  </si>
  <si>
    <t>Sabbiaccumulo</t>
  </si>
  <si>
    <t>모래모으기</t>
  </si>
  <si>
    <t>集沙</t>
  </si>
  <si>
    <t>First Impression</t>
  </si>
  <si>
    <t>であいがしら</t>
  </si>
  <si>
    <t>Escarmouche</t>
  </si>
  <si>
    <t>Überrumpler</t>
  </si>
  <si>
    <t>Escaramuza</t>
  </si>
  <si>
    <t>Schermaglia</t>
  </si>
  <si>
    <t>만나자마자</t>
  </si>
  <si>
    <t>迎头一击</t>
  </si>
  <si>
    <t>Baneful Bunker</t>
  </si>
  <si>
    <t>トーチカ</t>
  </si>
  <si>
    <t>Blockhaus</t>
  </si>
  <si>
    <t>Bunker</t>
  </si>
  <si>
    <t>Búnker</t>
  </si>
  <si>
    <t>Fortino</t>
  </si>
  <si>
    <t>토치카</t>
  </si>
  <si>
    <t>碉堡</t>
  </si>
  <si>
    <t>Spirit Shackle</t>
  </si>
  <si>
    <t>かげぬい</t>
  </si>
  <si>
    <t>Tisse Ombre</t>
  </si>
  <si>
    <t>Schattenfessel</t>
  </si>
  <si>
    <t>Puntada Sombría</t>
  </si>
  <si>
    <t>Cucitura d'Ombra</t>
  </si>
  <si>
    <t>그림자꿰매기</t>
  </si>
  <si>
    <t>缝影</t>
  </si>
  <si>
    <t>Darkest Lariat</t>
  </si>
  <si>
    <t>ＤＤラリアット</t>
  </si>
  <si>
    <t>Dark Lariat</t>
  </si>
  <si>
    <t>Lariat Oscuro</t>
  </si>
  <si>
    <t>Braccioteso</t>
  </si>
  <si>
    <t>ＤＤ래리어트</t>
  </si>
  <si>
    <t>ＤＤ金勾臂</t>
  </si>
  <si>
    <t>Sparkling Aria</t>
  </si>
  <si>
    <t>うたかたのアリア</t>
  </si>
  <si>
    <t>Aria de l'Écume</t>
  </si>
  <si>
    <t>Schaumserenade</t>
  </si>
  <si>
    <t>Aria Burbuja</t>
  </si>
  <si>
    <t>Canto Effimero</t>
  </si>
  <si>
    <t>물거품아리아</t>
  </si>
  <si>
    <t>泡影的咏叹调</t>
  </si>
  <si>
    <t>Ice Hammer</t>
  </si>
  <si>
    <t>アイスハンマー</t>
  </si>
  <si>
    <t>Marteau de Glace</t>
  </si>
  <si>
    <t>Eishammer</t>
  </si>
  <si>
    <t>Martillo Hielo</t>
  </si>
  <si>
    <t>Martelgelo</t>
  </si>
  <si>
    <t>아이스해머</t>
  </si>
  <si>
    <t>冰锤</t>
  </si>
  <si>
    <t>Floral Healing</t>
  </si>
  <si>
    <t>フラワーヒール</t>
  </si>
  <si>
    <t>Soin Floral</t>
  </si>
  <si>
    <t>Florakur</t>
  </si>
  <si>
    <t>Cura Floral</t>
  </si>
  <si>
    <t>Cure Floreale</t>
  </si>
  <si>
    <t>플라워힐</t>
  </si>
  <si>
    <t>花疗</t>
  </si>
  <si>
    <t>High Horsepower</t>
  </si>
  <si>
    <t>１０まんばりき</t>
  </si>
  <si>
    <t>Cavalerie Lourde</t>
  </si>
  <si>
    <t>Pferdestärke</t>
  </si>
  <si>
    <t>Fuerza Equina</t>
  </si>
  <si>
    <t>Forza Equina</t>
  </si>
  <si>
    <t>１０만마력</t>
  </si>
  <si>
    <t>十萬馬力</t>
  </si>
  <si>
    <t>Strength Sap</t>
  </si>
  <si>
    <t>ちからをすいとる</t>
  </si>
  <si>
    <t>Vole-Force</t>
  </si>
  <si>
    <t>Kraftabsorber</t>
  </si>
  <si>
    <t>Absorbefuerza</t>
  </si>
  <si>
    <t>Assorbiforza</t>
  </si>
  <si>
    <t>힘흡수</t>
  </si>
  <si>
    <t>吸取力量</t>
  </si>
  <si>
    <t>Solar Blade</t>
  </si>
  <si>
    <t>ソーラーブレード</t>
  </si>
  <si>
    <t>Lame Solaire</t>
  </si>
  <si>
    <t>Solarklinge</t>
  </si>
  <si>
    <t>Cuchilla Solar</t>
  </si>
  <si>
    <t>Lama Solare</t>
  </si>
  <si>
    <t>솔라블레이드</t>
  </si>
  <si>
    <t>日光刃</t>
  </si>
  <si>
    <t>Leafage</t>
  </si>
  <si>
    <t>このは</t>
  </si>
  <si>
    <t>Feuillage</t>
  </si>
  <si>
    <t>Blattwerk</t>
  </si>
  <si>
    <t>Follaje</t>
  </si>
  <si>
    <t>Fogliame</t>
  </si>
  <si>
    <t>나뭇잎</t>
  </si>
  <si>
    <t>树叶</t>
  </si>
  <si>
    <t>Spotlight</t>
  </si>
  <si>
    <t>スポットライト</t>
  </si>
  <si>
    <t>Projecteur</t>
  </si>
  <si>
    <t>Rampenlicht</t>
  </si>
  <si>
    <t>Foco</t>
  </si>
  <si>
    <t>Riflettore</t>
  </si>
  <si>
    <t>스포트라이트</t>
  </si>
  <si>
    <t>聚光灯</t>
  </si>
  <si>
    <t>Toxic Thread</t>
  </si>
  <si>
    <t>どくのいと</t>
  </si>
  <si>
    <t>Fil Toxique</t>
  </si>
  <si>
    <t>Giftfaden</t>
  </si>
  <si>
    <t>Hilo Venenoso</t>
  </si>
  <si>
    <t>Velenotela</t>
  </si>
  <si>
    <t>독실</t>
  </si>
  <si>
    <t>毒丝</t>
  </si>
  <si>
    <t>Laser Focus</t>
  </si>
  <si>
    <t>とぎすます</t>
  </si>
  <si>
    <t>Affilage</t>
  </si>
  <si>
    <t>Konzentration</t>
  </si>
  <si>
    <t>Aguzar</t>
  </si>
  <si>
    <t>Concentrazione</t>
  </si>
  <si>
    <t>예민해지기</t>
  </si>
  <si>
    <t>磨砺</t>
  </si>
  <si>
    <t>Gear Up</t>
  </si>
  <si>
    <t>アシストギア</t>
  </si>
  <si>
    <t>Hilfsmechanik</t>
  </si>
  <si>
    <t>Piñón Auxiliar</t>
  </si>
  <si>
    <t>Marciainpiù</t>
  </si>
  <si>
    <t>어시스트기어</t>
  </si>
  <si>
    <t>辅助齿轮</t>
  </si>
  <si>
    <t>Throat Chop</t>
  </si>
  <si>
    <t>じごくづき</t>
  </si>
  <si>
    <t>Exécu-Son</t>
  </si>
  <si>
    <t>Neck Strike</t>
  </si>
  <si>
    <t>Golpe Mordaza</t>
  </si>
  <si>
    <t>Colpo Infernale</t>
  </si>
  <si>
    <t>지옥찌르기</t>
  </si>
  <si>
    <t>地獄突刺</t>
  </si>
  <si>
    <t>深渊突刺</t>
  </si>
  <si>
    <t>Pollen Puff</t>
  </si>
  <si>
    <t>かふんだんご</t>
  </si>
  <si>
    <t>Boule Pollen</t>
  </si>
  <si>
    <t>Pollenknödel</t>
  </si>
  <si>
    <t>Bola de Polen</t>
  </si>
  <si>
    <t>Sferapolline</t>
  </si>
  <si>
    <t>꽃가루경단</t>
  </si>
  <si>
    <t>花粉团</t>
  </si>
  <si>
    <t>Anchor Shot</t>
  </si>
  <si>
    <t>アンカーショット</t>
  </si>
  <si>
    <t>Ancrage</t>
  </si>
  <si>
    <t>Ankerschuss</t>
  </si>
  <si>
    <t>Anclaje</t>
  </si>
  <si>
    <t>Colpo d'Ancora</t>
  </si>
  <si>
    <t>앵커숏</t>
  </si>
  <si>
    <t>掷锚</t>
  </si>
  <si>
    <t>Psychic Terrain</t>
  </si>
  <si>
    <t>サイコフィールド</t>
  </si>
  <si>
    <t>Champ Psychique</t>
  </si>
  <si>
    <t>Psychofeld</t>
  </si>
  <si>
    <t>Campo Psíquico</t>
  </si>
  <si>
    <t>Campo Psichico</t>
  </si>
  <si>
    <t>사이코필드</t>
  </si>
  <si>
    <t>精神場地</t>
  </si>
  <si>
    <t>Lunge</t>
  </si>
  <si>
    <t>とびかかる</t>
  </si>
  <si>
    <t>Furie-Bond</t>
  </si>
  <si>
    <t>Anfallen</t>
  </si>
  <si>
    <t>Plancha</t>
  </si>
  <si>
    <t>Assalto</t>
  </si>
  <si>
    <t>덤벼들기</t>
  </si>
  <si>
    <t>猛扑</t>
  </si>
  <si>
    <t>Fire Lash</t>
  </si>
  <si>
    <t>ほのおのムチ</t>
  </si>
  <si>
    <t>Fouet de Feu</t>
  </si>
  <si>
    <t>Feuerpeitsche</t>
  </si>
  <si>
    <t>Látigo Ígneo</t>
  </si>
  <si>
    <t>Frusta di Fuoco</t>
  </si>
  <si>
    <t>불꽃채찍</t>
  </si>
  <si>
    <t>火焰鞭</t>
  </si>
  <si>
    <t>Power Trip</t>
  </si>
  <si>
    <t>つけあがる</t>
  </si>
  <si>
    <t>Arrogance</t>
  </si>
  <si>
    <t>Überheblichkeit</t>
  </si>
  <si>
    <t>Chulería</t>
  </si>
  <si>
    <t>Tracotanza</t>
  </si>
  <si>
    <t>기어오르기</t>
  </si>
  <si>
    <t>嚣张</t>
  </si>
  <si>
    <t>Burn Up</t>
  </si>
  <si>
    <t>もえつきる</t>
  </si>
  <si>
    <t>Flamme Ultime</t>
  </si>
  <si>
    <t>Ausbrennen</t>
  </si>
  <si>
    <t>Llama Final</t>
  </si>
  <si>
    <t>Ultima Fiamma</t>
  </si>
  <si>
    <t>불사르기</t>
  </si>
  <si>
    <t>燃尽</t>
  </si>
  <si>
    <t>Speed Swap</t>
  </si>
  <si>
    <t>スピードスワップ</t>
  </si>
  <si>
    <t>Permuvitesse</t>
  </si>
  <si>
    <t>Initiativetausch</t>
  </si>
  <si>
    <t>Cambiavelocidad</t>
  </si>
  <si>
    <t>Velociscambio</t>
  </si>
  <si>
    <t>스피드스웹</t>
  </si>
  <si>
    <t>速度互换</t>
  </si>
  <si>
    <t>Smart Strike</t>
  </si>
  <si>
    <t>スマートホーン</t>
  </si>
  <si>
    <t>Estocorne</t>
  </si>
  <si>
    <t>Schmalhorn</t>
  </si>
  <si>
    <t>Cuerno Certero</t>
  </si>
  <si>
    <t>Sottilcorno</t>
  </si>
  <si>
    <t>스마트호른</t>
  </si>
  <si>
    <t>修长之角</t>
  </si>
  <si>
    <t>Purify</t>
  </si>
  <si>
    <t>じょうか</t>
  </si>
  <si>
    <t>Purification</t>
  </si>
  <si>
    <t>Läuterung</t>
  </si>
  <si>
    <t>Purificación</t>
  </si>
  <si>
    <t>Purificazione</t>
  </si>
  <si>
    <t>정화</t>
  </si>
  <si>
    <t>净化</t>
  </si>
  <si>
    <t>Revelation Dance</t>
  </si>
  <si>
    <t>めざめるダンス</t>
  </si>
  <si>
    <t>Danse Éveil</t>
  </si>
  <si>
    <t>Wecktanz</t>
  </si>
  <si>
    <t>Danza Despertar</t>
  </si>
  <si>
    <t>Mutadanza</t>
  </si>
  <si>
    <t>잠재댄스</t>
  </si>
  <si>
    <t>觉醒之舞</t>
  </si>
  <si>
    <t>Core Enforcer</t>
  </si>
  <si>
    <t>コアパニッシャー</t>
  </si>
  <si>
    <t>Sanction Suprême</t>
  </si>
  <si>
    <t>Sanktionskern</t>
  </si>
  <si>
    <t>Núcleo Castigo</t>
  </si>
  <si>
    <t>Nucleocastigo</t>
  </si>
  <si>
    <t>코어퍼니셔</t>
  </si>
  <si>
    <t>核心惩罚者</t>
  </si>
  <si>
    <t>Trop Kick</t>
  </si>
  <si>
    <t>トロピカルキック</t>
  </si>
  <si>
    <t>Botte Sucrette</t>
  </si>
  <si>
    <t>Tropenkick</t>
  </si>
  <si>
    <t>Patada Tropical</t>
  </si>
  <si>
    <t>Tropicalcio</t>
  </si>
  <si>
    <t>트로피컬킥</t>
  </si>
  <si>
    <t>热带踢</t>
  </si>
  <si>
    <t>Instruct</t>
  </si>
  <si>
    <t>さいはい</t>
  </si>
  <si>
    <t>Sommation</t>
  </si>
  <si>
    <t>Kommando</t>
  </si>
  <si>
    <t>Mandato</t>
  </si>
  <si>
    <t>Imposizione</t>
  </si>
  <si>
    <t>지휘</t>
  </si>
  <si>
    <t>号令</t>
  </si>
  <si>
    <t>Beak Blast</t>
  </si>
  <si>
    <t>くちばしキャノン</t>
  </si>
  <si>
    <t>Bec-Canon</t>
  </si>
  <si>
    <t>Schnabelkanone</t>
  </si>
  <si>
    <t>Pico Cañón</t>
  </si>
  <si>
    <t>Cannonbecco</t>
  </si>
  <si>
    <t>부리캐논</t>
  </si>
  <si>
    <t>鸟嘴加农炮</t>
  </si>
  <si>
    <t>Clanging Scales</t>
  </si>
  <si>
    <t>スケイルノイズ</t>
  </si>
  <si>
    <t>Vibrécaille</t>
  </si>
  <si>
    <t>Schuppenrasseln</t>
  </si>
  <si>
    <t>Fregor Escamas</t>
  </si>
  <si>
    <t>Clamorsquame</t>
  </si>
  <si>
    <t>스케일노이즈</t>
  </si>
  <si>
    <t>鳞片噪音</t>
  </si>
  <si>
    <t>Dragon Hammer</t>
  </si>
  <si>
    <t>ドラゴンハンマー</t>
  </si>
  <si>
    <t>Draco-Marteau</t>
  </si>
  <si>
    <t>Drachenhammer</t>
  </si>
  <si>
    <t>Martillo Dragón</t>
  </si>
  <si>
    <t>Marteldrago</t>
  </si>
  <si>
    <t>드래곤해머</t>
  </si>
  <si>
    <t>龍錘</t>
  </si>
  <si>
    <t>Brutal Swing</t>
  </si>
  <si>
    <t>ぶんまわす</t>
  </si>
  <si>
    <t>Centrifugifle</t>
  </si>
  <si>
    <t>Wirbler</t>
  </si>
  <si>
    <t>Giro Vil</t>
  </si>
  <si>
    <t>Vorticolpo</t>
  </si>
  <si>
    <t>세차게휘두르기</t>
  </si>
  <si>
    <t>狂舞揮打</t>
  </si>
  <si>
    <t>Aurora Veil</t>
  </si>
  <si>
    <t>オーロラベール</t>
  </si>
  <si>
    <t>Voile Aurore</t>
  </si>
  <si>
    <t>Auroraschleier</t>
  </si>
  <si>
    <t>Velo Aurora</t>
  </si>
  <si>
    <t>Velaurora</t>
  </si>
  <si>
    <t>오로라베일</t>
  </si>
  <si>
    <t>極光幕</t>
  </si>
  <si>
    <t>Sinister Arrow Raid</t>
  </si>
  <si>
    <t>シャドーアローズストライク</t>
  </si>
  <si>
    <t>Fureur des Plumes Spectrales</t>
  </si>
  <si>
    <t>Schatten-Pfeilregen</t>
  </si>
  <si>
    <t>Aluvión de Flechas sombrías</t>
  </si>
  <si>
    <t>Dardoassalto Spettrale</t>
  </si>
  <si>
    <t>섀도애로우즈스트라이크</t>
  </si>
  <si>
    <t>遮天蔽日暗影箭</t>
  </si>
  <si>
    <t>Malicious Moonsault</t>
  </si>
  <si>
    <t>ハイパーダーククラッシャー</t>
  </si>
  <si>
    <t>Dark Body Press</t>
  </si>
  <si>
    <t>Hyper Dark Crusher</t>
  </si>
  <si>
    <t>Hiperplancha Oscura</t>
  </si>
  <si>
    <t>Iperschianto delle Tenebre</t>
  </si>
  <si>
    <t>하이퍼다크크러셔</t>
  </si>
  <si>
    <t>極惡飛躍粉碎擊</t>
  </si>
  <si>
    <t>Oceanic Operetta</t>
  </si>
  <si>
    <t>わだつみのシンフォニア</t>
  </si>
  <si>
    <t>Symphonie des Ondines</t>
  </si>
  <si>
    <t>Grandiose Meeressymphonie</t>
  </si>
  <si>
    <t>Sinfonía de la Diva Marina</t>
  </si>
  <si>
    <t>Sinfonia del Mare</t>
  </si>
  <si>
    <t>바다의심포니</t>
  </si>
  <si>
    <t>海神莊嚴交響樂</t>
  </si>
  <si>
    <t>Guardian of Alola</t>
  </si>
  <si>
    <t>ガーヂィアン・ヂ・アローラ</t>
  </si>
  <si>
    <t>Colère du Gardien d'Alola</t>
  </si>
  <si>
    <t>Alolas Wächter</t>
  </si>
  <si>
    <t>Cólera del Guardián</t>
  </si>
  <si>
    <t>Collera del Guardiano</t>
  </si>
  <si>
    <t>알로라의수호자</t>
  </si>
  <si>
    <t>巨人衛士・阿羅拉</t>
  </si>
  <si>
    <t>Soul-Stealing 7-Star Strike</t>
  </si>
  <si>
    <t>七星奪魂腿</t>
  </si>
  <si>
    <t>Fauche-Âme des Sept Étoiles</t>
  </si>
  <si>
    <t>Sternbild des Seelenraubes</t>
  </si>
  <si>
    <t>Constelación Robaalmas</t>
  </si>
  <si>
    <t>Colpo Eptastellare Rubanima</t>
  </si>
  <si>
    <t>칠성탈혼퇴</t>
  </si>
  <si>
    <t>Stoked Sparksurfer</t>
  </si>
  <si>
    <t>ライトニングサーフライド</t>
  </si>
  <si>
    <t>Électro-Surf Survolté</t>
  </si>
  <si>
    <t>Blitz-Wellenritt</t>
  </si>
  <si>
    <t>Surfeo Galvánico</t>
  </si>
  <si>
    <t>Elettrosurf Folgorante</t>
  </si>
  <si>
    <t>라이트닝 서프라이드</t>
  </si>
  <si>
    <t>駕雷馭電戲衝浪</t>
  </si>
  <si>
    <t>Pulverizing Pancake</t>
  </si>
  <si>
    <t>ほんきをだすこうげき</t>
  </si>
  <si>
    <t>Gare au Ronflex</t>
  </si>
  <si>
    <t>Schluss mit lustig</t>
  </si>
  <si>
    <t>Arrojo Intempestido</t>
  </si>
  <si>
    <t>Adesso Faccio sul Serio</t>
  </si>
  <si>
    <t>진심의공격</t>
  </si>
  <si>
    <t>認真起來大爆擊</t>
  </si>
  <si>
    <t>Extreme Evoboost</t>
  </si>
  <si>
    <t>ナインエボルブースト</t>
  </si>
  <si>
    <t>Neuf pour Un</t>
  </si>
  <si>
    <t>Macht der Neun</t>
  </si>
  <si>
    <t>Novena Potencia</t>
  </si>
  <si>
    <t>Potenziamento Eevolutivo</t>
  </si>
  <si>
    <t>나인이볼부스트</t>
  </si>
  <si>
    <t>九彩昇華齊聚頂</t>
  </si>
  <si>
    <t>Genesis Supernova</t>
  </si>
  <si>
    <t>オリジンズスーパーノヴァ</t>
  </si>
  <si>
    <t>Supernova Originelle</t>
  </si>
  <si>
    <t>Supernova des Ursprungs</t>
  </si>
  <si>
    <t>Supernova Original</t>
  </si>
  <si>
    <t>Supernova delle Origini</t>
  </si>
  <si>
    <t>오리진즈슈퍼노바</t>
  </si>
  <si>
    <t>起源超新星大爆炸</t>
  </si>
  <si>
    <t>Shell Trap</t>
  </si>
  <si>
    <t>トラップシェル</t>
  </si>
  <si>
    <t>Carapiège</t>
  </si>
  <si>
    <t>Panzerfalle</t>
  </si>
  <si>
    <t>Coraza Trampa</t>
  </si>
  <si>
    <t>Gusciotrappola</t>
  </si>
  <si>
    <t>트랩셸</t>
  </si>
  <si>
    <t>陷阱甲壳</t>
  </si>
  <si>
    <t>Fleur Cannon</t>
  </si>
  <si>
    <t>フルールカノン</t>
  </si>
  <si>
    <t>Canon Floral</t>
  </si>
  <si>
    <t>Kanonenbouquet</t>
  </si>
  <si>
    <t>Cañón Floral</t>
  </si>
  <si>
    <t>Cannonfiore</t>
  </si>
  <si>
    <t>플뢰르캐논</t>
  </si>
  <si>
    <t>花朵加农炮</t>
  </si>
  <si>
    <t>Psychic Fangs</t>
  </si>
  <si>
    <t>サイコファング</t>
  </si>
  <si>
    <t>Psycho-Croc</t>
  </si>
  <si>
    <t>Psychobeißer</t>
  </si>
  <si>
    <t>Psicocolmillo</t>
  </si>
  <si>
    <t>Psicozanna</t>
  </si>
  <si>
    <t>사이코팽</t>
  </si>
  <si>
    <t>精神之牙</t>
  </si>
  <si>
    <t>Stomping Tantrum</t>
  </si>
  <si>
    <t>じだんだ</t>
  </si>
  <si>
    <t>Trépignement</t>
  </si>
  <si>
    <t>Fruststampfer</t>
  </si>
  <si>
    <t>Pataleta</t>
  </si>
  <si>
    <t>Battipiedi</t>
  </si>
  <si>
    <t>분함의발구르기</t>
  </si>
  <si>
    <t>跺脚</t>
  </si>
  <si>
    <t>Shadow Bone</t>
  </si>
  <si>
    <t>Os Ombre</t>
  </si>
  <si>
    <t>Schattenknochen</t>
  </si>
  <si>
    <t>Hueso Sombrío</t>
  </si>
  <si>
    <t>Ossotetro</t>
  </si>
  <si>
    <t>섀도본</t>
  </si>
  <si>
    <t>暗影之骨</t>
  </si>
  <si>
    <t>Accelerock</t>
  </si>
  <si>
    <t>アクセルロック</t>
  </si>
  <si>
    <t>Vif Roc</t>
  </si>
  <si>
    <t>Turbofelsen</t>
  </si>
  <si>
    <t>Roca Veloz</t>
  </si>
  <si>
    <t>Rocciarapida</t>
  </si>
  <si>
    <t>액셀록</t>
  </si>
  <si>
    <t>冲岩</t>
  </si>
  <si>
    <t>Liquidation</t>
  </si>
  <si>
    <t>アクアブレイク</t>
  </si>
  <si>
    <t>Aqua-Brèche</t>
  </si>
  <si>
    <t>Aquadurchstoß</t>
  </si>
  <si>
    <t>Hidroariete</t>
  </si>
  <si>
    <t>Idrobreccia</t>
  </si>
  <si>
    <t>아쿠아브레이크</t>
  </si>
  <si>
    <t>水流裂破</t>
  </si>
  <si>
    <t>Prismatic Laser</t>
  </si>
  <si>
    <t>プリズムレーザー</t>
  </si>
  <si>
    <t>Laser Prisme</t>
  </si>
  <si>
    <t>Prisma-Laser</t>
  </si>
  <si>
    <t>Láser Prisma</t>
  </si>
  <si>
    <t>Prismalaser</t>
  </si>
  <si>
    <t>프리즘레이저</t>
  </si>
  <si>
    <t>棱镜镭射</t>
  </si>
  <si>
    <t>Spectral Thief</t>
  </si>
  <si>
    <t>シャドースチール</t>
  </si>
  <si>
    <t>Clepto-Mânes</t>
  </si>
  <si>
    <t>Diebesschatten</t>
  </si>
  <si>
    <t>Robasombra</t>
  </si>
  <si>
    <t>Ombrafurto</t>
  </si>
  <si>
    <t>섀도스틸</t>
  </si>
  <si>
    <t>暗影偷盗</t>
  </si>
  <si>
    <t>Sunsteel Strike</t>
  </si>
  <si>
    <t>メテオドライブ</t>
  </si>
  <si>
    <t>Choc Météore</t>
  </si>
  <si>
    <t>Stahlgestirn</t>
  </si>
  <si>
    <t>Meteoimpacto</t>
  </si>
  <si>
    <t>Astrocarica</t>
  </si>
  <si>
    <t>메테오드라이브</t>
  </si>
  <si>
    <t>流星闪冲</t>
  </si>
  <si>
    <t>Moongeist Beam</t>
  </si>
  <si>
    <t>シャドーレイ</t>
  </si>
  <si>
    <t>Rayon Spectral</t>
  </si>
  <si>
    <t>Schattenstrahl</t>
  </si>
  <si>
    <t>Rayo Umbrío</t>
  </si>
  <si>
    <t>Raggio d'Ombra</t>
  </si>
  <si>
    <t>섀도레이</t>
  </si>
  <si>
    <t>暗影之光</t>
  </si>
  <si>
    <t>Tearful Look</t>
  </si>
  <si>
    <t>なみだめ</t>
  </si>
  <si>
    <t>Larme à l'Œil</t>
  </si>
  <si>
    <t>Tränendrüse</t>
  </si>
  <si>
    <t>Ojos Llorosos</t>
  </si>
  <si>
    <t>Occhionilucidi</t>
  </si>
  <si>
    <t>눈물그렁그렁</t>
  </si>
  <si>
    <t>泪眼汪汪</t>
  </si>
  <si>
    <t>Zing Zap</t>
  </si>
  <si>
    <t>びりびりちくちき</t>
  </si>
  <si>
    <t>Électrikipik</t>
  </si>
  <si>
    <t>Elektropikser</t>
  </si>
  <si>
    <t>Electropunzada</t>
  </si>
  <si>
    <t>Elettropizzico</t>
  </si>
  <si>
    <t>찌리리따끔따끔</t>
  </si>
  <si>
    <t>麻麻刺刺</t>
  </si>
  <si>
    <t>NAME_MOVE_NATURESMADNESS</t>
  </si>
  <si>
    <t>Nature's Madness</t>
  </si>
  <si>
    <t>しぜんのいかり</t>
  </si>
  <si>
    <t>Ire de la Nature</t>
  </si>
  <si>
    <t>Naturzorn</t>
  </si>
  <si>
    <t>Furia Natural</t>
  </si>
  <si>
    <t>Ira della Natura</t>
  </si>
  <si>
    <t>자연의분노</t>
  </si>
  <si>
    <t>自然之怒</t>
  </si>
  <si>
    <t>Multi-Attack</t>
  </si>
  <si>
    <t>マルチアタック</t>
  </si>
  <si>
    <t>Coup Varia-Type</t>
  </si>
  <si>
    <t>Multi-Angriff</t>
  </si>
  <si>
    <t>Multiataque</t>
  </si>
  <si>
    <t>Multiattacco</t>
  </si>
  <si>
    <t>멀티어택</t>
  </si>
  <si>
    <t>多屬性攻擊</t>
  </si>
  <si>
    <t>10,000,000 Volt Thunderbolt</t>
  </si>
  <si>
    <t>１０００まんボルト</t>
  </si>
  <si>
    <t>Giga-Tonnerre</t>
  </si>
  <si>
    <t>Tausendfacher Donnerblitz</t>
  </si>
  <si>
    <t>Gigarrayo Fulminante</t>
  </si>
  <si>
    <t>Iperfulmine</t>
  </si>
  <si>
    <t>１０００만볼트</t>
  </si>
  <si>
    <t>千萬伏特</t>
  </si>
  <si>
    <t>Mind Blown</t>
  </si>
  <si>
    <t>ビックリヘッド</t>
  </si>
  <si>
    <t>Caboche-Kaboum</t>
  </si>
  <si>
    <t>Knallkopf</t>
  </si>
  <si>
    <t>Cabeza Sorpresa</t>
  </si>
  <si>
    <t>Sbalorditesta</t>
  </si>
  <si>
    <t>깜짝헤드</t>
  </si>
  <si>
    <t>驚爆大頭</t>
  </si>
  <si>
    <t>Plasma Fists</t>
  </si>
  <si>
    <t>プラズマフィスト</t>
  </si>
  <si>
    <t>Plasma Punch</t>
  </si>
  <si>
    <t>Plasmafäuste</t>
  </si>
  <si>
    <t>Puños Plasma</t>
  </si>
  <si>
    <t>Pugni Plasma</t>
  </si>
  <si>
    <t>플라스마피스트</t>
  </si>
  <si>
    <t>等離子閃電拳</t>
  </si>
  <si>
    <t>Photon Geyser</t>
  </si>
  <si>
    <t>フォトンゲイザー</t>
  </si>
  <si>
    <t>Photo-Geyser</t>
  </si>
  <si>
    <t>Photonen-Geysir</t>
  </si>
  <si>
    <t>Géiser Fotónico</t>
  </si>
  <si>
    <t>Geyser Fotonico</t>
  </si>
  <si>
    <t>포톤가이저</t>
  </si>
  <si>
    <t>光子噴湧</t>
  </si>
  <si>
    <t>Light That Burns the Sky</t>
  </si>
  <si>
    <t>天焦がす滅亡の光</t>
  </si>
  <si>
    <t>Apocalypsis Luminis</t>
  </si>
  <si>
    <t>Licht des Erlöschens</t>
  </si>
  <si>
    <t>Fotodestrucción Apocalíptica</t>
  </si>
  <si>
    <t>Fotodistruzione Apocalittica</t>
  </si>
  <si>
    <t>하늘을태우는멸망의빛</t>
  </si>
  <si>
    <t>焚天滅世熾光爆</t>
  </si>
  <si>
    <t>Searing Sunraze Smash</t>
  </si>
  <si>
    <t>サンシャインスマッシャー</t>
  </si>
  <si>
    <t>Hélio-Choc Dévastateur</t>
  </si>
  <si>
    <t>Schmetternde Sonnenwalze</t>
  </si>
  <si>
    <t>Embestida Solar</t>
  </si>
  <si>
    <t>Supercollisione Solare</t>
  </si>
  <si>
    <t>선샤인스매셔</t>
  </si>
  <si>
    <t>日光迴旋下蒼穹</t>
  </si>
  <si>
    <t>Menacing Moonraze Maelstrom</t>
  </si>
  <si>
    <t>ムーンライトブラスター</t>
  </si>
  <si>
    <t>Rayons Séléno-Explosifs</t>
  </si>
  <si>
    <t>Geballter Mondlaser</t>
  </si>
  <si>
    <t>Deflagración Lunar</t>
  </si>
  <si>
    <t>Deflagrazione Lunare</t>
  </si>
  <si>
    <t>문라이트블래스터</t>
  </si>
  <si>
    <t>月華飛濺落靈霄</t>
  </si>
  <si>
    <t>NAME_MOVE_LETSSNUGGLEFOREVER</t>
  </si>
  <si>
    <t>Let's Snuggle Forever</t>
  </si>
  <si>
    <t>ぽかぼかフレンドタイム</t>
  </si>
  <si>
    <t>Patati-Patattrape</t>
  </si>
  <si>
    <t>Herzliche Knuddelkloppe</t>
  </si>
  <si>
    <t>Somanta Amistosa</t>
  </si>
  <si>
    <t>Dolcesacco di Botte</t>
  </si>
  <si>
    <t>투닥투닥프렌드타임</t>
  </si>
  <si>
    <t>親密無間大亂揍</t>
  </si>
  <si>
    <t>Splintered Stormshards</t>
  </si>
  <si>
    <t>ラジアルエッジストーム</t>
  </si>
  <si>
    <t>Hurlement des Roches-Lames</t>
  </si>
  <si>
    <t>Fataler Steinregen</t>
  </si>
  <si>
    <t>Tempestad Rocosa</t>
  </si>
  <si>
    <t>Litotempesta Radiale</t>
  </si>
  <si>
    <t>레이디얼에지스톰</t>
  </si>
  <si>
    <t>狼嘯石牙颶風暴</t>
  </si>
  <si>
    <t>Clangorous Soulblaze</t>
  </si>
  <si>
    <t>ブレイジングソウルビート</t>
  </si>
  <si>
    <t>Dracacophonie Flamboyante</t>
  </si>
  <si>
    <t>Rasselnder Seelentanz</t>
  </si>
  <si>
    <t>Estruendo Implacable</t>
  </si>
  <si>
    <t>Dracofonia Divampante</t>
  </si>
  <si>
    <t>브레이징소울비트</t>
  </si>
  <si>
    <t>熾魂熱舞烈音爆</t>
  </si>
  <si>
    <t>Zippy Zap</t>
  </si>
  <si>
    <t>ばちばちアクセル</t>
  </si>
  <si>
    <t>Pika-Sprint</t>
  </si>
  <si>
    <t>Britzelturbo</t>
  </si>
  <si>
    <t>Pikaturbo</t>
  </si>
  <si>
    <t>Sprintaboom</t>
  </si>
  <si>
    <t>파찌파찌액셀</t>
  </si>
  <si>
    <t>電電加速</t>
  </si>
  <si>
    <t>Splishy Splash</t>
  </si>
  <si>
    <t>ざぶざぶサーフ</t>
  </si>
  <si>
    <t>Pika-Splash</t>
  </si>
  <si>
    <t>Plätschersurfer</t>
  </si>
  <si>
    <t>Salpikasurf</t>
  </si>
  <si>
    <t>Surfasplash</t>
  </si>
  <si>
    <t>참방참방서핑</t>
  </si>
  <si>
    <t>滔滔衝浪</t>
  </si>
  <si>
    <t>Floaty Fall</t>
  </si>
  <si>
    <t>ふわふわフォール</t>
  </si>
  <si>
    <t>Pika-Piqué</t>
  </si>
  <si>
    <t>Schwebesturz</t>
  </si>
  <si>
    <t>Pikapicado</t>
  </si>
  <si>
    <t>Piombaflap</t>
  </si>
  <si>
    <t>둥실둥실폴</t>
  </si>
  <si>
    <t>飄飄墜落</t>
  </si>
  <si>
    <t>Pika Papow</t>
  </si>
  <si>
    <t>ピカピカサンダー</t>
  </si>
  <si>
    <t>Pika-Fracas</t>
  </si>
  <si>
    <t>Pika-Flash</t>
  </si>
  <si>
    <t>Pikatormenta</t>
  </si>
  <si>
    <t>Pikasaetta</t>
  </si>
  <si>
    <t>피카피카썬더</t>
  </si>
  <si>
    <t>閃閃雷光</t>
  </si>
  <si>
    <t>Bouncy Bubble</t>
  </si>
  <si>
    <t>いきいきバブル</t>
  </si>
  <si>
    <t>Évo-Thalasso</t>
  </si>
  <si>
    <t>Blubbsauger</t>
  </si>
  <si>
    <t>Vapodrenaje</t>
  </si>
  <si>
    <t>Bollaslurp</t>
  </si>
  <si>
    <t>생생버블</t>
  </si>
  <si>
    <t>活活氣泡</t>
  </si>
  <si>
    <t>Buzzy Buzz</t>
  </si>
  <si>
    <t>びりびりエレキ</t>
  </si>
  <si>
    <t>Évo-Dynamo</t>
  </si>
  <si>
    <t>Knisterladung</t>
  </si>
  <si>
    <t>Joltioparálisis</t>
  </si>
  <si>
    <t>Elettrozap</t>
  </si>
  <si>
    <t>찌릿찌릿일렉</t>
  </si>
  <si>
    <t>麻麻電擊</t>
  </si>
  <si>
    <t>Sizzly Slide</t>
  </si>
  <si>
    <t>めらめらバーン</t>
  </si>
  <si>
    <t>Évo-Flambo</t>
  </si>
  <si>
    <t>Flackerbrand</t>
  </si>
  <si>
    <t>Flarembestida</t>
  </si>
  <si>
    <t>Fiammabam</t>
  </si>
  <si>
    <t>이글이글번</t>
  </si>
  <si>
    <t>熊熊火爆</t>
  </si>
  <si>
    <t>Glitzy Glow</t>
  </si>
  <si>
    <t>どばどばオーラ</t>
  </si>
  <si>
    <t>Évo-Psycho</t>
  </si>
  <si>
    <t>Pulsieraura</t>
  </si>
  <si>
    <t>Espeaura</t>
  </si>
  <si>
    <t>Auraswoosh</t>
  </si>
  <si>
    <t>콸콸오라</t>
  </si>
  <si>
    <t>嘩嘩氣場</t>
  </si>
  <si>
    <t>Baddy Bad</t>
  </si>
  <si>
    <t>わるわるゾーン</t>
  </si>
  <si>
    <t>Évo-Ténébro</t>
  </si>
  <si>
    <t>Quälzone</t>
  </si>
  <si>
    <t>Umbreozona</t>
  </si>
  <si>
    <t>Zona Buiabuia</t>
  </si>
  <si>
    <t>아그아그존</t>
  </si>
  <si>
    <t>壞壞領域</t>
  </si>
  <si>
    <t>Sappy Seed</t>
  </si>
  <si>
    <t>すくすくボンパー</t>
  </si>
  <si>
    <t>Évo-Écolo</t>
  </si>
  <si>
    <t>Sprießomben</t>
  </si>
  <si>
    <t>Leafitobombas</t>
  </si>
  <si>
    <t>Bombafrush</t>
  </si>
  <si>
    <t>쑥쑥봄버</t>
  </si>
  <si>
    <t>茁茁轟炸</t>
  </si>
  <si>
    <t>茁茁炸弹</t>
  </si>
  <si>
    <t>Freezy Frost</t>
  </si>
  <si>
    <t>こちこちフロスト</t>
  </si>
  <si>
    <t>Évo-Congélo</t>
  </si>
  <si>
    <t>Klirrfrost</t>
  </si>
  <si>
    <t>Glaceoprisma</t>
  </si>
  <si>
    <t>Scricchiagelo</t>
  </si>
  <si>
    <t>꽁꽁프로스트</t>
  </si>
  <si>
    <t>冰冰霜凍</t>
  </si>
  <si>
    <t>Sparkly Swirl</t>
  </si>
  <si>
    <t>きらきらストーム</t>
  </si>
  <si>
    <t>Évo-Fabulo</t>
  </si>
  <si>
    <t>Glitzersturm</t>
  </si>
  <si>
    <t>Sylveotornado</t>
  </si>
  <si>
    <t>Sbrilluccibufera</t>
  </si>
  <si>
    <t>반짝반짝스톰</t>
  </si>
  <si>
    <t>亮亮風暴</t>
  </si>
  <si>
    <t>Veevee Volley</t>
  </si>
  <si>
    <t>ブイブイブレイク</t>
  </si>
  <si>
    <t>Évo-Chardasso</t>
  </si>
  <si>
    <t>Evo-Crash</t>
  </si>
  <si>
    <t>Eeveimpacto</t>
  </si>
  <si>
    <t>Eeveempatto</t>
  </si>
  <si>
    <t>브이브이브레이크</t>
  </si>
  <si>
    <t>砰砰撃破</t>
  </si>
  <si>
    <t>Double Iron Bash</t>
  </si>
  <si>
    <t>ダブルパンシャー</t>
  </si>
  <si>
    <t>Écrous d'Poing</t>
  </si>
  <si>
    <t>Panzerfäuste</t>
  </si>
  <si>
    <t>Ferropuño Doble</t>
  </si>
  <si>
    <t>Pugni Corazzati</t>
  </si>
  <si>
    <t>더블펀처</t>
  </si>
  <si>
    <t>鋼拳雙擊</t>
  </si>
  <si>
    <t>Max Guard</t>
  </si>
  <si>
    <t>ダイウォール</t>
  </si>
  <si>
    <t>Gardomax</t>
  </si>
  <si>
    <t>Dyna-Wall</t>
  </si>
  <si>
    <t>Maxibarrera</t>
  </si>
  <si>
    <t>Dynabarriera</t>
  </si>
  <si>
    <t>다이월</t>
  </si>
  <si>
    <t>極巨防壁</t>
  </si>
  <si>
    <t>Dynamax Cannon</t>
  </si>
  <si>
    <t>ダイマックスほう</t>
  </si>
  <si>
    <t>Canon Dynamax</t>
  </si>
  <si>
    <t>Dynamax-Kanone</t>
  </si>
  <si>
    <t>Cañón Dinamax</t>
  </si>
  <si>
    <t>Cannone Dynamax</t>
  </si>
  <si>
    <t>다이맥스포</t>
  </si>
  <si>
    <t>極巨炮</t>
  </si>
  <si>
    <t>Snipe Shot</t>
  </si>
  <si>
    <t>ねらいうち</t>
  </si>
  <si>
    <t>Tir de Précision</t>
  </si>
  <si>
    <t>Präisionsschuss</t>
  </si>
  <si>
    <t>Disparo Certero</t>
  </si>
  <si>
    <t>Tiromirato</t>
  </si>
  <si>
    <t>노려맞히기</t>
  </si>
  <si>
    <t>狙擊</t>
  </si>
  <si>
    <t>Jaw Lock</t>
  </si>
  <si>
    <t>くらいつく</t>
  </si>
  <si>
    <t>Croque Fort</t>
  </si>
  <si>
    <t>Fesselbiss</t>
  </si>
  <si>
    <t>Presa Maxilar</t>
  </si>
  <si>
    <t>Morostretto</t>
  </si>
  <si>
    <t>물고버티기</t>
  </si>
  <si>
    <t>紧咬不放</t>
  </si>
  <si>
    <t>Stuff Cheeks</t>
  </si>
  <si>
    <t>ほおばる</t>
  </si>
  <si>
    <t>Garde-à-Joues</t>
  </si>
  <si>
    <t>Backenstopfer</t>
  </si>
  <si>
    <t>Atiborramiento</t>
  </si>
  <si>
    <t>Riempiguance</t>
  </si>
  <si>
    <t>볼가득넣기</t>
  </si>
  <si>
    <t>大快朵颐</t>
  </si>
  <si>
    <t>No Retreat</t>
  </si>
  <si>
    <t>はいすいのじん</t>
  </si>
  <si>
    <t>Ultime Bastion</t>
  </si>
  <si>
    <t>Finalformation</t>
  </si>
  <si>
    <t>Bastión Final</t>
  </si>
  <si>
    <t>Spalle al Muro</t>
  </si>
  <si>
    <t>배수의진</t>
  </si>
  <si>
    <t>背水一战</t>
  </si>
  <si>
    <t>Tar Shot</t>
  </si>
  <si>
    <t>タールショット</t>
  </si>
  <si>
    <t>Goudronnage</t>
  </si>
  <si>
    <t>Teerschuss</t>
  </si>
  <si>
    <t>Alquitranazo</t>
  </si>
  <si>
    <t>Colpocatrame</t>
  </si>
  <si>
    <t>타르숏</t>
  </si>
  <si>
    <t>沥青射击</t>
  </si>
  <si>
    <t>Magic Powder</t>
  </si>
  <si>
    <t>まほうのこな</t>
  </si>
  <si>
    <t>Poudre Magique</t>
  </si>
  <si>
    <t>Magiepuder</t>
  </si>
  <si>
    <t>Polvo Mágico</t>
  </si>
  <si>
    <t>Magipolvere</t>
  </si>
  <si>
    <t>마법가루</t>
  </si>
  <si>
    <t>魔法粉</t>
  </si>
  <si>
    <t>Dragon Darts</t>
  </si>
  <si>
    <t>ドラゴンアロー</t>
  </si>
  <si>
    <t>Draco-Flèches</t>
  </si>
  <si>
    <t>Drachenpfeile</t>
  </si>
  <si>
    <t>Dracoflechas</t>
  </si>
  <si>
    <t>Dragofrecce</t>
  </si>
  <si>
    <t>드래곤애로</t>
  </si>
  <si>
    <t>龍箭</t>
  </si>
  <si>
    <t>Teatime</t>
  </si>
  <si>
    <t>おちゃかい</t>
  </si>
  <si>
    <t>Thérémonie</t>
  </si>
  <si>
    <t>Hora del Té</t>
  </si>
  <si>
    <t>Ora del Tè</t>
  </si>
  <si>
    <t>다과회</t>
  </si>
  <si>
    <t>茶會</t>
  </si>
  <si>
    <t>Octolock</t>
  </si>
  <si>
    <t>たこがため</t>
  </si>
  <si>
    <t>Octoprise</t>
  </si>
  <si>
    <t>Octoklammer</t>
  </si>
  <si>
    <t>Octopresa</t>
  </si>
  <si>
    <t>Tentacolock</t>
  </si>
  <si>
    <t>문어굳히기</t>
  </si>
  <si>
    <t>蛸固</t>
  </si>
  <si>
    <t>Bolt Beak</t>
  </si>
  <si>
    <t>でんげきくちばし</t>
  </si>
  <si>
    <t>Prise de Bec</t>
  </si>
  <si>
    <t>Schockschnabel</t>
  </si>
  <si>
    <t>Electropico</t>
  </si>
  <si>
    <t>Beccoshock</t>
  </si>
  <si>
    <t>전격부리</t>
  </si>
  <si>
    <t>電喙</t>
  </si>
  <si>
    <t>Fishious Rend</t>
  </si>
  <si>
    <t>エラがみ</t>
  </si>
  <si>
    <t>Branchicrok</t>
  </si>
  <si>
    <t>Kiemenbiss</t>
  </si>
  <si>
    <t>Branquibocado</t>
  </si>
  <si>
    <t>Branchiomorso</t>
  </si>
  <si>
    <t>아가미물기</t>
  </si>
  <si>
    <t>鰓咬</t>
  </si>
  <si>
    <t>Court Change</t>
  </si>
  <si>
    <t>コートチェンジ</t>
  </si>
  <si>
    <t>Change-Côté</t>
  </si>
  <si>
    <t>Seitenwechsel</t>
  </si>
  <si>
    <t>Cambio de Cancha</t>
  </si>
  <si>
    <t>Cambiocampo</t>
  </si>
  <si>
    <t>코트체인지</t>
  </si>
  <si>
    <t>換場</t>
  </si>
  <si>
    <t>Max Flare</t>
  </si>
  <si>
    <t>ダイバーン</t>
  </si>
  <si>
    <t>Pyromax</t>
  </si>
  <si>
    <t>Dyna-Brand</t>
  </si>
  <si>
    <t>Maxignición</t>
  </si>
  <si>
    <t>Dynafiammata</t>
  </si>
  <si>
    <t>다이번</t>
  </si>
  <si>
    <t>極巨火爆</t>
  </si>
  <si>
    <t>Max Flutterby</t>
  </si>
  <si>
    <t>ダイワーム</t>
  </si>
  <si>
    <t>Insectomax</t>
  </si>
  <si>
    <t>Dyna-Schwarm</t>
  </si>
  <si>
    <t>Maxinsecto</t>
  </si>
  <si>
    <t>Dynainsetto</t>
  </si>
  <si>
    <t>다이웜</t>
  </si>
  <si>
    <t>極巨蟲蠱</t>
  </si>
  <si>
    <t>Max Lightning</t>
  </si>
  <si>
    <t>ダイサンダー</t>
  </si>
  <si>
    <t>Fulguromax</t>
  </si>
  <si>
    <t>Dyna-Gewitter</t>
  </si>
  <si>
    <t>Maxitormenta</t>
  </si>
  <si>
    <t>Dynasaetta</t>
  </si>
  <si>
    <t>다이썬더</t>
  </si>
  <si>
    <t>極巨閃電</t>
  </si>
  <si>
    <t>Max Strike</t>
  </si>
  <si>
    <t>ダイアタック</t>
  </si>
  <si>
    <t>Normalomax</t>
  </si>
  <si>
    <t>Dyna-Angriff</t>
  </si>
  <si>
    <t>Maxiataque</t>
  </si>
  <si>
    <t>Dynattacco</t>
  </si>
  <si>
    <t>다이어택</t>
  </si>
  <si>
    <t>極巨攻擊</t>
  </si>
  <si>
    <t>Max Knuckle</t>
  </si>
  <si>
    <t>ダイナックル</t>
  </si>
  <si>
    <t>Pugilomax</t>
  </si>
  <si>
    <t>Dyna-Faust</t>
  </si>
  <si>
    <t>Maxipuño</t>
  </si>
  <si>
    <t>Dynapungo</t>
  </si>
  <si>
    <t>다이너클</t>
  </si>
  <si>
    <t>極巨拳鬥</t>
  </si>
  <si>
    <t>Max Phantasm</t>
  </si>
  <si>
    <t>ダイホロウ</t>
  </si>
  <si>
    <t>Spectromax</t>
  </si>
  <si>
    <t>Dyna-Spuk</t>
  </si>
  <si>
    <t>Maxiespectro</t>
  </si>
  <si>
    <t>Dynavuoto</t>
  </si>
  <si>
    <t>다이할로우</t>
  </si>
  <si>
    <t>極巨幽魂</t>
  </si>
  <si>
    <t>Max Hailstorm</t>
  </si>
  <si>
    <t>ダイアイス</t>
  </si>
  <si>
    <t>Cryomax</t>
  </si>
  <si>
    <t>Dyna-Frost</t>
  </si>
  <si>
    <t>Maxihelada</t>
  </si>
  <si>
    <t>Dynagelo</t>
  </si>
  <si>
    <t>다이아이스</t>
  </si>
  <si>
    <t>極巨寒冰</t>
  </si>
  <si>
    <t>Max Ooze</t>
  </si>
  <si>
    <t>ダイアシッド</t>
  </si>
  <si>
    <t>Toxinomax</t>
  </si>
  <si>
    <t>Dyna-Giftschwall</t>
  </si>
  <si>
    <t>Maxiácido</t>
  </si>
  <si>
    <t>Dynacorrosione</t>
  </si>
  <si>
    <t>다이애시드</t>
  </si>
  <si>
    <t>極巨酸毒</t>
  </si>
  <si>
    <t>Max Geyser</t>
  </si>
  <si>
    <t>ダイストリーム</t>
  </si>
  <si>
    <t>Hydromax</t>
  </si>
  <si>
    <t>Dyna-Flut</t>
  </si>
  <si>
    <t>Maxichorro</t>
  </si>
  <si>
    <t>Dynaflusso</t>
  </si>
  <si>
    <t>다이스트림</t>
  </si>
  <si>
    <t>極巨水流</t>
  </si>
  <si>
    <t>Max Airstream</t>
  </si>
  <si>
    <t>ダイジェット</t>
  </si>
  <si>
    <t>Aéromax</t>
  </si>
  <si>
    <t>Dyna-Düse</t>
  </si>
  <si>
    <t>Maxiciclón</t>
  </si>
  <si>
    <t>Dynajet</t>
  </si>
  <si>
    <t>다이제트</t>
  </si>
  <si>
    <t>極巨飛衝</t>
  </si>
  <si>
    <t>Max Starfall</t>
  </si>
  <si>
    <t>ダイフェアリー</t>
  </si>
  <si>
    <t>Enchantomax</t>
  </si>
  <si>
    <t>Dyna-Zauber</t>
  </si>
  <si>
    <t>Maxiestela</t>
  </si>
  <si>
    <t>Dynafata</t>
  </si>
  <si>
    <t>다이페어리</t>
  </si>
  <si>
    <t>極巨妖精</t>
  </si>
  <si>
    <t>Max Wyrmwind</t>
  </si>
  <si>
    <t>ダイドラグーン</t>
  </si>
  <si>
    <t>Dracomax</t>
  </si>
  <si>
    <t>Dyna-Wyrm</t>
  </si>
  <si>
    <t>Maxidraco</t>
  </si>
  <si>
    <t>Dynadragone</t>
  </si>
  <si>
    <t>다이드라군</t>
  </si>
  <si>
    <t>極巨龍騎</t>
  </si>
  <si>
    <t>Max Mindstorm</t>
  </si>
  <si>
    <t>ダイサイコ</t>
  </si>
  <si>
    <t>Psychomax</t>
  </si>
  <si>
    <t>Dyna-Kinese</t>
  </si>
  <si>
    <t>Maxionda</t>
  </si>
  <si>
    <t>Dynapsiche</t>
  </si>
  <si>
    <t>다이사이코</t>
  </si>
  <si>
    <t>極巨超能</t>
  </si>
  <si>
    <t>Max Rockfall</t>
  </si>
  <si>
    <t>ダイロック</t>
  </si>
  <si>
    <t>Lithomax</t>
  </si>
  <si>
    <t>Dyna-Brocken</t>
  </si>
  <si>
    <t>Maxilito</t>
  </si>
  <si>
    <t>Dynamacigno</t>
  </si>
  <si>
    <t>다이록</t>
  </si>
  <si>
    <t>極巨岩石</t>
  </si>
  <si>
    <t>Max Quake</t>
  </si>
  <si>
    <t>ダイアース</t>
  </si>
  <si>
    <t>Sismomax</t>
  </si>
  <si>
    <t>Dyna-Erdstoß</t>
  </si>
  <si>
    <t>Maxitemblor</t>
  </si>
  <si>
    <t>Dynasisma</t>
  </si>
  <si>
    <t>다이어스</t>
  </si>
  <si>
    <t>極巨大地</t>
  </si>
  <si>
    <t>Max Darkness</t>
  </si>
  <si>
    <t>ダイアーク</t>
  </si>
  <si>
    <t>Sinistromax</t>
  </si>
  <si>
    <t>Dyna-Dunkel</t>
  </si>
  <si>
    <t>Maxisombra</t>
  </si>
  <si>
    <t>Dynatenebre</t>
  </si>
  <si>
    <t>다이아크</t>
  </si>
  <si>
    <t>極巨惡霸</t>
  </si>
  <si>
    <t>Max Overgrowth</t>
  </si>
  <si>
    <t>ダイソウゲン</t>
  </si>
  <si>
    <t>Phytomax</t>
  </si>
  <si>
    <t>Dyna-Flora</t>
  </si>
  <si>
    <t>Maxiflora</t>
  </si>
  <si>
    <t>Dynaflora</t>
  </si>
  <si>
    <t>다이그래스</t>
  </si>
  <si>
    <t>極巨草原</t>
  </si>
  <si>
    <t>Max Steelspike</t>
  </si>
  <si>
    <t>ダイスチル</t>
  </si>
  <si>
    <t>Métallomax</t>
  </si>
  <si>
    <t>Dyna-Stahlzacken</t>
  </si>
  <si>
    <t>Maximetal</t>
  </si>
  <si>
    <t>Dynametallo</t>
  </si>
  <si>
    <t>다이스틸</t>
  </si>
  <si>
    <t>極巨鋼鐵</t>
  </si>
  <si>
    <t>G-Max Wildfire</t>
  </si>
  <si>
    <t>キョダイゴクエン</t>
  </si>
  <si>
    <t>Fournaise G-Max</t>
  </si>
  <si>
    <t>Giga-Feuerflug</t>
  </si>
  <si>
    <t>Gigallamarada</t>
  </si>
  <si>
    <t>Gigavampa</t>
  </si>
  <si>
    <t>거다이옥염</t>
  </si>
  <si>
    <t>超極巨地獄滅焰</t>
  </si>
  <si>
    <t>G-Max Befuddle</t>
  </si>
  <si>
    <t>キョダイコワク</t>
  </si>
  <si>
    <t>Illusion G-Max</t>
  </si>
  <si>
    <t>Giga-Benebelung</t>
  </si>
  <si>
    <t>Gigaestupor</t>
  </si>
  <si>
    <t>Gigastupore</t>
  </si>
  <si>
    <t>거다이고혹</t>
  </si>
  <si>
    <t>超極巨蝶影蠱惑</t>
  </si>
  <si>
    <t>G-Max Volt Crash</t>
  </si>
  <si>
    <t>キョダイバンライ</t>
  </si>
  <si>
    <t>Foudre G-Max</t>
  </si>
  <si>
    <t>Giga-Blitzhagel</t>
  </si>
  <si>
    <t>Gigatronada</t>
  </si>
  <si>
    <t>Gigapikafolgori</t>
  </si>
  <si>
    <t>거다이만뢰</t>
  </si>
  <si>
    <t>超極巨萬雷轟頂</t>
  </si>
  <si>
    <t>G-Max Gold Rush</t>
  </si>
  <si>
    <t>キョダイコバン</t>
  </si>
  <si>
    <t>Pactole G-Max</t>
  </si>
  <si>
    <t>Giga-Münzregen</t>
  </si>
  <si>
    <t>Gigamonedas</t>
  </si>
  <si>
    <t>Gigamonte</t>
  </si>
  <si>
    <t>거다이금화</t>
  </si>
  <si>
    <t>超極巨特大金幣</t>
  </si>
  <si>
    <t>G-Max Chi Strike</t>
  </si>
  <si>
    <t>キョダイシンゲキ</t>
  </si>
  <si>
    <t>Frappe G-Max</t>
  </si>
  <si>
    <t>Giga-Fokusschlag</t>
  </si>
  <si>
    <t>Gigapuñición</t>
  </si>
  <si>
    <t>Gigapugnointuito</t>
  </si>
  <si>
    <t>거다이회심격</t>
  </si>
  <si>
    <t>超極巨會心一擊</t>
  </si>
  <si>
    <t>G-Max Terror</t>
  </si>
  <si>
    <t>キョダイゲンエイ</t>
  </si>
  <si>
    <t>Hantise G-Max</t>
  </si>
  <si>
    <t>Giga-Spuksperre</t>
  </si>
  <si>
    <t>Gigaaparición</t>
  </si>
  <si>
    <t>Gigaillusione</t>
  </si>
  <si>
    <t>거다이환영</t>
  </si>
  <si>
    <t>超極巨幻影幽魂</t>
  </si>
  <si>
    <t>G-Max Resonance</t>
  </si>
  <si>
    <t>キョダイセンリツ</t>
  </si>
  <si>
    <t>Résonance G-Max</t>
  </si>
  <si>
    <t>Giga-Melodie</t>
  </si>
  <si>
    <t>Gigamelodía</t>
  </si>
  <si>
    <t>Gigamelodia</t>
  </si>
  <si>
    <t>거다이선율</t>
  </si>
  <si>
    <t>超極巨極光旋律</t>
  </si>
  <si>
    <t>G-Max Cuddle</t>
  </si>
  <si>
    <t>キョダイホーヨー</t>
  </si>
  <si>
    <t>Câlin G-Max</t>
  </si>
  <si>
    <t>Giga-Gekuschel</t>
  </si>
  <si>
    <t>Gigaturnura</t>
  </si>
  <si>
    <t>Gigabbraccio</t>
  </si>
  <si>
    <t>거다이포옹</t>
  </si>
  <si>
    <t>超極巨熱情擁抱</t>
  </si>
  <si>
    <t>G-Max Replenish</t>
  </si>
  <si>
    <t>キョダイサイセイ</t>
  </si>
  <si>
    <t>Récolte G-Max</t>
  </si>
  <si>
    <t>Giga-Recycling</t>
  </si>
  <si>
    <t>Gigarreciclaje</t>
  </si>
  <si>
    <t>Gigarinnovamento</t>
  </si>
  <si>
    <t>거다이재생</t>
  </si>
  <si>
    <t>超極巨資源再生</t>
  </si>
  <si>
    <t>G-Max Malodor</t>
  </si>
  <si>
    <t>キョダイシュウキ</t>
  </si>
  <si>
    <t>Pestilence G-Max</t>
  </si>
  <si>
    <t>Giga-Gestank</t>
  </si>
  <si>
    <t>Gigapestilencia</t>
  </si>
  <si>
    <t>Gigafetore</t>
  </si>
  <si>
    <t>거다이악취</t>
  </si>
  <si>
    <t>超極巨臭氣沖天</t>
  </si>
  <si>
    <t>G-Max Stonesurge</t>
  </si>
  <si>
    <t>キョダイガンジン</t>
  </si>
  <si>
    <t>Récif G-Max</t>
  </si>
  <si>
    <t>Giga-Geröll</t>
  </si>
  <si>
    <t>Gigatrampa Rocas</t>
  </si>
  <si>
    <t>Gigarocciagetto</t>
  </si>
  <si>
    <t>거다이암진</t>
  </si>
  <si>
    <t>超極巨岩陣以待</t>
  </si>
  <si>
    <t>G-Max Wind Rage</t>
  </si>
  <si>
    <t>キョダイフウゲキ</t>
  </si>
  <si>
    <t>Rafale G-Max</t>
  </si>
  <si>
    <t>Giga-Sturmstoß</t>
  </si>
  <si>
    <t>Gigahuracán</t>
  </si>
  <si>
    <t>Gigaciclone</t>
  </si>
  <si>
    <t>거다이풍격</t>
  </si>
  <si>
    <t>超極巨旋風襲捲</t>
  </si>
  <si>
    <t>G-Max Stun Shock</t>
  </si>
  <si>
    <t>キョダイカンデン</t>
  </si>
  <si>
    <t>Choc G-Max</t>
  </si>
  <si>
    <t>Giga-Voltschlag</t>
  </si>
  <si>
    <t>Gigadescarga</t>
  </si>
  <si>
    <t>Gigatoxiscossa</t>
  </si>
  <si>
    <t>거다이감전</t>
  </si>
  <si>
    <t>超極巨異毒電場</t>
  </si>
  <si>
    <t>G-Max Finale</t>
  </si>
  <si>
    <t>キョダイダンエン</t>
  </si>
  <si>
    <t>Cure G-Max</t>
  </si>
  <si>
    <t>Giga-Lichtblick</t>
  </si>
  <si>
    <t>Gigacolofón</t>
  </si>
  <si>
    <t>Gigagranfinale</t>
  </si>
  <si>
    <t>거다이단원</t>
  </si>
  <si>
    <t>超極巨幸福圓滿</t>
  </si>
  <si>
    <t>G-Max Depletion</t>
  </si>
  <si>
    <t>キョダイゲンスイ</t>
  </si>
  <si>
    <t>Usure G-Max</t>
  </si>
  <si>
    <t>Giga-Dämpfer</t>
  </si>
  <si>
    <t>Gigadesgaste</t>
  </si>
  <si>
    <t>Gigalogoramento</t>
  </si>
  <si>
    <t>거다이감쇠</t>
  </si>
  <si>
    <t>超極巨劣化衰變</t>
  </si>
  <si>
    <t>G-Max Gravitas</t>
  </si>
  <si>
    <t>キョダイテンドウ</t>
  </si>
  <si>
    <t>Ondes G-Max</t>
  </si>
  <si>
    <t>Giga-Astrowellen</t>
  </si>
  <si>
    <t>Gigabóveda</t>
  </si>
  <si>
    <t>Gigagravitoforza</t>
  </si>
  <si>
    <t>거다이천도</t>
  </si>
  <si>
    <t>超極巨天道七星</t>
  </si>
  <si>
    <t>G-Max Volcalith</t>
  </si>
  <si>
    <t>キョダイフンセキ</t>
  </si>
  <si>
    <t>Téphra G-Max</t>
  </si>
  <si>
    <t>Giga-Schlacke</t>
  </si>
  <si>
    <t>Gigarroca Ígnea</t>
  </si>
  <si>
    <t>Gigalapilli</t>
  </si>
  <si>
    <t>거다이분석</t>
  </si>
  <si>
    <t>超極巨炎石噴發</t>
  </si>
  <si>
    <t>G-Max Sandblast</t>
  </si>
  <si>
    <t>キョダイサジン</t>
  </si>
  <si>
    <t>Enlisement G-Max</t>
  </si>
  <si>
    <t>Giga-Sandstoß</t>
  </si>
  <si>
    <t>Gigapolvareda</t>
  </si>
  <si>
    <t>Gigavortisabbia</t>
  </si>
  <si>
    <t>거다이사진</t>
  </si>
  <si>
    <t>超極巨沙塵漫天</t>
  </si>
  <si>
    <t>G-Max Snooze</t>
  </si>
  <si>
    <t>キョダイスイマ</t>
  </si>
  <si>
    <t>Torpeur G-Max</t>
  </si>
  <si>
    <t>Giga-Gähnzwang</t>
  </si>
  <si>
    <t>Gigasopor</t>
  </si>
  <si>
    <t>거다이수마</t>
  </si>
  <si>
    <t>超極巨睡魔降臨</t>
  </si>
  <si>
    <t>G-Max Tartness</t>
  </si>
  <si>
    <t>キョダイサンゲキ</t>
  </si>
  <si>
    <t>Corrosion G-Max</t>
  </si>
  <si>
    <t>Giga-Säureguss</t>
  </si>
  <si>
    <t>Gigacorrosión</t>
  </si>
  <si>
    <t>Gigattaccoacido</t>
  </si>
  <si>
    <t>거다이산격</t>
  </si>
  <si>
    <t>超極巨酸不溜丟</t>
  </si>
  <si>
    <t>G-Max Sweetness</t>
  </si>
  <si>
    <t>キョダイカンロ</t>
  </si>
  <si>
    <t>Nectar G-Max</t>
  </si>
  <si>
    <t>Giga-Nektarflut</t>
  </si>
  <si>
    <t>Giganéctar</t>
  </si>
  <si>
    <t>Gigambrosia</t>
  </si>
  <si>
    <t>거다이감로</t>
  </si>
  <si>
    <t>超極巨瓊漿玉液</t>
  </si>
  <si>
    <t>G-Max Smite</t>
  </si>
  <si>
    <t>キョダイテンバツ</t>
  </si>
  <si>
    <t>Sentence G-Max</t>
  </si>
  <si>
    <t>Giga-Sanktion</t>
  </si>
  <si>
    <t>Gigacastigo</t>
  </si>
  <si>
    <t>거다이천벌</t>
  </si>
  <si>
    <t>超極巨天譴雷誅</t>
  </si>
  <si>
    <t>G-Max Steelsurge</t>
  </si>
  <si>
    <t>キョダイコウジン</t>
  </si>
  <si>
    <t>Percée G-Max</t>
  </si>
  <si>
    <t>Giga-Stahlschlag</t>
  </si>
  <si>
    <t>Gigatrampa Acero</t>
  </si>
  <si>
    <t>Gigaferroaculei</t>
  </si>
  <si>
    <t>거다이강철진</t>
  </si>
  <si>
    <t>超極巨鋼鐵陣法</t>
  </si>
  <si>
    <t>G-Max Meltdown</t>
  </si>
  <si>
    <t>キョダイユウゲキ</t>
  </si>
  <si>
    <t>Fonte G-Max</t>
  </si>
  <si>
    <t>Giga-Schmelze</t>
  </si>
  <si>
    <t>Gigafundido</t>
  </si>
  <si>
    <t>Gigaliquefazione</t>
  </si>
  <si>
    <t>거다이융격</t>
  </si>
  <si>
    <t>超極巨液金熔擊</t>
  </si>
  <si>
    <t>G-Max Foam Burst</t>
  </si>
  <si>
    <t>キョダイホウマツ</t>
  </si>
  <si>
    <t>Bulles G-Max</t>
  </si>
  <si>
    <t>Giga-Schaumbad</t>
  </si>
  <si>
    <t>Gigaespuma</t>
  </si>
  <si>
    <t>Gigaschiuma</t>
  </si>
  <si>
    <t>거다이포말</t>
  </si>
  <si>
    <t>超極巨激漩泡渦</t>
  </si>
  <si>
    <t>G-Max Centiferno</t>
  </si>
  <si>
    <t>キョダイヒャッカ</t>
  </si>
  <si>
    <t>Combustion G-Max</t>
  </si>
  <si>
    <t>Giga-Feuerkessel</t>
  </si>
  <si>
    <t>Gigacienfuegos</t>
  </si>
  <si>
    <t>Gigamillefiamme</t>
  </si>
  <si>
    <t>거다이백화</t>
  </si>
  <si>
    <t>超極巨百火焚野</t>
  </si>
  <si>
    <t>Clangorous Soul</t>
  </si>
  <si>
    <t>ソウルビート</t>
  </si>
  <si>
    <t>Dracacophonie</t>
  </si>
  <si>
    <t>Seelentanz</t>
  </si>
  <si>
    <t>Estruendo Escama</t>
  </si>
  <si>
    <t>Dracofonia</t>
  </si>
  <si>
    <t>소울비트</t>
  </si>
  <si>
    <t>魂舞烈音爆</t>
  </si>
  <si>
    <t>Body Press</t>
  </si>
  <si>
    <t>ボディプレス</t>
  </si>
  <si>
    <t>Big Splash</t>
  </si>
  <si>
    <t>Plancha Corporal</t>
  </si>
  <si>
    <t>Schiacciacorpo</t>
  </si>
  <si>
    <t>바디프레스</t>
  </si>
  <si>
    <t>撲擊</t>
  </si>
  <si>
    <t>Decorate</t>
  </si>
  <si>
    <t>デコレーション</t>
  </si>
  <si>
    <t>Nappage</t>
  </si>
  <si>
    <t>Verzierung</t>
  </si>
  <si>
    <t>Decoración</t>
  </si>
  <si>
    <t>Decorazione</t>
  </si>
  <si>
    <t>데코레이션</t>
  </si>
  <si>
    <t>裝飾</t>
  </si>
  <si>
    <t>Drum Beating</t>
  </si>
  <si>
    <t>ドラムアタック</t>
  </si>
  <si>
    <t>Tambour Battant</t>
  </si>
  <si>
    <t>Trommelschläge</t>
  </si>
  <si>
    <t>Batería Asalto</t>
  </si>
  <si>
    <t>Tamburattacco</t>
  </si>
  <si>
    <t>드럼어택</t>
  </si>
  <si>
    <t>鼓擊</t>
  </si>
  <si>
    <t>Snap Trap</t>
  </si>
  <si>
    <t>トラバサミ</t>
  </si>
  <si>
    <t>Troquenard</t>
  </si>
  <si>
    <t>Fangeisen</t>
  </si>
  <si>
    <t>Cepo</t>
  </si>
  <si>
    <t>Tagliola</t>
  </si>
  <si>
    <t>집게덫</t>
  </si>
  <si>
    <t>捕獸夾</t>
  </si>
  <si>
    <t>Pyro Ball</t>
  </si>
  <si>
    <t>かえんボール</t>
  </si>
  <si>
    <t>Ballon Brûlant</t>
  </si>
  <si>
    <t>Feuerball</t>
  </si>
  <si>
    <t>Balón Ígneo</t>
  </si>
  <si>
    <t>Palla Infuocata</t>
  </si>
  <si>
    <t>화염볼</t>
  </si>
  <si>
    <t>火焰球</t>
  </si>
  <si>
    <t>Behemoth Blade</t>
  </si>
  <si>
    <t>きょじゅうざん</t>
  </si>
  <si>
    <t>Gladius Maximus</t>
  </si>
  <si>
    <t>Gigantenhieb</t>
  </si>
  <si>
    <t>Tajo Supremo</t>
  </si>
  <si>
    <t>Taglio Maestoso</t>
  </si>
  <si>
    <t>거수참</t>
  </si>
  <si>
    <t>巨獸斬</t>
  </si>
  <si>
    <t>Behemoth Bash</t>
  </si>
  <si>
    <t>きょじゅうだん</t>
  </si>
  <si>
    <t>Aegis Maxima</t>
  </si>
  <si>
    <t>Gigantenstoß</t>
  </si>
  <si>
    <t>Embate Supremo</t>
  </si>
  <si>
    <t>Colpo Maestoso</t>
  </si>
  <si>
    <t>거수탄</t>
  </si>
  <si>
    <t>巨獸彈</t>
  </si>
  <si>
    <t>Aura Wheel</t>
  </si>
  <si>
    <t>オーラぐるま</t>
  </si>
  <si>
    <t>Roue Libre</t>
  </si>
  <si>
    <t>Aura-Rad</t>
  </si>
  <si>
    <t>Rueda Aural</t>
  </si>
  <si>
    <t>Ruota d'Aura</t>
  </si>
  <si>
    <t>오라휠</t>
  </si>
  <si>
    <t>气场轮</t>
  </si>
  <si>
    <t>Breaking Swipe</t>
  </si>
  <si>
    <t>ワイドブレイカー</t>
  </si>
  <si>
    <t>Abattage</t>
  </si>
  <si>
    <t>Breitseite</t>
  </si>
  <si>
    <t>Vasto Impacto</t>
  </si>
  <si>
    <t>Vastoimpatto</t>
  </si>
  <si>
    <t>와이드브레이커</t>
  </si>
  <si>
    <t>广域破坏</t>
  </si>
  <si>
    <t>Branch Poke</t>
  </si>
  <si>
    <t>えだづき</t>
  </si>
  <si>
    <t>Tapotige</t>
  </si>
  <si>
    <t>Zweigstoß</t>
  </si>
  <si>
    <t>Punzada Rama</t>
  </si>
  <si>
    <t>Ramostoccata</t>
  </si>
  <si>
    <t>가지찌르기</t>
  </si>
  <si>
    <t>木枝突刺</t>
  </si>
  <si>
    <t>Overdrive</t>
  </si>
  <si>
    <t>オーバードライブ</t>
  </si>
  <si>
    <t>Amplificador</t>
  </si>
  <si>
    <t>오버드라이브</t>
  </si>
  <si>
    <t>破音</t>
  </si>
  <si>
    <t>Apple Acid</t>
  </si>
  <si>
    <t>りんごさん</t>
  </si>
  <si>
    <t>Acide Malique</t>
  </si>
  <si>
    <t>Apfelsäure</t>
  </si>
  <si>
    <t>Ácido Málico</t>
  </si>
  <si>
    <t>Acido Malico</t>
  </si>
  <si>
    <t>사과산</t>
  </si>
  <si>
    <t>苹果酸</t>
  </si>
  <si>
    <t>Grav Apple</t>
  </si>
  <si>
    <t>Ｇのちから</t>
  </si>
  <si>
    <t>Force G</t>
  </si>
  <si>
    <t>Gravitation</t>
  </si>
  <si>
    <t>Fuerza G</t>
  </si>
  <si>
    <t>Forza G</t>
  </si>
  <si>
    <t>Ｇ의힘</t>
  </si>
  <si>
    <t>万有引力</t>
  </si>
  <si>
    <t>Spirit Break</t>
  </si>
  <si>
    <t>ソウルクラッシュ</t>
  </si>
  <si>
    <t>Choc Émotionnel</t>
  </si>
  <si>
    <t>Seelenbruch</t>
  </si>
  <si>
    <t>Choque Anímico</t>
  </si>
  <si>
    <t>Frantumanima</t>
  </si>
  <si>
    <t>소울크래시</t>
  </si>
  <si>
    <t>灵魂冲击</t>
  </si>
  <si>
    <t>Strange Steam</t>
  </si>
  <si>
    <t>ワンダースチーム</t>
  </si>
  <si>
    <t>Vapeur Féérique</t>
  </si>
  <si>
    <t>Wunderdampf</t>
  </si>
  <si>
    <t>Cautivapor</t>
  </si>
  <si>
    <t>Vapore Incantato</t>
  </si>
  <si>
    <t>원더스팀</t>
  </si>
  <si>
    <t>神奇蒸汽</t>
  </si>
  <si>
    <t>Life Dew</t>
  </si>
  <si>
    <t>いのちのしずく</t>
  </si>
  <si>
    <t>Fontaine de Vie</t>
  </si>
  <si>
    <t>Lebenstropfen</t>
  </si>
  <si>
    <t>Gota Vital</t>
  </si>
  <si>
    <t>Goccia Vitale</t>
  </si>
  <si>
    <t>생명의물방울</t>
  </si>
  <si>
    <t>生命水滴</t>
  </si>
  <si>
    <t>Obstruct</t>
  </si>
  <si>
    <t>ブロッキング</t>
  </si>
  <si>
    <t>Blocage</t>
  </si>
  <si>
    <t>Abblocker</t>
  </si>
  <si>
    <t>Obstrucción</t>
  </si>
  <si>
    <t>Sbarramento</t>
  </si>
  <si>
    <t>블로킹</t>
  </si>
  <si>
    <t>攔堵</t>
  </si>
  <si>
    <t>False Surrender</t>
  </si>
  <si>
    <t>どげざつき</t>
  </si>
  <si>
    <t>Fourbette</t>
  </si>
  <si>
    <t>Kniefalltrick</t>
  </si>
  <si>
    <t>Irreverencia</t>
  </si>
  <si>
    <t>Supplicolpo</t>
  </si>
  <si>
    <t>사죄의찌르기</t>
  </si>
  <si>
    <t>假跪真撞</t>
  </si>
  <si>
    <t>Meteor Assault</t>
  </si>
  <si>
    <t>スターアサルト</t>
  </si>
  <si>
    <t>Joute Astrale</t>
  </si>
  <si>
    <t>Sternensturm</t>
  </si>
  <si>
    <t>Asalto Estelar</t>
  </si>
  <si>
    <t>Sfolgorassalto</t>
  </si>
  <si>
    <t>스타어설트</t>
  </si>
  <si>
    <t>流星突擊</t>
  </si>
  <si>
    <t>Eternabeam</t>
  </si>
  <si>
    <t>ムゲンダイビーム</t>
  </si>
  <si>
    <t>Laser Infinimax</t>
  </si>
  <si>
    <t>Unendynastrahlen</t>
  </si>
  <si>
    <t>Rayo Infinito</t>
  </si>
  <si>
    <t>Raggio Infinito</t>
  </si>
  <si>
    <t>무한다이빔</t>
  </si>
  <si>
    <t>無極光束</t>
  </si>
  <si>
    <t>Steel Beam</t>
  </si>
  <si>
    <t>てっていこうせん</t>
  </si>
  <si>
    <t>Métalaser</t>
  </si>
  <si>
    <t>Stahlstrahl</t>
  </si>
  <si>
    <t>Metaláser</t>
  </si>
  <si>
    <t>Raggio d'Acciaio</t>
  </si>
  <si>
    <t>철제광선</t>
  </si>
  <si>
    <t>鐵蹄光線</t>
  </si>
  <si>
    <t>G-Max Vine Lash</t>
  </si>
  <si>
    <t>キョダイバンタツ</t>
  </si>
  <si>
    <t>Fouet G-Max</t>
  </si>
  <si>
    <t>Giga-Geißel</t>
  </si>
  <si>
    <t>Gigalianas</t>
  </si>
  <si>
    <t>Gigasferzata</t>
  </si>
  <si>
    <t>거다이편달</t>
  </si>
  <si>
    <t>超極巨灰飛鞭滅</t>
  </si>
  <si>
    <t>G-Max Cannonade</t>
  </si>
  <si>
    <t>キョダイホウゲキ</t>
  </si>
  <si>
    <t>Cannonade G-Max</t>
  </si>
  <si>
    <t>Giga-Beschuss</t>
  </si>
  <si>
    <t>Gigacañonazo</t>
  </si>
  <si>
    <t>Gigacannonata</t>
  </si>
  <si>
    <t>거다이포격</t>
  </si>
  <si>
    <t>超極巨水砲轟滅</t>
  </si>
  <si>
    <t>G-Max Drum Solo</t>
  </si>
  <si>
    <t>キョダイコランダ</t>
  </si>
  <si>
    <t>Percussion G-Max</t>
  </si>
  <si>
    <t>Giga-Getrommel</t>
  </si>
  <si>
    <t>Gigarredoble</t>
  </si>
  <si>
    <t>거다이난타</t>
  </si>
  <si>
    <t>超極巨狂擂亂打</t>
  </si>
  <si>
    <t>G-Max Fireball</t>
  </si>
  <si>
    <t>キョダイカキュウ</t>
  </si>
  <si>
    <t>Pyroball G-Max</t>
  </si>
  <si>
    <t>Giga-Brandball</t>
  </si>
  <si>
    <t>Gigaesfera Ígnea</t>
  </si>
  <si>
    <t>거다이화염구</t>
  </si>
  <si>
    <t>超極巨破陣火球</t>
  </si>
  <si>
    <t>G-Max Hydrosnipe</t>
  </si>
  <si>
    <t>キョダイソゲキ</t>
  </si>
  <si>
    <t>Gâchette G-Max</t>
  </si>
  <si>
    <t>Giga-Schütze</t>
  </si>
  <si>
    <t>Gigadisparo</t>
  </si>
  <si>
    <t>거다이저격</t>
  </si>
  <si>
    <t>超極巨狙擊神射</t>
  </si>
  <si>
    <t>G-Max One Blow</t>
  </si>
  <si>
    <t>キョダイイチゲキ</t>
  </si>
  <si>
    <t>Coup Final G-Max</t>
  </si>
  <si>
    <t>Giga-Einzelhieb</t>
  </si>
  <si>
    <t>Gigagolpe Brusco</t>
  </si>
  <si>
    <t>Gigasingolcolpo</t>
  </si>
  <si>
    <t>거다이일격</t>
  </si>
  <si>
    <t>超極巨奪命一擊</t>
  </si>
  <si>
    <t>G-Max Rapid Flow</t>
  </si>
  <si>
    <t>キョダイレンゲキ</t>
  </si>
  <si>
    <t>Multicoupe G-Max</t>
  </si>
  <si>
    <t>Giga-Multihieb</t>
  </si>
  <si>
    <t>Gigagolpe Fluido</t>
  </si>
  <si>
    <t>Gigapluricolpo</t>
  </si>
  <si>
    <t>거다이연격</t>
  </si>
  <si>
    <t>超極巨流水連擊</t>
  </si>
  <si>
    <t>Expanding Force</t>
  </si>
  <si>
    <t>ワイドフォース</t>
  </si>
  <si>
    <t>Vaste Pouvoir</t>
  </si>
  <si>
    <t>Flächenmacht</t>
  </si>
  <si>
    <t>Vasta Fuerza</t>
  </si>
  <si>
    <t>Vasterngia</t>
  </si>
  <si>
    <t>와이드포스</t>
  </si>
  <si>
    <t>廣域戰力</t>
  </si>
  <si>
    <t>Steel Roller</t>
  </si>
  <si>
    <t>アイアンローラー</t>
  </si>
  <si>
    <t>Métalliroue</t>
  </si>
  <si>
    <t>Eisenwalze</t>
  </si>
  <si>
    <t>Allanador Férreo</t>
  </si>
  <si>
    <t>Ferrorullo</t>
  </si>
  <si>
    <t>아이언롤러</t>
  </si>
  <si>
    <t>鐵滾輪</t>
  </si>
  <si>
    <t>Scale Shot</t>
  </si>
  <si>
    <t>スケイルショット</t>
  </si>
  <si>
    <t>Rafale Écailles</t>
  </si>
  <si>
    <t>Schuppenschuss</t>
  </si>
  <si>
    <t>Ráfaga Escamas</t>
  </si>
  <si>
    <t>Squamacolpo</t>
  </si>
  <si>
    <t>스케일샷</t>
  </si>
  <si>
    <t>鱗射</t>
  </si>
  <si>
    <t>Meteor Beam</t>
  </si>
  <si>
    <t>メテオビーム</t>
  </si>
  <si>
    <t>Laser Météore</t>
  </si>
  <si>
    <t>Meteorstrahl</t>
  </si>
  <si>
    <t>Rayo Meteórico</t>
  </si>
  <si>
    <t>Raggiometeroa</t>
  </si>
  <si>
    <t>메테오빔</t>
  </si>
  <si>
    <t>流星光束</t>
  </si>
  <si>
    <t>Shell Side Arm</t>
  </si>
  <si>
    <t>シェルアームズ</t>
  </si>
  <si>
    <t>Kokiyarme</t>
  </si>
  <si>
    <t>Muschelwaffe</t>
  </si>
  <si>
    <t>Moluscañón</t>
  </si>
  <si>
    <t>Armaguscio</t>
  </si>
  <si>
    <t>셸암즈</t>
  </si>
  <si>
    <t>臂貝武器</t>
  </si>
  <si>
    <t>Misty Explosion</t>
  </si>
  <si>
    <t>ミストバースト</t>
  </si>
  <si>
    <t>Explo-Brume</t>
  </si>
  <si>
    <t>Nebelexplosion</t>
  </si>
  <si>
    <t>Bruma Explosiva</t>
  </si>
  <si>
    <t>Nebbioscoppio</t>
  </si>
  <si>
    <t>미스트버스트</t>
  </si>
  <si>
    <t>薄霧炸裂</t>
  </si>
  <si>
    <t>Grassy Glide</t>
  </si>
  <si>
    <t>グラススライダー</t>
  </si>
  <si>
    <t>Gliss'Herbe</t>
  </si>
  <si>
    <t>Grasrutche</t>
  </si>
  <si>
    <t>Fitoimpluso</t>
  </si>
  <si>
    <t>Erboscivolata</t>
  </si>
  <si>
    <t>그래스슬라이더﻿</t>
  </si>
  <si>
    <t>青草滑梯</t>
  </si>
  <si>
    <t>Rising Voltage</t>
  </si>
  <si>
    <t>ライジングボルト</t>
  </si>
  <si>
    <t>Monte-Tension</t>
  </si>
  <si>
    <t>Alto Voltaje</t>
  </si>
  <si>
    <t>Elettroimpennata</t>
  </si>
  <si>
    <t>라이징볼트</t>
  </si>
  <si>
    <t>電力上升</t>
  </si>
  <si>
    <t>Terrain Pulse</t>
  </si>
  <si>
    <t>だいちのはどう</t>
  </si>
  <si>
    <t>Champlification</t>
  </si>
  <si>
    <t>Feldimpuls</t>
  </si>
  <si>
    <t>Pulso de Campo</t>
  </si>
  <si>
    <t>Campopulsar</t>
  </si>
  <si>
    <t>대지의파동</t>
  </si>
  <si>
    <t>大地波動</t>
  </si>
  <si>
    <t>Skitter Smack</t>
  </si>
  <si>
    <t>はいよるいちげき</t>
  </si>
  <si>
    <t>Ravage Rampant</t>
  </si>
  <si>
    <t>Krabbelkracher</t>
  </si>
  <si>
    <t>Golpe Rastrero</t>
  </si>
  <si>
    <t>Strisciacolpo</t>
  </si>
  <si>
    <t>엄습하는일격</t>
  </si>
  <si>
    <t>爬擊</t>
  </si>
  <si>
    <t>Burning Jealousy</t>
  </si>
  <si>
    <t>しっとのほのお</t>
  </si>
  <si>
    <t>Feu Envieux</t>
  </si>
  <si>
    <t>Neidflammen</t>
  </si>
  <si>
    <t>Envidia Ardiente</t>
  </si>
  <si>
    <t>Fiamminvidia</t>
  </si>
  <si>
    <t>질투의불꽃</t>
  </si>
  <si>
    <t>妒火</t>
  </si>
  <si>
    <t>Lash Out</t>
  </si>
  <si>
    <t>うっぷんばらし</t>
  </si>
  <si>
    <t>Cent Rancunes</t>
  </si>
  <si>
    <t>Frustventil</t>
  </si>
  <si>
    <t>Desahogo</t>
  </si>
  <si>
    <t>Sforgarabbia</t>
  </si>
  <si>
    <t>분풀이</t>
  </si>
  <si>
    <t>洩憤</t>
  </si>
  <si>
    <t>Poltergeist</t>
  </si>
  <si>
    <t>ポルターガイスト</t>
  </si>
  <si>
    <t>Esprit Frappeur</t>
  </si>
  <si>
    <t>폴터가이스트</t>
  </si>
  <si>
    <t>靈騷</t>
  </si>
  <si>
    <t>Corrosive Gas</t>
  </si>
  <si>
    <t>ふしょくガス</t>
  </si>
  <si>
    <t>Gaz Corrosif</t>
  </si>
  <si>
    <t>Korrosionsgas</t>
  </si>
  <si>
    <t>Gas Corrosivo</t>
  </si>
  <si>
    <t>부식가스</t>
  </si>
  <si>
    <t>腐蝕氣體</t>
  </si>
  <si>
    <t>Coaching</t>
  </si>
  <si>
    <t>コーチング</t>
  </si>
  <si>
    <t>Motivación</t>
  </si>
  <si>
    <t>코칭</t>
  </si>
  <si>
    <t>指導</t>
  </si>
  <si>
    <t>Flip Turn</t>
  </si>
  <si>
    <t>クイックターン</t>
  </si>
  <si>
    <t>Eau Revoir</t>
  </si>
  <si>
    <t>Rollwende</t>
  </si>
  <si>
    <t>Viraje</t>
  </si>
  <si>
    <t>Virata</t>
  </si>
  <si>
    <t>퀵턴</t>
  </si>
  <si>
    <t>快速折返</t>
  </si>
  <si>
    <t>Triple Axel</t>
  </si>
  <si>
    <t>トリプルアクセル</t>
  </si>
  <si>
    <t>Dreifach-Axel</t>
  </si>
  <si>
    <t>Triplo Axel</t>
  </si>
  <si>
    <t>트리플악셀</t>
  </si>
  <si>
    <t>三旋擊</t>
  </si>
  <si>
    <t>Dual Wingbeat</t>
  </si>
  <si>
    <t>ダブルウイング</t>
  </si>
  <si>
    <t>Double Volée</t>
  </si>
  <si>
    <t>Doppelflügel</t>
  </si>
  <si>
    <t>Ala Bis</t>
  </si>
  <si>
    <t>Doppia Ala</t>
  </si>
  <si>
    <t>더블윙</t>
  </si>
  <si>
    <t>雙翼</t>
  </si>
  <si>
    <t>Scorching Sands</t>
  </si>
  <si>
    <t>ねっさのだいち</t>
  </si>
  <si>
    <t>Sable Ardent</t>
  </si>
  <si>
    <t>Brandsand</t>
  </si>
  <si>
    <t>Arenas Ardientes</t>
  </si>
  <si>
    <t>Sabbiardente</t>
  </si>
  <si>
    <t>열사의대지</t>
  </si>
  <si>
    <t>熱沙大地</t>
  </si>
  <si>
    <t>Jungle Healing</t>
  </si>
  <si>
    <t>ジュングルヒール</t>
  </si>
  <si>
    <t>Selve Salvatrice</t>
  </si>
  <si>
    <t>Dschungelheilung</t>
  </si>
  <si>
    <t>Cura Selvática</t>
  </si>
  <si>
    <t>Giunglacura</t>
  </si>
  <si>
    <t>정글힐</t>
  </si>
  <si>
    <t>叢林治療</t>
  </si>
  <si>
    <t>Wicked Blow</t>
  </si>
  <si>
    <t>あんこくきょうだ</t>
  </si>
  <si>
    <t>Poing Obscur</t>
  </si>
  <si>
    <t>Finstertreffer</t>
  </si>
  <si>
    <t>Golpe Oscuro</t>
  </si>
  <si>
    <t>Pugnotenebra</t>
  </si>
  <si>
    <t>암흑강타</t>
  </si>
  <si>
    <t>暗冥強擊</t>
  </si>
  <si>
    <t>Surging Strikes</t>
  </si>
  <si>
    <t>すいりゅうれんだ</t>
  </si>
  <si>
    <t>Torrent de Coups</t>
  </si>
  <si>
    <t>Trefferschwall</t>
  </si>
  <si>
    <t>Azote Torrencial</t>
  </si>
  <si>
    <t>Idroraffica</t>
  </si>
  <si>
    <t>수류연타</t>
  </si>
  <si>
    <t>水流連打</t>
  </si>
  <si>
    <t>Thunder Cage</t>
  </si>
  <si>
    <t>サンダープリズン</t>
  </si>
  <si>
    <t>Voltageôle</t>
  </si>
  <si>
    <t>Blitzgefängnis</t>
  </si>
  <si>
    <t>Electrojaula</t>
  </si>
  <si>
    <t>Elettrogabbia</t>
  </si>
  <si>
    <t>썬더프리즌</t>
  </si>
  <si>
    <t>雷電囚籠</t>
  </si>
  <si>
    <t>Dragon Energy</t>
  </si>
  <si>
    <t>ドラゴンエナジー</t>
  </si>
  <si>
    <t>Draco-Énergie</t>
  </si>
  <si>
    <t>Drachenkräfte</t>
  </si>
  <si>
    <t>Dracoenergía</t>
  </si>
  <si>
    <t>Dragoenergia</t>
  </si>
  <si>
    <t>드래곤에너지</t>
  </si>
  <si>
    <t>巨龍威能</t>
  </si>
  <si>
    <t>Freezing Glare</t>
  </si>
  <si>
    <t>いてつくしせん</t>
  </si>
  <si>
    <t>Regard Glaçant</t>
  </si>
  <si>
    <t>Eisiger Blick</t>
  </si>
  <si>
    <t>Mirada Heladora</t>
  </si>
  <si>
    <t>Sguardo Gelido</t>
  </si>
  <si>
    <t>얼어붙는시선</t>
  </si>
  <si>
    <t>冰冷視線</t>
  </si>
  <si>
    <t>Fiery Wrath</t>
  </si>
  <si>
    <t>もえあがるいかり</t>
  </si>
  <si>
    <t>Fureur Ardente</t>
  </si>
  <si>
    <t>Brennender Zorn</t>
  </si>
  <si>
    <t>Furia Candente</t>
  </si>
  <si>
    <t>Furia Ardente</t>
  </si>
  <si>
    <t>타오르는분노</t>
  </si>
  <si>
    <t>怒火中燒</t>
  </si>
  <si>
    <t>Thunderous Kick</t>
  </si>
  <si>
    <t>らいめいげり</t>
  </si>
  <si>
    <t>Coup Fulgurant</t>
  </si>
  <si>
    <t>Donnernder Tritt</t>
  </si>
  <si>
    <t>Patada Relámpago</t>
  </si>
  <si>
    <t>Calcio Tonante</t>
  </si>
  <si>
    <t>천둥차기</t>
  </si>
  <si>
    <t>雷鳴蹴擊</t>
  </si>
  <si>
    <t>Glacial Lance</t>
  </si>
  <si>
    <t>ブリザードランス</t>
  </si>
  <si>
    <t>Lance de Glace</t>
  </si>
  <si>
    <t>Blizzardlanze</t>
  </si>
  <si>
    <t>Lanza Glacial</t>
  </si>
  <si>
    <t>Lancia Glaciale</t>
  </si>
  <si>
    <t>블리자드랜스</t>
  </si>
  <si>
    <t>雪矛</t>
  </si>
  <si>
    <t>Astral Barrage</t>
  </si>
  <si>
    <t>アストラルビット</t>
  </si>
  <si>
    <t>Éclat Spectral</t>
  </si>
  <si>
    <t>Astralfragmente</t>
  </si>
  <si>
    <t>Orbes Espretro</t>
  </si>
  <si>
    <t>Schegge Astrali</t>
  </si>
  <si>
    <t>아스트랄비트</t>
  </si>
  <si>
    <t>星碎</t>
  </si>
  <si>
    <t>Eerie Spell</t>
  </si>
  <si>
    <t>ぶきみなじゅもん</t>
  </si>
  <si>
    <t>Sort Sinistre</t>
  </si>
  <si>
    <t>Schauderspruch</t>
  </si>
  <si>
    <t>Conjuro Funesto</t>
  </si>
  <si>
    <t>Inquietantesimo</t>
  </si>
  <si>
    <t>섬뜩한주문</t>
  </si>
  <si>
    <t>詭異咒語</t>
  </si>
  <si>
    <t>Dire Claw</t>
  </si>
  <si>
    <t>フェイタルクロー</t>
  </si>
  <si>
    <t>Griffes Funestes</t>
  </si>
  <si>
    <t>Unheilsklauen</t>
  </si>
  <si>
    <t>Garra Nociva</t>
  </si>
  <si>
    <t>Artigli Fatali</t>
  </si>
  <si>
    <t>페이탈클로</t>
  </si>
  <si>
    <t>剋命爪</t>
  </si>
  <si>
    <t>Psyshield Smash</t>
  </si>
  <si>
    <t>バリアーラッシュ</t>
  </si>
  <si>
    <t>Sprint Bouclier</t>
  </si>
  <si>
    <t>Barrierenstoß</t>
  </si>
  <si>
    <t>Asalto Barrera</t>
  </si>
  <si>
    <t>Barrierassalto</t>
  </si>
  <si>
    <t>배리어러시</t>
  </si>
  <si>
    <t>屏障猛攻</t>
  </si>
  <si>
    <t>Power Shift</t>
  </si>
  <si>
    <t>パワーシフト</t>
  </si>
  <si>
    <t>Échange Force</t>
  </si>
  <si>
    <t>Kraftwechsel</t>
  </si>
  <si>
    <t>Cambiapoder</t>
  </si>
  <si>
    <t>Scambioforza</t>
  </si>
  <si>
    <t>파워시프트</t>
  </si>
  <si>
    <t>力量轉換</t>
  </si>
  <si>
    <t>Stone Axe</t>
  </si>
  <si>
    <t>がんせきアックス</t>
  </si>
  <si>
    <t>Hache del Pierre</t>
  </si>
  <si>
    <t>Felsaxt</t>
  </si>
  <si>
    <t>Hachazo Pétreo</t>
  </si>
  <si>
    <t>Rocciascure</t>
  </si>
  <si>
    <t>암석액스</t>
  </si>
  <si>
    <t>岩斧</t>
  </si>
  <si>
    <t>Springtide Storm</t>
  </si>
  <si>
    <t>はるのあらし</t>
  </si>
  <si>
    <t>Typhon Passionné</t>
  </si>
  <si>
    <t>Frühlingsorkan</t>
  </si>
  <si>
    <t>Ciclón Primavera</t>
  </si>
  <si>
    <t>Tempesta Zefirea</t>
  </si>
  <si>
    <t>봄의폭풍</t>
  </si>
  <si>
    <t>陽春風暴</t>
  </si>
  <si>
    <t>Mystical Power</t>
  </si>
  <si>
    <t>しんぴのちから</t>
  </si>
  <si>
    <t>Force Mystique</t>
  </si>
  <si>
    <t>Mythenkraft</t>
  </si>
  <si>
    <t>Poder Místico</t>
  </si>
  <si>
    <t>Forza Mistica</t>
  </si>
  <si>
    <t>신비의힘</t>
  </si>
  <si>
    <t>神秘之力</t>
  </si>
  <si>
    <t>Raging Fury</t>
  </si>
  <si>
    <t>だいふんばき</t>
  </si>
  <si>
    <t>Grand Courroux</t>
  </si>
  <si>
    <t>Flammenwut</t>
  </si>
  <si>
    <t>Erupción de Ira</t>
  </si>
  <si>
    <t>Ira Furente</t>
  </si>
  <si>
    <t>대격분</t>
  </si>
  <si>
    <t>大憤慨</t>
  </si>
  <si>
    <t>Wave Crash</t>
  </si>
  <si>
    <t>ウェーブタックル</t>
  </si>
  <si>
    <t>Aquatacle</t>
  </si>
  <si>
    <t>Wallentackle</t>
  </si>
  <si>
    <t>Envite Acuático</t>
  </si>
  <si>
    <t>Ondaschianto</t>
  </si>
  <si>
    <t>웨이브태클</t>
  </si>
  <si>
    <t>波動衝</t>
  </si>
  <si>
    <t>Chloroblast</t>
  </si>
  <si>
    <t>クロロブラスト</t>
  </si>
  <si>
    <t>Herblast</t>
  </si>
  <si>
    <t>Chlorostrahl</t>
  </si>
  <si>
    <t>Clorofiláser</t>
  </si>
  <si>
    <t>Clorofillaser</t>
  </si>
  <si>
    <t>클로로블라스트</t>
  </si>
  <si>
    <t>叶绿爆震</t>
  </si>
  <si>
    <t>Mountain Gale</t>
  </si>
  <si>
    <t>ひょうざんおろし</t>
  </si>
  <si>
    <t>Bise Glaciaire</t>
  </si>
  <si>
    <t>Frostfallwind</t>
  </si>
  <si>
    <t>Viento Carámbano</t>
  </si>
  <si>
    <t>Soffio d’Iceberg</t>
  </si>
  <si>
    <t>빙산바람</t>
  </si>
  <si>
    <t>冰山风</t>
  </si>
  <si>
    <t>Victory Dance</t>
  </si>
  <si>
    <t>しょうりのまい</t>
  </si>
  <si>
    <t>Danse Victoire</t>
  </si>
  <si>
    <t>Siegestanz</t>
  </si>
  <si>
    <t>Danza Triunfal</t>
  </si>
  <si>
    <t>Danzavittoria</t>
  </si>
  <si>
    <t>승리의춤</t>
  </si>
  <si>
    <t>勝利之舞</t>
  </si>
  <si>
    <t>Headlong Rush</t>
  </si>
  <si>
    <t>ぶちかまし</t>
  </si>
  <si>
    <t>Assaut Frontal</t>
  </si>
  <si>
    <t>Schmetterramme</t>
  </si>
  <si>
    <t>Scontro Frontale</t>
  </si>
  <si>
    <t>들이받기</t>
  </si>
  <si>
    <t>突飛猛撲</t>
  </si>
  <si>
    <t>Barb Barrage</t>
  </si>
  <si>
    <t>どくばりセンボン</t>
  </si>
  <si>
    <t>Multitoxik</t>
  </si>
  <si>
    <t>Giftstachelregen</t>
  </si>
  <si>
    <t>Mil Púas Tóxicas</t>
  </si>
  <si>
    <t>Mille Fielespine</t>
  </si>
  <si>
    <t>독침천발</t>
  </si>
  <si>
    <t>毒千針</t>
  </si>
  <si>
    <t>Esper Wing</t>
  </si>
  <si>
    <t>オーラウイング</t>
  </si>
  <si>
    <t>Ailes Psycho</t>
  </si>
  <si>
    <t>Auraschwingen</t>
  </si>
  <si>
    <t>Ala Aural</t>
  </si>
  <si>
    <t>Ali d'Aura</t>
  </si>
  <si>
    <t>오라윙</t>
  </si>
  <si>
    <t>氣場之翼</t>
  </si>
  <si>
    <t>Bitter Malice</t>
  </si>
  <si>
    <t>うらみつらみ</t>
  </si>
  <si>
    <t>Cœur de Rancœur</t>
  </si>
  <si>
    <t>Niedertracht</t>
  </si>
  <si>
    <t>Rencor Reprimido</t>
  </si>
  <si>
    <t>Livore</t>
  </si>
  <si>
    <t>천추지한</t>
  </si>
  <si>
    <t>冤冤相報</t>
  </si>
  <si>
    <t>Shelter</t>
  </si>
  <si>
    <t>たつにもる</t>
  </si>
  <si>
    <t>Mur Fumigène</t>
  </si>
  <si>
    <t>Refugium</t>
  </si>
  <si>
    <t>Barricata</t>
  </si>
  <si>
    <t>농성</t>
  </si>
  <si>
    <t>閉關</t>
  </si>
  <si>
    <t>Triple Arrows</t>
  </si>
  <si>
    <t>３ぼんのや</t>
  </si>
  <si>
    <t>Triple Flèche</t>
  </si>
  <si>
    <t>Drillingspfeile</t>
  </si>
  <si>
    <t>Triple Flecha</t>
  </si>
  <si>
    <t>Triplodardo</t>
  </si>
  <si>
    <t>３연화살</t>
  </si>
  <si>
    <t>三連箭</t>
  </si>
  <si>
    <t>Infernal Parade</t>
  </si>
  <si>
    <t>ひゃっきやにう</t>
  </si>
  <si>
    <t>Cortège Funèbre</t>
  </si>
  <si>
    <t>Phantomparade</t>
  </si>
  <si>
    <t>Marcha Espectral</t>
  </si>
  <si>
    <t>Corteo Spettrale</t>
  </si>
  <si>
    <t>백귀야행</t>
  </si>
  <si>
    <t>群魔亂舞</t>
  </si>
  <si>
    <t>Ceaseless Edge</t>
  </si>
  <si>
    <t>ひけん・ちえなみ</t>
  </si>
  <si>
    <t>Vagues à Lames</t>
  </si>
  <si>
    <t>Klingenschwall</t>
  </si>
  <si>
    <t>Tajo Metralla</t>
  </si>
  <si>
    <t>Lama Milleflutti</t>
  </si>
  <si>
    <t>비검천중파</t>
  </si>
  <si>
    <t>秘劍・千重濤</t>
  </si>
  <si>
    <t>Bleakwind Storm</t>
  </si>
  <si>
    <t>こがらしあらし</t>
  </si>
  <si>
    <t>Typhon Hivernal</t>
  </si>
  <si>
    <t>Polarorkan</t>
  </si>
  <si>
    <t>Vendaval Gélido</t>
  </si>
  <si>
    <t>Tempesta Boreale</t>
  </si>
  <si>
    <t>찬바람폭풍</t>
  </si>
  <si>
    <t>枯葉風暴</t>
  </si>
  <si>
    <t>Wildbolt Storm</t>
  </si>
  <si>
    <t>かみなりあらし</t>
  </si>
  <si>
    <t>Typhon Fulgurant</t>
  </si>
  <si>
    <t>Donnerorkan</t>
  </si>
  <si>
    <t>Electormenta</t>
  </si>
  <si>
    <t>Tempesta Tonante</t>
  </si>
  <si>
    <t>번개폭풍</t>
  </si>
  <si>
    <t>鳴雷風暴</t>
  </si>
  <si>
    <t>Sandsear Storm</t>
  </si>
  <si>
    <t>ねっさのあらし</t>
  </si>
  <si>
    <t>Typhon Pyrosable</t>
  </si>
  <si>
    <t>Wüstenorkan</t>
  </si>
  <si>
    <t>Simún de Arena</t>
  </si>
  <si>
    <t>Tempesta Ardente</t>
  </si>
  <si>
    <t>열사의폭풍</t>
  </si>
  <si>
    <t>熱沙風暴</t>
  </si>
  <si>
    <t>Lunar Blessing</t>
  </si>
  <si>
    <t>みかづきのいのり</t>
  </si>
  <si>
    <t>Prière Lunaire</t>
  </si>
  <si>
    <t>Lunargebet</t>
  </si>
  <si>
    <t>Plegaria Lunar</t>
  </si>
  <si>
    <t>Invocaluna</t>
  </si>
  <si>
    <t>초승달의기도</t>
  </si>
  <si>
    <t>新月祈禱</t>
  </si>
  <si>
    <t>Take Heart</t>
  </si>
  <si>
    <t>ブレイブチャージ</t>
  </si>
  <si>
    <t>Extravaillance</t>
  </si>
  <si>
    <t>Mutschub</t>
  </si>
  <si>
    <t>Bálsamo Osado</t>
  </si>
  <si>
    <t>Baldimpulso</t>
  </si>
  <si>
    <t>브레이브차지</t>
  </si>
  <si>
    <t>勇氣填充</t>
  </si>
  <si>
    <t>Tera Blast</t>
  </si>
  <si>
    <t>テラバースト</t>
  </si>
  <si>
    <t>Téra Explosion</t>
  </si>
  <si>
    <t>Tera-Ausbruch</t>
  </si>
  <si>
    <t>Teraexplosión</t>
  </si>
  <si>
    <t>Terascoppio</t>
  </si>
  <si>
    <t>테라버스트</t>
  </si>
  <si>
    <t>太晶爆发</t>
  </si>
  <si>
    <t>Silk Trap</t>
  </si>
  <si>
    <t>スレッドトラップ</t>
  </si>
  <si>
    <t>Piège de Fil</t>
  </si>
  <si>
    <t>Fadenfalle</t>
  </si>
  <si>
    <t>Telatrampa</t>
  </si>
  <si>
    <t>Telatrappola</t>
  </si>
  <si>
    <t>스레드트랩</t>
  </si>
  <si>
    <t>线阱</t>
  </si>
  <si>
    <t>Axe Kick</t>
  </si>
  <si>
    <t>かかとおとし</t>
  </si>
  <si>
    <t>Talon-Marteau</t>
  </si>
  <si>
    <t>Fersenkick</t>
  </si>
  <si>
    <t>Patada Hacha</t>
  </si>
  <si>
    <t>Calcio ad Ascia</t>
  </si>
  <si>
    <t>발꿈치찍기</t>
  </si>
  <si>
    <t>下压踢</t>
  </si>
  <si>
    <t>Last Respects</t>
  </si>
  <si>
    <t>おはかまいり</t>
  </si>
  <si>
    <t>Hommage Posthume</t>
  </si>
  <si>
    <t>Letzte Ehre</t>
  </si>
  <si>
    <t>Homenaje Póstumo</t>
  </si>
  <si>
    <t>Omaggio ai KO</t>
  </si>
  <si>
    <t>성묘</t>
  </si>
  <si>
    <t>扫墓</t>
  </si>
  <si>
    <t>Lumina Crash</t>
  </si>
  <si>
    <t>ルミナコリジョン</t>
  </si>
  <si>
    <t>Lumino-Impact</t>
  </si>
  <si>
    <t>Lichteinschlag</t>
  </si>
  <si>
    <t>Fotocolisión</t>
  </si>
  <si>
    <t>Fotocollisione</t>
  </si>
  <si>
    <t>루미나콜리전</t>
  </si>
  <si>
    <t>琉光冲激</t>
  </si>
  <si>
    <t>Order Up</t>
  </si>
  <si>
    <t>いっちょうあがり</t>
  </si>
  <si>
    <t>Plat du Jour</t>
  </si>
  <si>
    <t>Auftischen</t>
  </si>
  <si>
    <t>Oído Cocina</t>
  </si>
  <si>
    <t>Alta Cucina</t>
  </si>
  <si>
    <t>한판내기</t>
  </si>
  <si>
    <t>上菜</t>
  </si>
  <si>
    <t>Jet Punch</t>
  </si>
  <si>
    <t>ジェットパンチ</t>
  </si>
  <si>
    <t>Poing Sonique</t>
  </si>
  <si>
    <t>Düsenhieb</t>
  </si>
  <si>
    <t>Puño Jet</t>
  </si>
  <si>
    <t>Pugno Jet</t>
  </si>
  <si>
    <t>제트펀치</t>
  </si>
  <si>
    <t>喷射拳</t>
  </si>
  <si>
    <t>Spicy Extract</t>
  </si>
  <si>
    <t>ハバネロエキス</t>
  </si>
  <si>
    <t>Habanerage</t>
  </si>
  <si>
    <t>Chili-Essenz</t>
  </si>
  <si>
    <t>Extracto Picante</t>
  </si>
  <si>
    <t>Essenza Piccante</t>
  </si>
  <si>
    <t>하바네로엑기스</t>
  </si>
  <si>
    <t>辣椒精华</t>
  </si>
  <si>
    <t>Spin Out</t>
  </si>
  <si>
    <t>ホイールスピン</t>
  </si>
  <si>
    <t>Dérapage</t>
  </si>
  <si>
    <t>Reifendrehung</t>
  </si>
  <si>
    <t>Quemarrueda</t>
  </si>
  <si>
    <t>Slittaruote</t>
  </si>
  <si>
    <t>휠스핀</t>
  </si>
  <si>
    <t>疾速转轮</t>
  </si>
  <si>
    <t>Population Bomb</t>
  </si>
  <si>
    <t>ネズミざん</t>
  </si>
  <si>
    <t>Prolifération</t>
  </si>
  <si>
    <t>Mäuseplage</t>
  </si>
  <si>
    <t>Proliferación</t>
  </si>
  <si>
    <t>Infestazione</t>
  </si>
  <si>
    <t>찍찍베기</t>
  </si>
  <si>
    <t>鼠数儿</t>
  </si>
  <si>
    <t>Ice Spinner</t>
  </si>
  <si>
    <t>アイススピナー</t>
  </si>
  <si>
    <t>Cryo-Pirouette</t>
  </si>
  <si>
    <t>Eiskreisel</t>
  </si>
  <si>
    <t>Pirueta Helada</t>
  </si>
  <si>
    <t>Vortighiaccio</t>
  </si>
  <si>
    <t>아이스스피너</t>
  </si>
  <si>
    <t>冰旋</t>
  </si>
  <si>
    <t>Glaive Rush</t>
  </si>
  <si>
    <t>きょけんとつげき</t>
  </si>
  <si>
    <t>Charge Glaive</t>
  </si>
  <si>
    <t>Großklingenstoß</t>
  </si>
  <si>
    <t>Asalto Espadón</t>
  </si>
  <si>
    <t>Spadoncarica</t>
  </si>
  <si>
    <t>대검돌격</t>
  </si>
  <si>
    <t>巨剑突击</t>
  </si>
  <si>
    <t>Revival Blessing</t>
  </si>
  <si>
    <t>さいきのいのり</t>
  </si>
  <si>
    <t>Second Souffle</t>
  </si>
  <si>
    <t>Vitalsegen</t>
  </si>
  <si>
    <t>Plegaria Vital</t>
  </si>
  <si>
    <t>Preghiera Vitale</t>
  </si>
  <si>
    <t>회생의기도</t>
  </si>
  <si>
    <t>复生祈祷</t>
  </si>
  <si>
    <t>Salt Cure</t>
  </si>
  <si>
    <t>いわづけ</t>
  </si>
  <si>
    <t>Salaison</t>
  </si>
  <si>
    <t>Pökelsalz</t>
  </si>
  <si>
    <t>Salazón</t>
  </si>
  <si>
    <t>Sotto Sale</t>
  </si>
  <si>
    <t>소금절이</t>
  </si>
  <si>
    <t>盐腌</t>
  </si>
  <si>
    <t>Triple Dive</t>
  </si>
  <si>
    <t>トリプルダイブ</t>
  </si>
  <si>
    <t>Triple Plongeon</t>
  </si>
  <si>
    <t>Tauchtriade</t>
  </si>
  <si>
    <t>Triple Inmersión</t>
  </si>
  <si>
    <t>Triplo Tuffo</t>
  </si>
  <si>
    <t>트리플다이브</t>
  </si>
  <si>
    <t>三连钻</t>
  </si>
  <si>
    <t>Mortal Spin</t>
  </si>
  <si>
    <t>キラースピン</t>
  </si>
  <si>
    <t>Toupie Éclat</t>
  </si>
  <si>
    <t>Letalwirbler</t>
  </si>
  <si>
    <t>Giro Mortífero</t>
  </si>
  <si>
    <t>Glitturbine</t>
  </si>
  <si>
    <t>킬러스핀</t>
  </si>
  <si>
    <t>晶光转转</t>
  </si>
  <si>
    <t>Doodle</t>
  </si>
  <si>
    <t>うつしえ</t>
  </si>
  <si>
    <t>Décalquage</t>
  </si>
  <si>
    <t>Abpausen</t>
  </si>
  <si>
    <t>Decalcomanía</t>
  </si>
  <si>
    <t>Ricalco</t>
  </si>
  <si>
    <t>베껴그리기</t>
  </si>
  <si>
    <t>描绘</t>
  </si>
  <si>
    <t>Fillet Away</t>
  </si>
  <si>
    <t>あかたづけ</t>
  </si>
  <si>
    <t>Décharnement</t>
  </si>
  <si>
    <t>Abspaltung</t>
  </si>
  <si>
    <t>Deslome</t>
  </si>
  <si>
    <t>Alleggerimento</t>
  </si>
  <si>
    <t>제살깎기</t>
  </si>
  <si>
    <t>甩肉</t>
  </si>
  <si>
    <t>Kowtow Cleave</t>
  </si>
  <si>
    <t>ドゲザン</t>
  </si>
  <si>
    <t>Génusection</t>
  </si>
  <si>
    <t>Kniefallspalter</t>
  </si>
  <si>
    <t>Genufendiente</t>
  </si>
  <si>
    <t>Genufendente</t>
  </si>
  <si>
    <t>도각참</t>
  </si>
  <si>
    <t>仆刀</t>
  </si>
  <si>
    <t>Flower Trick</t>
  </si>
  <si>
    <t>トリックフラワー</t>
  </si>
  <si>
    <t>Magie Florale</t>
  </si>
  <si>
    <t>Blumentrick</t>
  </si>
  <si>
    <t>Truco Floral</t>
  </si>
  <si>
    <t>Prestigiafiore</t>
  </si>
  <si>
    <t>트릭플라워</t>
  </si>
  <si>
    <t>千变万花</t>
  </si>
  <si>
    <t>Torch Song</t>
  </si>
  <si>
    <t>フレアソング</t>
  </si>
  <si>
    <t>Chant Flamboyant</t>
  </si>
  <si>
    <t>Loderlied</t>
  </si>
  <si>
    <t>Canto Ardiente</t>
  </si>
  <si>
    <t>Canzone Ardente</t>
  </si>
  <si>
    <t>플레어송</t>
  </si>
  <si>
    <t>闪焰高歌</t>
  </si>
  <si>
    <t>Aqua Step</t>
  </si>
  <si>
    <t>アクアステップ</t>
  </si>
  <si>
    <t>Danse Aquatique</t>
  </si>
  <si>
    <t>Wogentanz</t>
  </si>
  <si>
    <t>Danza Acuática</t>
  </si>
  <si>
    <t>Idroballetto</t>
  </si>
  <si>
    <t>아쿠아스텝</t>
  </si>
  <si>
    <t>流水旋舞</t>
  </si>
  <si>
    <t>Raging Bull</t>
  </si>
  <si>
    <t>レイジングブル</t>
  </si>
  <si>
    <t>Taurogne</t>
  </si>
  <si>
    <t>Rasender Stier</t>
  </si>
  <si>
    <t>Furia Taurina</t>
  </si>
  <si>
    <t>Scatenatoro</t>
  </si>
  <si>
    <t>레이징불</t>
  </si>
  <si>
    <t>怒牛</t>
  </si>
  <si>
    <t>Make It Rain</t>
  </si>
  <si>
    <t>ゴールドラッシュ</t>
  </si>
  <si>
    <t>Ruée d’Or</t>
  </si>
  <si>
    <t>Goldrausch</t>
  </si>
  <si>
    <t>Fiebre Dorada</t>
  </si>
  <si>
    <t>Corsa all'Oro</t>
  </si>
  <si>
    <t>골드러시</t>
  </si>
  <si>
    <t>淘金潮</t>
  </si>
  <si>
    <t>Psyblade</t>
  </si>
  <si>
    <t>サイコブレイド</t>
  </si>
  <si>
    <t>Lame Psychique</t>
  </si>
  <si>
    <t>Psychoschneide</t>
  </si>
  <si>
    <t>Psicohojas</t>
  </si>
  <si>
    <t>Psicolama</t>
  </si>
  <si>
    <t>사이코블레이드</t>
  </si>
  <si>
    <t>精神剑</t>
  </si>
  <si>
    <t>Hydro Steam</t>
  </si>
  <si>
    <t>ハイドロスチーム</t>
  </si>
  <si>
    <t>Hydrovapeur</t>
  </si>
  <si>
    <t>Hydrodampf</t>
  </si>
  <si>
    <t>Hidrovapor</t>
  </si>
  <si>
    <t>Idrovapore</t>
  </si>
  <si>
    <t>하이드로스팀</t>
  </si>
  <si>
    <t>水蒸气</t>
  </si>
  <si>
    <t>Ruination</t>
  </si>
  <si>
    <t>カタストロフィ</t>
  </si>
  <si>
    <t>Cataclysme</t>
  </si>
  <si>
    <t>Verderben</t>
  </si>
  <si>
    <t>Calamidad</t>
  </si>
  <si>
    <t>카타스트로피</t>
  </si>
  <si>
    <t>大灾难</t>
  </si>
  <si>
    <t>Collision Course</t>
  </si>
  <si>
    <t>アクセルブレイク</t>
  </si>
  <si>
    <t>Nitro Crash</t>
  </si>
  <si>
    <t>Kollisionskurs</t>
  </si>
  <si>
    <t>Nitrochoque</t>
  </si>
  <si>
    <t>Turboschianto</t>
  </si>
  <si>
    <t>액셀브레이크</t>
  </si>
  <si>
    <t>全开猛撞</t>
  </si>
  <si>
    <t>Electro Drift</t>
  </si>
  <si>
    <t>イナズマドライブ</t>
  </si>
  <si>
    <t>Turbo Volt</t>
  </si>
  <si>
    <t>Blitztour</t>
  </si>
  <si>
    <t>Electroderrape</t>
  </si>
  <si>
    <t>Fulmiscatto</t>
  </si>
  <si>
    <t>라이트닝드라이브</t>
  </si>
  <si>
    <t>闪电猛冲</t>
  </si>
  <si>
    <t>Shed Tail</t>
  </si>
  <si>
    <t>しっぽきり</t>
  </si>
  <si>
    <t>Queulonage</t>
  </si>
  <si>
    <t>Schwanzabwurf</t>
  </si>
  <si>
    <t>Autotomía</t>
  </si>
  <si>
    <t>Tagliacoda</t>
  </si>
  <si>
    <t>꼬리자르기</t>
  </si>
  <si>
    <t>断尾</t>
  </si>
  <si>
    <t>Chilly Reception</t>
  </si>
  <si>
    <t>さむいキャグ</t>
  </si>
  <si>
    <t>Neigeux de Mots</t>
  </si>
  <si>
    <t>Eisige Stimmung</t>
  </si>
  <si>
    <t>Fría acogida</t>
  </si>
  <si>
    <t>Freddura</t>
  </si>
  <si>
    <t>썰렁개그</t>
  </si>
  <si>
    <t>冷笑话</t>
  </si>
  <si>
    <t>Tidy Up</t>
  </si>
  <si>
    <t>みをけぞる</t>
  </si>
  <si>
    <t>Grand Nettoyage</t>
  </si>
  <si>
    <t>Aufräumen</t>
  </si>
  <si>
    <t>Limipieza General</t>
  </si>
  <si>
    <t>Pulizie</t>
  </si>
  <si>
    <t>정리정돈</t>
  </si>
  <si>
    <t>大扫除</t>
  </si>
  <si>
    <t>Snowscape</t>
  </si>
  <si>
    <t>ゆきげしき</t>
  </si>
  <si>
    <t>Chute de Neige</t>
  </si>
  <si>
    <t>Schneelandschaft</t>
  </si>
  <si>
    <t>Paisaje Nevado</t>
  </si>
  <si>
    <t>Vista Innevata</t>
  </si>
  <si>
    <t>설경</t>
  </si>
  <si>
    <t>雪景</t>
  </si>
  <si>
    <t>Pounce</t>
  </si>
  <si>
    <t>とびつく</t>
  </si>
  <si>
    <t>Bond</t>
  </si>
  <si>
    <t>Anspringen</t>
  </si>
  <si>
    <t>Brinco</t>
  </si>
  <si>
    <t>Balzo</t>
  </si>
  <si>
    <t>달려들기</t>
  </si>
  <si>
    <t>虫扑</t>
  </si>
  <si>
    <t>Trailblaze</t>
  </si>
  <si>
    <t>くさわけ</t>
  </si>
  <si>
    <t>Désherbaffe</t>
  </si>
  <si>
    <t>Wegbereiter</t>
  </si>
  <si>
    <t>Apripista</t>
  </si>
  <si>
    <t>개척하기</t>
  </si>
  <si>
    <t>起草</t>
  </si>
  <si>
    <t>Chilling Water</t>
  </si>
  <si>
    <t>ひやみず</t>
  </si>
  <si>
    <t>Douche Froide</t>
  </si>
  <si>
    <t>Kalte Dusche</t>
  </si>
  <si>
    <t>Agua fría</t>
  </si>
  <si>
    <t>Doccia Fredda</t>
  </si>
  <si>
    <t>찬물끼얹기</t>
  </si>
  <si>
    <t>泼冷水</t>
  </si>
  <si>
    <t>Hyper Drill</t>
  </si>
  <si>
    <t>ハイパードリル</t>
  </si>
  <si>
    <t>Hyperceuse</t>
  </si>
  <si>
    <t>Hyperbohrer</t>
  </si>
  <si>
    <t>Hipertaladro</t>
  </si>
  <si>
    <t>Ipertrapano</t>
  </si>
  <si>
    <t>하이퍼드릴</t>
  </si>
  <si>
    <t>强力钻</t>
  </si>
  <si>
    <t>Twin Beam</t>
  </si>
  <si>
    <t>ツインビーム</t>
  </si>
  <si>
    <t>Double Laser</t>
  </si>
  <si>
    <t>Doppelstrahl</t>
  </si>
  <si>
    <t>Láser Doble</t>
  </si>
  <si>
    <t>Doppioraggio</t>
  </si>
  <si>
    <t>트윈빔</t>
  </si>
  <si>
    <t>双光束</t>
  </si>
  <si>
    <t>Rage Fist</t>
  </si>
  <si>
    <t>ふんどのこぶし</t>
  </si>
  <si>
    <t>Poing de Colère</t>
  </si>
  <si>
    <t>Zornesfaust</t>
  </si>
  <si>
    <t>Puño Furia</t>
  </si>
  <si>
    <t>Pugno Furibondo</t>
  </si>
  <si>
    <t>분노의주먹</t>
  </si>
  <si>
    <t>愤怒之拳</t>
  </si>
  <si>
    <t>Armor Cannon</t>
  </si>
  <si>
    <t>アーマーキャノン</t>
  </si>
  <si>
    <t>Canon Blindé</t>
  </si>
  <si>
    <t>Rüstungskanone</t>
  </si>
  <si>
    <t>Cañón armadura</t>
  </si>
  <si>
    <t>Corazza Cannone</t>
  </si>
  <si>
    <t>아머캐논</t>
  </si>
  <si>
    <t>铠农炮</t>
  </si>
  <si>
    <t>Bitter Blade</t>
  </si>
  <si>
    <t>むねんのつるぎ</t>
  </si>
  <si>
    <t>Lame en Peine</t>
  </si>
  <si>
    <t>Reueschwert</t>
  </si>
  <si>
    <t>Espada Lamento</t>
  </si>
  <si>
    <t>Lama del Rimorso</t>
  </si>
  <si>
    <t>원념의칼</t>
  </si>
  <si>
    <t>悔念剑</t>
  </si>
  <si>
    <t>Double Shock</t>
  </si>
  <si>
    <t>でんこうそうげき</t>
  </si>
  <si>
    <t>Double Décharge</t>
  </si>
  <si>
    <t>Zweifachladung</t>
  </si>
  <si>
    <t>Electropalmas</t>
  </si>
  <si>
    <t>Doppiolampo</t>
  </si>
  <si>
    <t>전광쌍격</t>
  </si>
  <si>
    <t>电光双击</t>
  </si>
  <si>
    <t>Gigaton Hammer</t>
  </si>
  <si>
    <t>デカハンマー</t>
  </si>
  <si>
    <t>Marteau Mastoc</t>
  </si>
  <si>
    <t>Riesenhammer</t>
  </si>
  <si>
    <t>Martillo Colosal</t>
  </si>
  <si>
    <t>Granmartello</t>
  </si>
  <si>
    <t>거대해머</t>
  </si>
  <si>
    <t>巨力锤</t>
  </si>
  <si>
    <t>Comeuppance</t>
  </si>
  <si>
    <t>ほうふく</t>
  </si>
  <si>
    <t>Vindicte</t>
  </si>
  <si>
    <t>Vandetta</t>
  </si>
  <si>
    <t>Resarcimiento</t>
  </si>
  <si>
    <t>Ritorsione</t>
  </si>
  <si>
    <t>앙갚음</t>
  </si>
  <si>
    <t>复仇</t>
  </si>
  <si>
    <t>Aqua Cutter</t>
  </si>
  <si>
    <t>アクアカッター</t>
  </si>
  <si>
    <t>Tranch'Aqua</t>
  </si>
  <si>
    <t>Aquaschnitt</t>
  </si>
  <si>
    <t>Tajo Acuático</t>
  </si>
  <si>
    <t>Idrotaglio</t>
  </si>
  <si>
    <t>아쿠아커터</t>
  </si>
  <si>
    <t>水波刀</t>
  </si>
  <si>
    <t>Blazing Torque</t>
  </si>
  <si>
    <t>バーンアクセル</t>
  </si>
  <si>
    <t>Crash Brûlant</t>
  </si>
  <si>
    <t>Hitzeturbo</t>
  </si>
  <si>
    <t>Pirochoque</t>
  </si>
  <si>
    <t>Turboustione</t>
  </si>
  <si>
    <t>번액셀</t>
  </si>
  <si>
    <t>灼热暴冲</t>
  </si>
  <si>
    <t>Wicked Torque</t>
  </si>
  <si>
    <t>ダークアクセル</t>
  </si>
  <si>
    <t>Crash Obscur</t>
  </si>
  <si>
    <t>Finsterturbo</t>
  </si>
  <si>
    <t>Ominochoque</t>
  </si>
  <si>
    <t>Turbotenebra</t>
  </si>
  <si>
    <t>다크액셀</t>
  </si>
  <si>
    <t>黑暗暴冲</t>
  </si>
  <si>
    <t>Noxious Torque</t>
  </si>
  <si>
    <t>ポイソンアクセル</t>
  </si>
  <si>
    <t>Crash Toxique</t>
  </si>
  <si>
    <t>Toxiturbo</t>
  </si>
  <si>
    <t>Ponzochoque</t>
  </si>
  <si>
    <t>Turbotossina</t>
  </si>
  <si>
    <t>포이즌액셀</t>
  </si>
  <si>
    <t>剧毒暴冲</t>
  </si>
  <si>
    <t>Combat Torque</t>
  </si>
  <si>
    <t>ファイトアクセル</t>
  </si>
  <si>
    <t>Crash Musclé</t>
  </si>
  <si>
    <t>Raufturbo</t>
  </si>
  <si>
    <t>Pugnachoque</t>
  </si>
  <si>
    <t>파이트액셀</t>
  </si>
  <si>
    <t>格斗暴冲</t>
  </si>
  <si>
    <t>Magical Torque</t>
  </si>
  <si>
    <t>マジカルアクセル</t>
  </si>
  <si>
    <t>Crash Magique</t>
  </si>
  <si>
    <t>Zauberturbo</t>
  </si>
  <si>
    <t>Feerichoque</t>
  </si>
  <si>
    <t>Turboincanto</t>
  </si>
  <si>
    <t>매지컬액셀</t>
  </si>
  <si>
    <t>魔法暴冲</t>
  </si>
  <si>
    <t>Blood Moon</t>
  </si>
  <si>
    <t>ブラッドムーン</t>
  </si>
  <si>
    <t>Lune Rouge</t>
  </si>
  <si>
    <t>Luna Roja</t>
  </si>
  <si>
    <t>Luna Rossa</t>
  </si>
  <si>
    <t>블러드문</t>
  </si>
  <si>
    <t>血月</t>
  </si>
  <si>
    <t>Matcha Gatcha</t>
  </si>
  <si>
    <t>シャカシャカほう</t>
  </si>
  <si>
    <t>Mortier Matcha</t>
  </si>
  <si>
    <t>Quirlschuss</t>
  </si>
  <si>
    <t>Cañón Batidor</t>
  </si>
  <si>
    <t>Spruzzatè</t>
  </si>
  <si>
    <t>휘적휘적포</t>
  </si>
  <si>
    <t>刷刷茶炮</t>
  </si>
  <si>
    <t>Syrup Bomb</t>
  </si>
  <si>
    <t>みずあめボム</t>
  </si>
  <si>
    <t>Bombe au Sirop</t>
  </si>
  <si>
    <t>Sirupbombe</t>
  </si>
  <si>
    <t>Bomba Caramelo</t>
  </si>
  <si>
    <t>Bomba Sciroppata</t>
  </si>
  <si>
    <t>시럽봄</t>
  </si>
  <si>
    <t>糖浆炸弹</t>
  </si>
  <si>
    <t>Ivy Cudgel</t>
  </si>
  <si>
    <t>ツタこんぼう</t>
  </si>
  <si>
    <t>Massue Liane</t>
  </si>
  <si>
    <t>Rankenkeule</t>
  </si>
  <si>
    <t>Garrote Liana</t>
  </si>
  <si>
    <t>Clava di Liane</t>
  </si>
  <si>
    <t>덩굴방망이</t>
  </si>
  <si>
    <t>棘藤棒</t>
  </si>
  <si>
    <t>Electro Shot</t>
  </si>
  <si>
    <t>エレクトロビーム</t>
  </si>
  <si>
    <t>Fulgurayon</t>
  </si>
  <si>
    <t>Stromstrahl</t>
  </si>
  <si>
    <t>Electrorrayo</t>
  </si>
  <si>
    <t>Elettroraggio</t>
  </si>
  <si>
    <t>일렉트로빔</t>
  </si>
  <si>
    <t>电光束</t>
  </si>
  <si>
    <t>Tera Starstorm</t>
  </si>
  <si>
    <t>テラクラスター</t>
  </si>
  <si>
    <t>Pluie Térastrale</t>
  </si>
  <si>
    <t>Tera-Sternhagel</t>
  </si>
  <si>
    <t>Teraclúster</t>
  </si>
  <si>
    <t>Teracluster</t>
  </si>
  <si>
    <t>테라클러스터</t>
  </si>
  <si>
    <t>晶光星群</t>
  </si>
  <si>
    <t>Fickle Beam</t>
  </si>
  <si>
    <t>きまぐレーザー</t>
  </si>
  <si>
    <t>Laser Hasard</t>
  </si>
  <si>
    <t>Launenlaser</t>
  </si>
  <si>
    <t>Láser Veleidoso</t>
  </si>
  <si>
    <t>Irregolaser</t>
  </si>
  <si>
    <t>변덕레이저</t>
  </si>
  <si>
    <t>随机光</t>
  </si>
  <si>
    <t>Burning Bulwark</t>
  </si>
  <si>
    <t>かえんのまもり</t>
  </si>
  <si>
    <t>Rempart Brûlant</t>
  </si>
  <si>
    <t>Flammenschild</t>
  </si>
  <si>
    <t>Llama Protectora</t>
  </si>
  <si>
    <t>Egida Ignea</t>
  </si>
  <si>
    <t>화염의수호</t>
  </si>
  <si>
    <t>火焰守护</t>
  </si>
  <si>
    <t>Sturmblitz</t>
  </si>
  <si>
    <t>Relámpago Súbito</t>
  </si>
  <si>
    <t>질풍신뢰</t>
  </si>
  <si>
    <t>迅雷</t>
  </si>
  <si>
    <t>Mighty Cleave</t>
  </si>
  <si>
    <t>パワフルエッジ</t>
  </si>
  <si>
    <t>Lame Puissante</t>
  </si>
  <si>
    <t>Wuchtklinge</t>
  </si>
  <si>
    <t>Filo Potente</t>
  </si>
  <si>
    <t>Taglio Poderoso</t>
  </si>
  <si>
    <t>파워풀에지</t>
  </si>
  <si>
    <t>强刃攻击</t>
  </si>
  <si>
    <t>Tachyon Cutter</t>
  </si>
  <si>
    <t>タキオンカッター</t>
  </si>
  <si>
    <t>Lame Tachyonique</t>
  </si>
  <si>
    <t>Tachyon-Schnitt</t>
  </si>
  <si>
    <t>Tajo Taquión</t>
  </si>
  <si>
    <t>Tachiontaglio</t>
  </si>
  <si>
    <t>타키온커터</t>
  </si>
  <si>
    <t>迅子利刃</t>
  </si>
  <si>
    <t>Hard Press</t>
  </si>
  <si>
    <t>ハードプレス</t>
  </si>
  <si>
    <t>Pression Extrême</t>
  </si>
  <si>
    <t>Stahlpresse</t>
  </si>
  <si>
    <t>Prensa Metálica</t>
  </si>
  <si>
    <t>Pressa d'Acciaio</t>
  </si>
  <si>
    <t>하드프레스</t>
  </si>
  <si>
    <t>硬压</t>
  </si>
  <si>
    <t>Dragon Cheer</t>
  </si>
  <si>
    <t>ドラゴンエール</t>
  </si>
  <si>
    <t>Cri Draconique</t>
  </si>
  <si>
    <t>Drachenschrei</t>
  </si>
  <si>
    <t>Bramido Dragón</t>
  </si>
  <si>
    <t>Grido del Drago</t>
  </si>
  <si>
    <t>드래곤옐</t>
  </si>
  <si>
    <t>龙声鼓舞</t>
  </si>
  <si>
    <t>Alluring Voice</t>
  </si>
  <si>
    <t>みわくのボイス</t>
  </si>
  <si>
    <t>Voix Envoûtante</t>
  </si>
  <si>
    <t>Lockstimme</t>
  </si>
  <si>
    <t>Canto Encantador</t>
  </si>
  <si>
    <t>Ammaliavoce</t>
  </si>
  <si>
    <t>매혹의보이스</t>
  </si>
  <si>
    <t>魅诱之声</t>
  </si>
  <si>
    <t>Temper Flare</t>
  </si>
  <si>
    <t>やけっぱち</t>
  </si>
  <si>
    <t>Indignition</t>
  </si>
  <si>
    <t>Frustflamme</t>
  </si>
  <si>
    <t>Cólera Ardiente</t>
  </si>
  <si>
    <t>Rabbia Bruciante</t>
  </si>
  <si>
    <t>열불내기</t>
  </si>
  <si>
    <t>豁出去</t>
  </si>
  <si>
    <t>Supercell Slam</t>
  </si>
  <si>
    <t>サンダーダイブ</t>
  </si>
  <si>
    <t>Volt Assaut</t>
  </si>
  <si>
    <t>Donnerstoß</t>
  </si>
  <si>
    <t>Plancha Voltaica</t>
  </si>
  <si>
    <t>Elettrotuffo</t>
  </si>
  <si>
    <t>썬더다이브</t>
  </si>
  <si>
    <t>闪电强袭</t>
  </si>
  <si>
    <t>Psychic Noise</t>
  </si>
  <si>
    <t>サイコノイズ</t>
  </si>
  <si>
    <t>Dissonance Psy</t>
  </si>
  <si>
    <t>Psycholärm</t>
  </si>
  <si>
    <t>Psicorruido</t>
  </si>
  <si>
    <t>Psicorumore</t>
  </si>
  <si>
    <t>사이코노이즈</t>
  </si>
  <si>
    <t>精神噪音</t>
  </si>
  <si>
    <t>Upper Hand</t>
  </si>
  <si>
    <t>はやてがえし</t>
  </si>
  <si>
    <t>Prio-Parade</t>
  </si>
  <si>
    <t>Schnellkonter</t>
  </si>
  <si>
    <t>Palma Rauda</t>
  </si>
  <si>
    <t>Colpo di Mano</t>
  </si>
  <si>
    <t>기선제압</t>
  </si>
  <si>
    <t>快手还击</t>
  </si>
  <si>
    <t>Malignant Chain</t>
  </si>
  <si>
    <t>じゃどくのくさり</t>
  </si>
  <si>
    <t>Chaîne Malsaine</t>
  </si>
  <si>
    <t>Giftkettung</t>
  </si>
  <si>
    <t>Cadena Virulenta</t>
  </si>
  <si>
    <t>Intossicatena</t>
  </si>
  <si>
    <t>악독사슬</t>
  </si>
  <si>
    <t>邪毒锁链</t>
  </si>
  <si>
    <t>Stench</t>
  </si>
  <si>
    <t>あくしゅう</t>
  </si>
  <si>
    <t>Puanteur</t>
  </si>
  <si>
    <t>Duftnote</t>
  </si>
  <si>
    <t>Hedor</t>
  </si>
  <si>
    <t>Tanfo</t>
  </si>
  <si>
    <t>악취</t>
  </si>
  <si>
    <t>惡臭</t>
  </si>
  <si>
    <t>Drizzle</t>
  </si>
  <si>
    <t>あめふらし</t>
  </si>
  <si>
    <t>Crachin</t>
  </si>
  <si>
    <t>Niesel</t>
  </si>
  <si>
    <t>Llovizna</t>
  </si>
  <si>
    <t>Piovischio</t>
  </si>
  <si>
    <t>잔비</t>
  </si>
  <si>
    <t>降雨</t>
  </si>
  <si>
    <t>Speed Boost</t>
  </si>
  <si>
    <t>かそく</t>
  </si>
  <si>
    <t>Turbo</t>
  </si>
  <si>
    <t>Temposchub</t>
  </si>
  <si>
    <t>Impulso</t>
  </si>
  <si>
    <t>Acceleratore</t>
  </si>
  <si>
    <t>가속</t>
  </si>
  <si>
    <t>加速</t>
  </si>
  <si>
    <t>Battle Armor</t>
  </si>
  <si>
    <t>カブトアーマー</t>
  </si>
  <si>
    <t>Armurbaston</t>
  </si>
  <si>
    <t>Kampfpanzer</t>
  </si>
  <si>
    <t>Armadura Batalla</t>
  </si>
  <si>
    <t>Lottascudo</t>
  </si>
  <si>
    <t>전투 무장</t>
  </si>
  <si>
    <t>戰鬥盔甲</t>
  </si>
  <si>
    <t>Sturdy</t>
  </si>
  <si>
    <t>がんじょう</t>
  </si>
  <si>
    <t>Fermeté</t>
  </si>
  <si>
    <t>Robustheit</t>
  </si>
  <si>
    <t>Robustez</t>
  </si>
  <si>
    <t>Vigore</t>
  </si>
  <si>
    <t>옹골참</t>
  </si>
  <si>
    <t>結實</t>
  </si>
  <si>
    <t>Damp</t>
  </si>
  <si>
    <t>しめりけ</t>
  </si>
  <si>
    <t>Moiteur</t>
  </si>
  <si>
    <t>Feuchtigkeit</t>
  </si>
  <si>
    <t>Humedad</t>
  </si>
  <si>
    <t>Umidità</t>
  </si>
  <si>
    <t>습기</t>
  </si>
  <si>
    <t>濕氣</t>
  </si>
  <si>
    <t>Limber</t>
  </si>
  <si>
    <t>じゅうなん</t>
  </si>
  <si>
    <t>Échauffement</t>
  </si>
  <si>
    <t>Flexibilität</t>
  </si>
  <si>
    <t>Flexibilidad</t>
  </si>
  <si>
    <t>Scioltezza</t>
  </si>
  <si>
    <t>유연</t>
  </si>
  <si>
    <t>柔軟</t>
  </si>
  <si>
    <t>Sand Veil</t>
  </si>
  <si>
    <t>すながくれ</t>
  </si>
  <si>
    <t>Voile Sable</t>
  </si>
  <si>
    <t>Sandschleier</t>
  </si>
  <si>
    <t>Velo Arena</t>
  </si>
  <si>
    <t>Sabbiavelo</t>
  </si>
  <si>
    <t>모래숨기</t>
  </si>
  <si>
    <t>沙隱</t>
  </si>
  <si>
    <t>Static</t>
  </si>
  <si>
    <t>せいでんき</t>
  </si>
  <si>
    <t>Statik</t>
  </si>
  <si>
    <t>Elec. Estática</t>
  </si>
  <si>
    <t>정전기</t>
  </si>
  <si>
    <t>靜電</t>
  </si>
  <si>
    <t>Volt Absorb</t>
  </si>
  <si>
    <t>ちくでん</t>
  </si>
  <si>
    <t>Absorbe-Volt</t>
  </si>
  <si>
    <t>Voltabsorber</t>
  </si>
  <si>
    <t>Absorbe Elec.</t>
  </si>
  <si>
    <t>Assorbivolt</t>
  </si>
  <si>
    <t>축전</t>
  </si>
  <si>
    <t>蓄電</t>
  </si>
  <si>
    <t>Water Absorb</t>
  </si>
  <si>
    <t>ちょすい</t>
  </si>
  <si>
    <t>Absorbe-Eau</t>
  </si>
  <si>
    <t>H2O-Absorber</t>
  </si>
  <si>
    <t>Absorbe Agua</t>
  </si>
  <si>
    <t>Assorbacqua</t>
  </si>
  <si>
    <t>저수</t>
  </si>
  <si>
    <t>儲水</t>
  </si>
  <si>
    <t>Oblivious</t>
  </si>
  <si>
    <t>Benêt</t>
  </si>
  <si>
    <t>Dösigkeit</t>
  </si>
  <si>
    <t>Despiste</t>
  </si>
  <si>
    <t>Indifferenza</t>
  </si>
  <si>
    <t>Cloud Nine</t>
  </si>
  <si>
    <t>ノーてんき</t>
  </si>
  <si>
    <t>Ciel Gris</t>
  </si>
  <si>
    <t>Wolke Sieben</t>
  </si>
  <si>
    <t>Aclimatación</t>
  </si>
  <si>
    <t>Antimeteo</t>
  </si>
  <si>
    <t>날씨 부정</t>
  </si>
  <si>
    <t>無關天氣</t>
  </si>
  <si>
    <t>Compund Eyes</t>
  </si>
  <si>
    <t>ふくがん</t>
  </si>
  <si>
    <t>Oeil Composé</t>
  </si>
  <si>
    <t>Facettenauge</t>
  </si>
  <si>
    <t>Ojo Compuesto</t>
  </si>
  <si>
    <t>Insettochi</t>
  </si>
  <si>
    <t>복안</t>
  </si>
  <si>
    <t>複眼</t>
  </si>
  <si>
    <t>Insomia</t>
  </si>
  <si>
    <t>ふみん</t>
  </si>
  <si>
    <t>Insomnio</t>
  </si>
  <si>
    <t>Insonnia</t>
  </si>
  <si>
    <t>불면</t>
  </si>
  <si>
    <t>不眠</t>
  </si>
  <si>
    <t>Color Change</t>
  </si>
  <si>
    <t>へんしょく</t>
  </si>
  <si>
    <t>Homochromie</t>
  </si>
  <si>
    <t>Farbwechsel</t>
  </si>
  <si>
    <t>Cambio Color</t>
  </si>
  <si>
    <t>Cambiacolore</t>
  </si>
  <si>
    <t>변색</t>
  </si>
  <si>
    <t>Immunity</t>
  </si>
  <si>
    <t>めんえき</t>
  </si>
  <si>
    <t>Vaccin</t>
  </si>
  <si>
    <t>Immunität</t>
  </si>
  <si>
    <t>Inmunidad</t>
  </si>
  <si>
    <t>Immunità</t>
  </si>
  <si>
    <t>면역</t>
  </si>
  <si>
    <t>免疫</t>
  </si>
  <si>
    <t>Flash Fire</t>
  </si>
  <si>
    <t>もらいび</t>
  </si>
  <si>
    <t>Feuerfänger</t>
  </si>
  <si>
    <t>Absorbe Fuego</t>
  </si>
  <si>
    <t>Fuocardore</t>
  </si>
  <si>
    <t>타오르는 불꽃</t>
  </si>
  <si>
    <t>引火</t>
  </si>
  <si>
    <t>Shield Dust</t>
  </si>
  <si>
    <t>Écran Poudre</t>
  </si>
  <si>
    <t>Puderabwehr</t>
  </si>
  <si>
    <t>Polvo Escudo</t>
  </si>
  <si>
    <t>Polvoscudo</t>
  </si>
  <si>
    <t>Own Tempo</t>
  </si>
  <si>
    <t>マイペース</t>
  </si>
  <si>
    <t>Tempo Perso</t>
  </si>
  <si>
    <t>Tempomacher</t>
  </si>
  <si>
    <t>Ritmo Propio</t>
  </si>
  <si>
    <t>Mente Locale</t>
  </si>
  <si>
    <t>마이페이스</t>
  </si>
  <si>
    <t>我行我素</t>
  </si>
  <si>
    <t>Suction Cups</t>
  </si>
  <si>
    <t>きゅうばん</t>
  </si>
  <si>
    <t>Ventouse</t>
  </si>
  <si>
    <t>Saugnapf</t>
  </si>
  <si>
    <t>Ventosas</t>
  </si>
  <si>
    <t>Ventose</t>
  </si>
  <si>
    <t>흡반</t>
  </si>
  <si>
    <t>吸盤</t>
  </si>
  <si>
    <t>Intimidate</t>
  </si>
  <si>
    <t>いかく</t>
  </si>
  <si>
    <t>Intimidation</t>
  </si>
  <si>
    <t>Bedroher</t>
  </si>
  <si>
    <t>Intimidación</t>
  </si>
  <si>
    <t>Prepotenza</t>
  </si>
  <si>
    <t>위협</t>
  </si>
  <si>
    <t>威嚇</t>
  </si>
  <si>
    <t>Shadow Tag</t>
  </si>
  <si>
    <t>かげふみ</t>
  </si>
  <si>
    <t>Marque Ombre</t>
  </si>
  <si>
    <t>Wegsperre</t>
  </si>
  <si>
    <t>Sombra Trampa</t>
  </si>
  <si>
    <t>Pedinombra</t>
  </si>
  <si>
    <t>그림자 밟기</t>
  </si>
  <si>
    <t>踩影</t>
  </si>
  <si>
    <t>Rough Skin</t>
  </si>
  <si>
    <t>さめはだ</t>
  </si>
  <si>
    <t>Peau Dure</t>
  </si>
  <si>
    <t>Rauhaut</t>
  </si>
  <si>
    <t>Piel Tosca</t>
  </si>
  <si>
    <t>Cartavetro</t>
  </si>
  <si>
    <t>까칠한 피부</t>
  </si>
  <si>
    <t>粗糙皮膚</t>
  </si>
  <si>
    <t>Wonder Guard</t>
  </si>
  <si>
    <t>ふしぎなまもり</t>
  </si>
  <si>
    <t>Garde Mystik</t>
  </si>
  <si>
    <t>Wunderwache</t>
  </si>
  <si>
    <t>Superguarda</t>
  </si>
  <si>
    <t>Magidifesa</t>
  </si>
  <si>
    <t>불가사의 부적</t>
  </si>
  <si>
    <t>神奇守護</t>
  </si>
  <si>
    <t>Levitate</t>
  </si>
  <si>
    <t>Lévitation</t>
  </si>
  <si>
    <t>Schwebe</t>
  </si>
  <si>
    <t>Levitación</t>
  </si>
  <si>
    <t>Levitazione</t>
  </si>
  <si>
    <t>飄浮</t>
  </si>
  <si>
    <t>Effect Spore</t>
  </si>
  <si>
    <t>ほうし</t>
  </si>
  <si>
    <t>Pose Spore</t>
  </si>
  <si>
    <t>Sporenwirt</t>
  </si>
  <si>
    <t>Efecto Espora</t>
  </si>
  <si>
    <t>Spargispora</t>
  </si>
  <si>
    <t>포자</t>
  </si>
  <si>
    <t>孢子</t>
  </si>
  <si>
    <t>Synchonize</t>
  </si>
  <si>
    <t>シンクロ</t>
  </si>
  <si>
    <t>Synchro</t>
  </si>
  <si>
    <t>Sincronía</t>
  </si>
  <si>
    <t>Sincronismo</t>
  </si>
  <si>
    <t>싱크로</t>
  </si>
  <si>
    <t>同步</t>
  </si>
  <si>
    <t>Clear Body</t>
  </si>
  <si>
    <t>クリアボヂィ</t>
  </si>
  <si>
    <t>Corps Sain</t>
  </si>
  <si>
    <t>Neutraltorso</t>
  </si>
  <si>
    <t>Cuerpo Puro</t>
  </si>
  <si>
    <t>Corpochiaro</t>
  </si>
  <si>
    <t>클리어 바디</t>
  </si>
  <si>
    <t>恆淨之軀</t>
  </si>
  <si>
    <t>Natural Cure</t>
  </si>
  <si>
    <t>しぜんかいふく</t>
  </si>
  <si>
    <t>Médic Nature</t>
  </si>
  <si>
    <t>Innere Kraft</t>
  </si>
  <si>
    <t>Cura Natural</t>
  </si>
  <si>
    <t>Alternacura</t>
  </si>
  <si>
    <t>자연회복</t>
  </si>
  <si>
    <t>自然回復</t>
  </si>
  <si>
    <t>Lightning Rod</t>
  </si>
  <si>
    <t>ひらいしん</t>
  </si>
  <si>
    <t>Paratonnerre</t>
  </si>
  <si>
    <t>Blitzfänger</t>
  </si>
  <si>
    <t>Pararrayos</t>
  </si>
  <si>
    <t>Parafulmine</t>
  </si>
  <si>
    <t>피뢰침</t>
  </si>
  <si>
    <t>避雷針</t>
  </si>
  <si>
    <t>Serene Grace</t>
  </si>
  <si>
    <t>てんのめぐみ</t>
  </si>
  <si>
    <t>Sérénité</t>
  </si>
  <si>
    <t>Edelmut</t>
  </si>
  <si>
    <t>Dicha</t>
  </si>
  <si>
    <t>Leggiadro</t>
  </si>
  <si>
    <t>하늘의 은총</t>
  </si>
  <si>
    <t>天恩</t>
  </si>
  <si>
    <t>Swift Swim</t>
  </si>
  <si>
    <t>すいすい</t>
  </si>
  <si>
    <t>Glissade</t>
  </si>
  <si>
    <t>Wassertempo</t>
  </si>
  <si>
    <t>Nado Rápido</t>
  </si>
  <si>
    <t>Nuotovelox</t>
  </si>
  <si>
    <t>쓱쓱</t>
  </si>
  <si>
    <t>悠游自如</t>
  </si>
  <si>
    <t>Chlorophyll</t>
  </si>
  <si>
    <t>ようりょくそ</t>
  </si>
  <si>
    <t>Chlorophylle</t>
  </si>
  <si>
    <t>Clorofila</t>
  </si>
  <si>
    <t>Clorofilla</t>
  </si>
  <si>
    <t>엽록소</t>
  </si>
  <si>
    <t>葉綠素</t>
  </si>
  <si>
    <t>Illuminate</t>
  </si>
  <si>
    <t>Lumiattirance</t>
  </si>
  <si>
    <t>Erleuchtung</t>
  </si>
  <si>
    <t>Iluminación</t>
  </si>
  <si>
    <t>Risplendi</t>
  </si>
  <si>
    <t>발광</t>
  </si>
  <si>
    <t>Trace</t>
  </si>
  <si>
    <t>トレース</t>
  </si>
  <si>
    <t>Calque</t>
  </si>
  <si>
    <t>Fährte</t>
  </si>
  <si>
    <t>Rastro</t>
  </si>
  <si>
    <t>Traccia</t>
  </si>
  <si>
    <t>트레이스</t>
  </si>
  <si>
    <t>複製</t>
  </si>
  <si>
    <t>Huge Power</t>
  </si>
  <si>
    <t>ちからもち</t>
  </si>
  <si>
    <t>Coloforce</t>
  </si>
  <si>
    <t>Potencia</t>
  </si>
  <si>
    <t>Macroforza</t>
  </si>
  <si>
    <t>천하장사</t>
  </si>
  <si>
    <t>大力士</t>
  </si>
  <si>
    <t>Poison Point</t>
  </si>
  <si>
    <t>どくのトゲ</t>
  </si>
  <si>
    <t>Point Poison</t>
  </si>
  <si>
    <t>Punto Tóxico</t>
  </si>
  <si>
    <t>Velenopunto</t>
  </si>
  <si>
    <t>독가시</t>
  </si>
  <si>
    <t>毒刺</t>
  </si>
  <si>
    <t>Inner Focus</t>
  </si>
  <si>
    <t>せいしんりょく</t>
  </si>
  <si>
    <t>Attention</t>
  </si>
  <si>
    <t>Konzentrator</t>
  </si>
  <si>
    <t>Foco Interno</t>
  </si>
  <si>
    <t>Forza Interiore</t>
  </si>
  <si>
    <t>정신력</t>
  </si>
  <si>
    <t>精神力</t>
  </si>
  <si>
    <t>Magma Armor</t>
  </si>
  <si>
    <t>マグマのよろい</t>
  </si>
  <si>
    <t>Armumagma</t>
  </si>
  <si>
    <t>Magmapanzer</t>
  </si>
  <si>
    <t>Escudo Magma</t>
  </si>
  <si>
    <t>Magmascudo</t>
  </si>
  <si>
    <t>마그마의 무장</t>
  </si>
  <si>
    <t>熔岩鎧甲</t>
  </si>
  <si>
    <t>Water Veil</t>
  </si>
  <si>
    <t>みずのベール</t>
  </si>
  <si>
    <t>Ignifu-Voile</t>
  </si>
  <si>
    <t>Aquahülle</t>
  </si>
  <si>
    <t>Velo Agua</t>
  </si>
  <si>
    <t>Idrovelo</t>
  </si>
  <si>
    <t>수의 베일</t>
  </si>
  <si>
    <t>水幕</t>
  </si>
  <si>
    <t>Magnet Pull</t>
  </si>
  <si>
    <t>じりょく</t>
  </si>
  <si>
    <t>Magnépiège</t>
  </si>
  <si>
    <t>Magnetfalle</t>
  </si>
  <si>
    <t>Imán</t>
  </si>
  <si>
    <t>Magnetismo</t>
  </si>
  <si>
    <t>자력</t>
  </si>
  <si>
    <t>磁力</t>
  </si>
  <si>
    <t>Soundproof</t>
  </si>
  <si>
    <t>ぼうおん</t>
  </si>
  <si>
    <t>Anti-Bruit</t>
  </si>
  <si>
    <t>Lärmschutz</t>
  </si>
  <si>
    <t>Insonorizar</t>
  </si>
  <si>
    <t>Antisuono</t>
  </si>
  <si>
    <t>방음</t>
  </si>
  <si>
    <t>隔音</t>
  </si>
  <si>
    <t>Rain Dish</t>
  </si>
  <si>
    <t>あめうけざら</t>
  </si>
  <si>
    <t>Cuvette</t>
  </si>
  <si>
    <t>Regengenuss</t>
  </si>
  <si>
    <t>Cura Lluvia</t>
  </si>
  <si>
    <t>Copripioggia</t>
  </si>
  <si>
    <t>젖은접시</t>
  </si>
  <si>
    <t>雨盤</t>
  </si>
  <si>
    <t>Sand Stream</t>
  </si>
  <si>
    <t>すなおこし</t>
  </si>
  <si>
    <t>Sable Volant</t>
  </si>
  <si>
    <t>Chorro Arena</t>
  </si>
  <si>
    <t>Sabbiafiume</t>
  </si>
  <si>
    <t>모래날림</t>
  </si>
  <si>
    <t>揚沙</t>
  </si>
  <si>
    <t>Pressure</t>
  </si>
  <si>
    <t>プレッシャー</t>
  </si>
  <si>
    <t>Pression</t>
  </si>
  <si>
    <t>Erzwinger</t>
  </si>
  <si>
    <t>Presión</t>
  </si>
  <si>
    <t>프레셔</t>
  </si>
  <si>
    <t>壓迫感</t>
  </si>
  <si>
    <t>Thick Fat</t>
  </si>
  <si>
    <t>あついしぼう</t>
  </si>
  <si>
    <t>Isograisse</t>
  </si>
  <si>
    <t>Speckschicht</t>
  </si>
  <si>
    <t>Sebo</t>
  </si>
  <si>
    <t>Grassospesso</t>
  </si>
  <si>
    <t>두꺼운 지방</t>
  </si>
  <si>
    <t>厚脂肪</t>
  </si>
  <si>
    <t>Early Bird</t>
  </si>
  <si>
    <t>はやおき</t>
  </si>
  <si>
    <t>Matinal</t>
  </si>
  <si>
    <t>Frühwecker</t>
  </si>
  <si>
    <t>Madrugar</t>
  </si>
  <si>
    <t>Sveglialampo</t>
  </si>
  <si>
    <t>일찍 기상</t>
  </si>
  <si>
    <t>早起</t>
  </si>
  <si>
    <t>Flame Body</t>
  </si>
  <si>
    <t>ほのおのからだ</t>
  </si>
  <si>
    <t>Corps Ardent</t>
  </si>
  <si>
    <t>Flammkörper</t>
  </si>
  <si>
    <t>Cuerpo Llama</t>
  </si>
  <si>
    <t>Corpodifuoco</t>
  </si>
  <si>
    <t>불꽃몸</t>
  </si>
  <si>
    <t>火焰之軀</t>
  </si>
  <si>
    <t>Run Away</t>
  </si>
  <si>
    <t>にげあし</t>
  </si>
  <si>
    <t>Fuite</t>
  </si>
  <si>
    <t>Angsthase</t>
  </si>
  <si>
    <t>Fuga</t>
  </si>
  <si>
    <t>도주</t>
  </si>
  <si>
    <t>逃跑</t>
  </si>
  <si>
    <t>Keen Eye</t>
  </si>
  <si>
    <t>するどいめ</t>
  </si>
  <si>
    <t>Regard Vif</t>
  </si>
  <si>
    <t>Adlerauge</t>
  </si>
  <si>
    <t>Vista Lince</t>
  </si>
  <si>
    <t>Sguardofermo</t>
  </si>
  <si>
    <t>날카로운 눈</t>
  </si>
  <si>
    <t>銳利目光</t>
  </si>
  <si>
    <t>Hyper Cutter</t>
  </si>
  <si>
    <t>かいりきバサミ</t>
  </si>
  <si>
    <t>Scherenmacht</t>
  </si>
  <si>
    <t>Corte Fuerte</t>
  </si>
  <si>
    <t>Ipertaglio</t>
  </si>
  <si>
    <t>괴력집게</t>
  </si>
  <si>
    <t>怪力鉗</t>
  </si>
  <si>
    <t>Pickup</t>
  </si>
  <si>
    <t>ものひろい</t>
  </si>
  <si>
    <t>Ramassage</t>
  </si>
  <si>
    <t>Mitnahme</t>
  </si>
  <si>
    <t>Recogida</t>
  </si>
  <si>
    <t>Raccolta</t>
  </si>
  <si>
    <t>픽업</t>
  </si>
  <si>
    <t>撿拾</t>
  </si>
  <si>
    <t>Truant</t>
  </si>
  <si>
    <t>なまけ</t>
  </si>
  <si>
    <t>Absentéisme</t>
  </si>
  <si>
    <t>Schnarchnase</t>
  </si>
  <si>
    <t>Ausente</t>
  </si>
  <si>
    <t>Pigrone</t>
  </si>
  <si>
    <t>게으름</t>
  </si>
  <si>
    <t>懶惰</t>
  </si>
  <si>
    <t>Hustle</t>
  </si>
  <si>
    <t>はりきり</t>
  </si>
  <si>
    <t>Agitation</t>
  </si>
  <si>
    <t>Übereifer</t>
  </si>
  <si>
    <t>Entusiasmo</t>
  </si>
  <si>
    <t>Tuttafretta</t>
  </si>
  <si>
    <t>의욕</t>
  </si>
  <si>
    <t>活力</t>
  </si>
  <si>
    <t>Cute Charm</t>
  </si>
  <si>
    <t>メロメロボディ</t>
  </si>
  <si>
    <t>Joli Sourire</t>
  </si>
  <si>
    <t>Charmebolzen</t>
  </si>
  <si>
    <t>Gran Encanto</t>
  </si>
  <si>
    <t>Incantevole</t>
  </si>
  <si>
    <t>헤롱헤롱 바디</t>
  </si>
  <si>
    <t>迷人之軀</t>
  </si>
  <si>
    <t>Plus</t>
  </si>
  <si>
    <t>プラス</t>
  </si>
  <si>
    <t>Más</t>
  </si>
  <si>
    <t>Più</t>
  </si>
  <si>
    <t>플러스</t>
  </si>
  <si>
    <t>正電</t>
  </si>
  <si>
    <t>Minus</t>
  </si>
  <si>
    <t>マイナス</t>
  </si>
  <si>
    <t>Menos</t>
  </si>
  <si>
    <t>Meno</t>
  </si>
  <si>
    <t>마이너스</t>
  </si>
  <si>
    <t>負電</t>
  </si>
  <si>
    <t>Forecast</t>
  </si>
  <si>
    <t>たんきや</t>
  </si>
  <si>
    <t>Météo</t>
  </si>
  <si>
    <t>Prognose</t>
  </si>
  <si>
    <t>Predicción</t>
  </si>
  <si>
    <t>Previsioni</t>
  </si>
  <si>
    <t>기분파</t>
  </si>
  <si>
    <t>陰晴不定</t>
  </si>
  <si>
    <t>Sticky Hold</t>
  </si>
  <si>
    <t>ねんちゃく</t>
  </si>
  <si>
    <t>Glue</t>
  </si>
  <si>
    <t>Wertehalter</t>
  </si>
  <si>
    <t>Viscosidad</t>
  </si>
  <si>
    <t>Antifurto</t>
  </si>
  <si>
    <t>점착</t>
  </si>
  <si>
    <t>黏著</t>
  </si>
  <si>
    <t>Shed Skin</t>
  </si>
  <si>
    <t>Expidermis</t>
  </si>
  <si>
    <t>Mudar</t>
  </si>
  <si>
    <t>Muta</t>
  </si>
  <si>
    <t>Guts</t>
  </si>
  <si>
    <t>こんじょう</t>
  </si>
  <si>
    <t>Cran</t>
  </si>
  <si>
    <t>Adrenalin</t>
  </si>
  <si>
    <t>Agallas</t>
  </si>
  <si>
    <t>Dentistretti</t>
  </si>
  <si>
    <t>근성</t>
  </si>
  <si>
    <t>毅力</t>
  </si>
  <si>
    <t>Marvel Scale</t>
  </si>
  <si>
    <t>ふしぎなうろこ</t>
  </si>
  <si>
    <t>Écaille Spéciale</t>
  </si>
  <si>
    <t>Notschutz</t>
  </si>
  <si>
    <t>Escama Especial</t>
  </si>
  <si>
    <t>Pelledura</t>
  </si>
  <si>
    <t>이상한 비늘</t>
  </si>
  <si>
    <t>神奇鱗片</t>
  </si>
  <si>
    <t>Liquid Ooze</t>
  </si>
  <si>
    <t>ヘドロえき</t>
  </si>
  <si>
    <t>Suintement</t>
  </si>
  <si>
    <t>Kloakensoße</t>
  </si>
  <si>
    <t>Lodo Líquido</t>
  </si>
  <si>
    <t>해감액</t>
  </si>
  <si>
    <t>污泥漿</t>
  </si>
  <si>
    <t>Overgrow</t>
  </si>
  <si>
    <t>Engrais</t>
  </si>
  <si>
    <t>Notdünger</t>
  </si>
  <si>
    <t>Espesura</t>
  </si>
  <si>
    <t>Erbaiuto</t>
  </si>
  <si>
    <t>茂盛</t>
  </si>
  <si>
    <t>Blaze</t>
  </si>
  <si>
    <t>もうか</t>
  </si>
  <si>
    <t>Brasier</t>
  </si>
  <si>
    <t>Großbrand</t>
  </si>
  <si>
    <t>Mar Llamas</t>
  </si>
  <si>
    <t>Aiutofuoco</t>
  </si>
  <si>
    <t>맹화</t>
  </si>
  <si>
    <t>猛火</t>
  </si>
  <si>
    <t>Torrent</t>
  </si>
  <si>
    <t>げきりゅう</t>
  </si>
  <si>
    <t>Sturzbach</t>
  </si>
  <si>
    <t>Torrente</t>
  </si>
  <si>
    <t>Acquaiuto</t>
  </si>
  <si>
    <t>급류</t>
  </si>
  <si>
    <t>激流</t>
  </si>
  <si>
    <t>Swarm</t>
  </si>
  <si>
    <t>むしのしらせ</t>
  </si>
  <si>
    <t>Essaim</t>
  </si>
  <si>
    <t>Hexaplaga</t>
  </si>
  <si>
    <t>Enjambre</t>
  </si>
  <si>
    <t>Aiutinsetto</t>
  </si>
  <si>
    <t>벌레의 알림</t>
  </si>
  <si>
    <t>蟲之預感</t>
  </si>
  <si>
    <t>Rock Head</t>
  </si>
  <si>
    <t>いしあたま</t>
  </si>
  <si>
    <t>Tête de Roc</t>
  </si>
  <si>
    <t>Steinhaupt</t>
  </si>
  <si>
    <t>Cabeza Roca</t>
  </si>
  <si>
    <t>Testadura</t>
  </si>
  <si>
    <t>돌머리</t>
  </si>
  <si>
    <t>堅硬腦袋</t>
  </si>
  <si>
    <t>Drought</t>
  </si>
  <si>
    <t>ひでり</t>
  </si>
  <si>
    <t>Sécheresse</t>
  </si>
  <si>
    <t>Dürre</t>
  </si>
  <si>
    <t>Sequía</t>
  </si>
  <si>
    <t>Siccità</t>
  </si>
  <si>
    <t>가뭄</t>
  </si>
  <si>
    <t>日照</t>
  </si>
  <si>
    <t>Arena Trap</t>
  </si>
  <si>
    <t>Ausweglos</t>
  </si>
  <si>
    <t>Trampa Arena</t>
  </si>
  <si>
    <t>Trappoarena</t>
  </si>
  <si>
    <t>沙穴</t>
  </si>
  <si>
    <t>Vital Spirit</t>
  </si>
  <si>
    <t>やるき</t>
  </si>
  <si>
    <t>Esprit Vital</t>
  </si>
  <si>
    <t>Munterkeit</t>
  </si>
  <si>
    <t>Espíritu Vital</t>
  </si>
  <si>
    <t>Spiritovivo</t>
  </si>
  <si>
    <t>의기양양</t>
  </si>
  <si>
    <t>幹勁</t>
  </si>
  <si>
    <t>White Smoke</t>
  </si>
  <si>
    <t>しろいけむり</t>
  </si>
  <si>
    <t>Écran Fumée</t>
  </si>
  <si>
    <t>Pulverrauch</t>
  </si>
  <si>
    <t>Humo Blanco</t>
  </si>
  <si>
    <t>Fumochario</t>
  </si>
  <si>
    <t>하얀연기</t>
  </si>
  <si>
    <t>白色煙霧</t>
  </si>
  <si>
    <t>Pure Power</t>
  </si>
  <si>
    <t>ヨガパワー</t>
  </si>
  <si>
    <t>Force Pure</t>
  </si>
  <si>
    <t>Mentalkraft</t>
  </si>
  <si>
    <t>Energía Pura</t>
  </si>
  <si>
    <t>Forzapura</t>
  </si>
  <si>
    <t>순수한힘</t>
  </si>
  <si>
    <t>瑜伽之力</t>
  </si>
  <si>
    <t>Shell Armor</t>
  </si>
  <si>
    <t>シェルアーマー</t>
  </si>
  <si>
    <t>Coque Armure</t>
  </si>
  <si>
    <t>Panzerhaut</t>
  </si>
  <si>
    <t>Guscioscudo</t>
  </si>
  <si>
    <t>조가비 갑옷</t>
  </si>
  <si>
    <t>硬殼盔甲</t>
  </si>
  <si>
    <t>Air Lock</t>
  </si>
  <si>
    <t>エアロック</t>
  </si>
  <si>
    <t>Klimaschutz</t>
  </si>
  <si>
    <t>Bucle Aire</t>
  </si>
  <si>
    <t>Riparo</t>
  </si>
  <si>
    <t>에어록</t>
  </si>
  <si>
    <t>氣閘</t>
  </si>
  <si>
    <t>Tangled Feet</t>
  </si>
  <si>
    <t>ちどりあし</t>
  </si>
  <si>
    <t>Pieds Confus</t>
  </si>
  <si>
    <t>Fußangel</t>
  </si>
  <si>
    <t>Tumbos</t>
  </si>
  <si>
    <t>Intricopiedi</t>
  </si>
  <si>
    <t>갈지자걸음</t>
  </si>
  <si>
    <t>蹣跚</t>
  </si>
  <si>
    <t>Motor Drive</t>
  </si>
  <si>
    <t>でんきエンジン</t>
  </si>
  <si>
    <t>Motorisé</t>
  </si>
  <si>
    <t>Starthilfe</t>
  </si>
  <si>
    <t>Electromotor</t>
  </si>
  <si>
    <t>Elettrorapid</t>
  </si>
  <si>
    <t>전기엔진</t>
  </si>
  <si>
    <t>電氣引擎</t>
  </si>
  <si>
    <t>Rivalry</t>
  </si>
  <si>
    <t>とうそうしん</t>
  </si>
  <si>
    <t>Rivalité</t>
  </si>
  <si>
    <t>Rivalität</t>
  </si>
  <si>
    <t>Rivalidad</t>
  </si>
  <si>
    <t>Antagonismo</t>
  </si>
  <si>
    <t>투쟁심</t>
  </si>
  <si>
    <t>鬥爭心</t>
  </si>
  <si>
    <t>Steadfast</t>
  </si>
  <si>
    <t>ふくつのこころ</t>
  </si>
  <si>
    <t>Impassible</t>
  </si>
  <si>
    <t>Felsenfest</t>
  </si>
  <si>
    <t>Impasible</t>
  </si>
  <si>
    <t>Cuordeciso</t>
  </si>
  <si>
    <t>불굴의 마음</t>
  </si>
  <si>
    <t>不屈之心</t>
  </si>
  <si>
    <t>Snow Cloak</t>
  </si>
  <si>
    <t>ゆきがくれ</t>
  </si>
  <si>
    <t>Rideau Neige</t>
  </si>
  <si>
    <t>Schneemantel</t>
  </si>
  <si>
    <t>Manto Níveo</t>
  </si>
  <si>
    <t>Mantelneve</t>
  </si>
  <si>
    <t>눈숨기</t>
  </si>
  <si>
    <t>雪隱</t>
  </si>
  <si>
    <t>Gluttony</t>
  </si>
  <si>
    <t>くいしんぼう</t>
  </si>
  <si>
    <t>Gloutonnerie</t>
  </si>
  <si>
    <t>Völlerei</t>
  </si>
  <si>
    <t>Gula</t>
  </si>
  <si>
    <t>Voracità</t>
  </si>
  <si>
    <t>먹보</t>
  </si>
  <si>
    <t>貪吃鬼</t>
  </si>
  <si>
    <t>Anger Point</t>
  </si>
  <si>
    <t>いかりのつぼ</t>
  </si>
  <si>
    <t>Colérique</t>
  </si>
  <si>
    <t>Kurzschluss</t>
  </si>
  <si>
    <t>Irascible</t>
  </si>
  <si>
    <t>Grancollera</t>
  </si>
  <si>
    <t>분노의 경혈</t>
  </si>
  <si>
    <t>憤怒穴位</t>
  </si>
  <si>
    <t>Unburden</t>
  </si>
  <si>
    <t>かるわざ</t>
  </si>
  <si>
    <t>Délestage</t>
  </si>
  <si>
    <t>Entlastung</t>
  </si>
  <si>
    <t>Liviano</t>
  </si>
  <si>
    <t>Agiltecnica</t>
  </si>
  <si>
    <t>곡예</t>
  </si>
  <si>
    <t>輕裝</t>
  </si>
  <si>
    <t>Heatproof</t>
  </si>
  <si>
    <t>たいねつ</t>
  </si>
  <si>
    <t>Ignifugé</t>
  </si>
  <si>
    <t>Hitzeschutz</t>
  </si>
  <si>
    <t>Ignífugo</t>
  </si>
  <si>
    <t>Antifuoco</t>
  </si>
  <si>
    <t>내열</t>
  </si>
  <si>
    <t>耐熱</t>
  </si>
  <si>
    <t>Simple</t>
  </si>
  <si>
    <t>たんじゅん</t>
  </si>
  <si>
    <t>Wankelmut</t>
  </si>
  <si>
    <t>Disinvoltura</t>
  </si>
  <si>
    <t>단순</t>
  </si>
  <si>
    <t>單純</t>
  </si>
  <si>
    <t>Dry Skin</t>
  </si>
  <si>
    <t>かんそうはだ</t>
  </si>
  <si>
    <t>Peau Sèche</t>
  </si>
  <si>
    <t>Trockenheit</t>
  </si>
  <si>
    <t>Piel Seca</t>
  </si>
  <si>
    <t>Pellearsa</t>
  </si>
  <si>
    <t>건조피부</t>
  </si>
  <si>
    <t>乾燥皮膚</t>
  </si>
  <si>
    <t>Download</t>
  </si>
  <si>
    <t>ダウンロード</t>
  </si>
  <si>
    <t>Télécharge</t>
  </si>
  <si>
    <t>다운로드</t>
  </si>
  <si>
    <t>下載</t>
  </si>
  <si>
    <t>Iron Fist</t>
  </si>
  <si>
    <t>てすのこぶし</t>
  </si>
  <si>
    <t>Poing de Fer</t>
  </si>
  <si>
    <t>Eisenfaust</t>
  </si>
  <si>
    <t>Puño Férreo</t>
  </si>
  <si>
    <t>Ferropungo</t>
  </si>
  <si>
    <t>철주먹</t>
  </si>
  <si>
    <t>鐵拳</t>
  </si>
  <si>
    <t>Poison Heal</t>
  </si>
  <si>
    <t>ポイズンヒール</t>
  </si>
  <si>
    <t>Soin Poison</t>
  </si>
  <si>
    <t>Aufheber</t>
  </si>
  <si>
    <t>Antídoto</t>
  </si>
  <si>
    <t>Velencura</t>
  </si>
  <si>
    <t>포이즌힐</t>
  </si>
  <si>
    <t>毒療</t>
  </si>
  <si>
    <t>Adaptability</t>
  </si>
  <si>
    <t>てきおうりょく</t>
  </si>
  <si>
    <t>Adaptabilité</t>
  </si>
  <si>
    <t>Anpassung</t>
  </si>
  <si>
    <t>Adaptable</t>
  </si>
  <si>
    <t>Adattabilità</t>
  </si>
  <si>
    <t>적응력</t>
  </si>
  <si>
    <t>適應力</t>
  </si>
  <si>
    <t>Skill Link</t>
  </si>
  <si>
    <t>スキルリンク</t>
  </si>
  <si>
    <t>Multi-Coups</t>
  </si>
  <si>
    <t>Wertelink</t>
  </si>
  <si>
    <t>Encadenado</t>
  </si>
  <si>
    <t>Abillegame</t>
  </si>
  <si>
    <t>스킬링크</t>
  </si>
  <si>
    <t>連續攻擊</t>
  </si>
  <si>
    <t>Hydration</t>
  </si>
  <si>
    <t>うるおいボディ</t>
  </si>
  <si>
    <t>Hydratation</t>
  </si>
  <si>
    <t>Hidratación</t>
  </si>
  <si>
    <t>Idratazione</t>
  </si>
  <si>
    <t>촉촉바디</t>
  </si>
  <si>
    <t>濕潤之軀</t>
  </si>
  <si>
    <t>Solar Power</t>
  </si>
  <si>
    <t>サンパワー</t>
  </si>
  <si>
    <t>Force Soleil</t>
  </si>
  <si>
    <t>Solarkraft</t>
  </si>
  <si>
    <t>Poder Solar</t>
  </si>
  <si>
    <t>Solarpotere</t>
  </si>
  <si>
    <t>선파워</t>
  </si>
  <si>
    <t>太陽之力</t>
  </si>
  <si>
    <t>Quick Feet</t>
  </si>
  <si>
    <t>はやあし</t>
  </si>
  <si>
    <t>Pied Véloce</t>
  </si>
  <si>
    <t>Pies Rápidos</t>
  </si>
  <si>
    <t>Piedisvelti</t>
  </si>
  <si>
    <t>속보</t>
  </si>
  <si>
    <t>飛毛腿</t>
  </si>
  <si>
    <t>Normalize</t>
  </si>
  <si>
    <t>ノーマルスキン</t>
  </si>
  <si>
    <t>Normalise</t>
  </si>
  <si>
    <t>Regulierung</t>
  </si>
  <si>
    <t>Normalidad</t>
  </si>
  <si>
    <t>Normalità</t>
  </si>
  <si>
    <t>노말스킨</t>
  </si>
  <si>
    <t>一般皮膚</t>
  </si>
  <si>
    <t>Sniper</t>
  </si>
  <si>
    <t>スナイパー</t>
  </si>
  <si>
    <t>Superschütze</t>
  </si>
  <si>
    <t>Francotirador</t>
  </si>
  <si>
    <t>Cecchino</t>
  </si>
  <si>
    <t>스나이퍼</t>
  </si>
  <si>
    <t>狙擊手</t>
  </si>
  <si>
    <t>Magic Guard</t>
  </si>
  <si>
    <t>マジックガード</t>
  </si>
  <si>
    <t>Garde Magik</t>
  </si>
  <si>
    <t>Magieschild</t>
  </si>
  <si>
    <t>Muro Mágico</t>
  </si>
  <si>
    <t>Magicscudo</t>
  </si>
  <si>
    <t>매직가드</t>
  </si>
  <si>
    <t>魔法防守</t>
  </si>
  <si>
    <t>No Guard</t>
  </si>
  <si>
    <t>ノーガード</t>
  </si>
  <si>
    <t>Annule Garde</t>
  </si>
  <si>
    <t>Schildlos</t>
  </si>
  <si>
    <t>Indefenso</t>
  </si>
  <si>
    <t>Nullodifesa</t>
  </si>
  <si>
    <t>노가드</t>
  </si>
  <si>
    <t>無防守</t>
  </si>
  <si>
    <t>Stall</t>
  </si>
  <si>
    <t>あとだし</t>
  </si>
  <si>
    <t>Frein</t>
  </si>
  <si>
    <t>Zeitspiel</t>
  </si>
  <si>
    <t>Rezagado</t>
  </si>
  <si>
    <t>Rallentatore</t>
  </si>
  <si>
    <t>시간벌기</t>
  </si>
  <si>
    <t>慢出</t>
  </si>
  <si>
    <t>Technician</t>
  </si>
  <si>
    <t>テクニシャン</t>
  </si>
  <si>
    <t>Technicien</t>
  </si>
  <si>
    <t>Techniker</t>
  </si>
  <si>
    <t>Experto</t>
  </si>
  <si>
    <t>Tecnico</t>
  </si>
  <si>
    <t>테크니션</t>
  </si>
  <si>
    <t>技術高手</t>
  </si>
  <si>
    <t>Leaf Guard</t>
  </si>
  <si>
    <t>リーフガード</t>
  </si>
  <si>
    <t>Feuille Garde</t>
  </si>
  <si>
    <t>Floraschild</t>
  </si>
  <si>
    <t>Defensa Hoja</t>
  </si>
  <si>
    <t>Fogliamanto</t>
  </si>
  <si>
    <t>리프가드</t>
  </si>
  <si>
    <t>葉子防守</t>
  </si>
  <si>
    <t>Klutz</t>
  </si>
  <si>
    <t>ぶきよう</t>
  </si>
  <si>
    <t>Maladresse</t>
  </si>
  <si>
    <t>Tollpatsch</t>
  </si>
  <si>
    <t>Zoquete</t>
  </si>
  <si>
    <t>Impaccio</t>
  </si>
  <si>
    <t>서투름</t>
  </si>
  <si>
    <t>笨拙</t>
  </si>
  <si>
    <t>Mold Breaker</t>
  </si>
  <si>
    <t>かたやぶり</t>
  </si>
  <si>
    <t>Brise Moule</t>
  </si>
  <si>
    <t>Überbrückung</t>
  </si>
  <si>
    <t>Rompemoldes</t>
  </si>
  <si>
    <t>Rompiforma</t>
  </si>
  <si>
    <t>틀깨기</t>
  </si>
  <si>
    <t>破格</t>
  </si>
  <si>
    <t>Super Luck</t>
  </si>
  <si>
    <t>きょううん</t>
  </si>
  <si>
    <t>Chanceux</t>
  </si>
  <si>
    <t>Glückspilz</t>
  </si>
  <si>
    <t>Afortunado</t>
  </si>
  <si>
    <t>Supersorte</t>
  </si>
  <si>
    <t>대운</t>
  </si>
  <si>
    <t>超幸運</t>
  </si>
  <si>
    <t>Aftermath</t>
  </si>
  <si>
    <t>ゆうばく</t>
  </si>
  <si>
    <t>Boom Final</t>
  </si>
  <si>
    <t>Finalschlag</t>
  </si>
  <si>
    <t>Detonación</t>
  </si>
  <si>
    <t>Scoppio</t>
  </si>
  <si>
    <t>유폭</t>
  </si>
  <si>
    <t>引爆</t>
  </si>
  <si>
    <t>Anticipation</t>
  </si>
  <si>
    <t>きけんよち</t>
  </si>
  <si>
    <t>Vorahnung</t>
  </si>
  <si>
    <t>Anticipación</t>
  </si>
  <si>
    <t>Presagio</t>
  </si>
  <si>
    <t>위험예지</t>
  </si>
  <si>
    <t>危險預知</t>
  </si>
  <si>
    <t>Forewarn</t>
  </si>
  <si>
    <t>よちむ</t>
  </si>
  <si>
    <t>Prédiction</t>
  </si>
  <si>
    <t>Vorwarnung</t>
  </si>
  <si>
    <t>Premonizione</t>
  </si>
  <si>
    <t>예지몽</t>
  </si>
  <si>
    <t>預知夢</t>
  </si>
  <si>
    <t>Unaware</t>
  </si>
  <si>
    <t>てんねん</t>
  </si>
  <si>
    <t>Inconscient</t>
  </si>
  <si>
    <t>Unkenntnis</t>
  </si>
  <si>
    <t>Ignorante</t>
  </si>
  <si>
    <t>Imprudenza</t>
  </si>
  <si>
    <t>천진</t>
  </si>
  <si>
    <t>純樸</t>
  </si>
  <si>
    <t>Tint Lens</t>
  </si>
  <si>
    <t>いろめがね</t>
  </si>
  <si>
    <t>Lentiteintée</t>
  </si>
  <si>
    <t>Cromolente</t>
  </si>
  <si>
    <t>색안경</t>
  </si>
  <si>
    <t>有色眼鏡</t>
  </si>
  <si>
    <t>Filter</t>
  </si>
  <si>
    <t>フィルター</t>
  </si>
  <si>
    <t>Filtre</t>
  </si>
  <si>
    <t>Filtro</t>
  </si>
  <si>
    <t>필터</t>
  </si>
  <si>
    <t>過濾</t>
  </si>
  <si>
    <t>Slow Start</t>
  </si>
  <si>
    <t>スロールスタート</t>
  </si>
  <si>
    <t>Début Calme</t>
  </si>
  <si>
    <t>Saumselig</t>
  </si>
  <si>
    <t>Inicio Lento</t>
  </si>
  <si>
    <t>Lentoinizio</t>
  </si>
  <si>
    <t>슬로스타트</t>
  </si>
  <si>
    <t>慢啟動</t>
  </si>
  <si>
    <t>Scrappy</t>
  </si>
  <si>
    <t>きもったま</t>
  </si>
  <si>
    <t>Querelleur</t>
  </si>
  <si>
    <t>Rauflust</t>
  </si>
  <si>
    <t>Intrépido</t>
  </si>
  <si>
    <t>Nervisaldi</t>
  </si>
  <si>
    <t>배짱</t>
  </si>
  <si>
    <t>膽量</t>
  </si>
  <si>
    <t>Storm Drain</t>
  </si>
  <si>
    <t>よびみず</t>
  </si>
  <si>
    <t>Lavabo</t>
  </si>
  <si>
    <t>Sturmsog</t>
  </si>
  <si>
    <t>Colector</t>
  </si>
  <si>
    <t>Acquascolo</t>
  </si>
  <si>
    <t>마중물</t>
  </si>
  <si>
    <t>引水</t>
  </si>
  <si>
    <t>Ice Body</t>
  </si>
  <si>
    <t>アイスボヂィ</t>
  </si>
  <si>
    <t>Corps Gel</t>
  </si>
  <si>
    <t>Eishaut</t>
  </si>
  <si>
    <t>Gélido</t>
  </si>
  <si>
    <t>Corpogelo</t>
  </si>
  <si>
    <t>아이스바디</t>
  </si>
  <si>
    <t>冰凍之軀</t>
  </si>
  <si>
    <t>Solid Rock</t>
  </si>
  <si>
    <t>ハードロック</t>
  </si>
  <si>
    <t>Solide Roc</t>
  </si>
  <si>
    <t>Felskern</t>
  </si>
  <si>
    <t>Roca Sólida</t>
  </si>
  <si>
    <t>Solidroccia</t>
  </si>
  <si>
    <t>하드록</t>
  </si>
  <si>
    <t>堅硬岩石</t>
  </si>
  <si>
    <t>Snow Warning</t>
  </si>
  <si>
    <t>ゆきふらし</t>
  </si>
  <si>
    <t>Alerte Neige</t>
  </si>
  <si>
    <t>Hagelalarm</t>
  </si>
  <si>
    <t>Nevada</t>
  </si>
  <si>
    <t>Scendineve</t>
  </si>
  <si>
    <t>눈퍼뜨리기</t>
  </si>
  <si>
    <t>降雪</t>
  </si>
  <si>
    <t>Honey Gather</t>
  </si>
  <si>
    <t>みつあつめ</t>
  </si>
  <si>
    <t>Cherche Miel</t>
  </si>
  <si>
    <t>Honigmaul</t>
  </si>
  <si>
    <t>Recogemiel</t>
  </si>
  <si>
    <t>Mielincetta</t>
  </si>
  <si>
    <t>꿀모으기</t>
  </si>
  <si>
    <t>採蜜</t>
  </si>
  <si>
    <t>Frisk</t>
  </si>
  <si>
    <t>おみとおし</t>
  </si>
  <si>
    <t>Fouille</t>
  </si>
  <si>
    <t>Cacheo</t>
  </si>
  <si>
    <t>Indagine</t>
  </si>
  <si>
    <t>통찰</t>
  </si>
  <si>
    <t>察覺</t>
  </si>
  <si>
    <t>Reckless</t>
  </si>
  <si>
    <t>すてみ</t>
  </si>
  <si>
    <t>Téméraire</t>
  </si>
  <si>
    <t>Atchlos</t>
  </si>
  <si>
    <t>Audaz</t>
  </si>
  <si>
    <t>Temerarietà</t>
  </si>
  <si>
    <t>이판사판</t>
  </si>
  <si>
    <t>捨身</t>
  </si>
  <si>
    <t>Multitype</t>
  </si>
  <si>
    <t>マルチタイプ</t>
  </si>
  <si>
    <t>Variabilität</t>
  </si>
  <si>
    <t>Multitipo</t>
  </si>
  <si>
    <t>멀티타입</t>
  </si>
  <si>
    <t>多屬性</t>
  </si>
  <si>
    <t>Flower Gift</t>
  </si>
  <si>
    <t>フラワーギフト</t>
  </si>
  <si>
    <t>Don Floral</t>
  </si>
  <si>
    <t>Pflanzengabe</t>
  </si>
  <si>
    <t>Regalfiore</t>
  </si>
  <si>
    <t>플라워기프트</t>
  </si>
  <si>
    <t>花之禮</t>
  </si>
  <si>
    <t>Bad Dreams</t>
  </si>
  <si>
    <t>ナイトメア</t>
  </si>
  <si>
    <t>Mauvais Rêve</t>
  </si>
  <si>
    <t>Alptraum</t>
  </si>
  <si>
    <t>Mal Sueño</t>
  </si>
  <si>
    <t>Sogniamari</t>
  </si>
  <si>
    <t>나이트메어</t>
  </si>
  <si>
    <t>夢魘</t>
  </si>
  <si>
    <t>Pickpocket</t>
  </si>
  <si>
    <t>わるいてぐせ</t>
  </si>
  <si>
    <t>Langfinger</t>
  </si>
  <si>
    <t>Hurto</t>
  </si>
  <si>
    <t>Arraffalesto</t>
  </si>
  <si>
    <t>나쁜손버릇</t>
  </si>
  <si>
    <t>順手牽羊</t>
  </si>
  <si>
    <t>Sheer Force</t>
  </si>
  <si>
    <t>ちからずく</t>
  </si>
  <si>
    <t>Sans Limite</t>
  </si>
  <si>
    <t>Rohe Gewalt</t>
  </si>
  <si>
    <t>Potencia Bruta</t>
  </si>
  <si>
    <t>Forzabruta</t>
  </si>
  <si>
    <t>우격다짐</t>
  </si>
  <si>
    <t>強行</t>
  </si>
  <si>
    <t>Contrary</t>
  </si>
  <si>
    <t>あまのじゃく</t>
  </si>
  <si>
    <t>Contestation</t>
  </si>
  <si>
    <t>Umkehrung</t>
  </si>
  <si>
    <t>Respondón</t>
  </si>
  <si>
    <t>심술꾸러기</t>
  </si>
  <si>
    <t>唱反調</t>
  </si>
  <si>
    <t>Unnerve</t>
  </si>
  <si>
    <t>きんちょうかん</t>
  </si>
  <si>
    <t>Tension</t>
  </si>
  <si>
    <t>Anspannung</t>
  </si>
  <si>
    <t>Nerviosismo</t>
  </si>
  <si>
    <t>Agitazione</t>
  </si>
  <si>
    <t>긴장감</t>
  </si>
  <si>
    <t>緊張感</t>
  </si>
  <si>
    <t>Defiant</t>
  </si>
  <si>
    <t>まけんき</t>
  </si>
  <si>
    <t>Acharné</t>
  </si>
  <si>
    <t>Seigeswille</t>
  </si>
  <si>
    <t>Competitivo</t>
  </si>
  <si>
    <t>Agonismo</t>
  </si>
  <si>
    <t>오기</t>
  </si>
  <si>
    <t>不服輸</t>
  </si>
  <si>
    <t>Defeatist</t>
  </si>
  <si>
    <t>よわき</t>
  </si>
  <si>
    <t>Défaitiste</t>
  </si>
  <si>
    <t>Schwächling</t>
  </si>
  <si>
    <t>Flaqueza</t>
  </si>
  <si>
    <t>Sconforto</t>
  </si>
  <si>
    <t>무기력</t>
  </si>
  <si>
    <t>軟弱</t>
  </si>
  <si>
    <t>Cursed Body</t>
  </si>
  <si>
    <t>のろわれボヂィ</t>
  </si>
  <si>
    <t>Corps Maudit</t>
  </si>
  <si>
    <t>Tastfluch</t>
  </si>
  <si>
    <t>Cuerpo Maldito</t>
  </si>
  <si>
    <t>Corpofunesto</t>
  </si>
  <si>
    <t>저주받은바디</t>
  </si>
  <si>
    <t>詛咒之軀</t>
  </si>
  <si>
    <t>Healer</t>
  </si>
  <si>
    <t>いやしのこころ</t>
  </si>
  <si>
    <t>Cœur Soin</t>
  </si>
  <si>
    <t>Heilherz</t>
  </si>
  <si>
    <t>Alma Cura</t>
  </si>
  <si>
    <t>Curacuore</t>
  </si>
  <si>
    <t>치유의마음</t>
  </si>
  <si>
    <t>治癒之心</t>
  </si>
  <si>
    <t>Friend Guard</t>
  </si>
  <si>
    <t>フレンドガード</t>
  </si>
  <si>
    <t>Garde Amie</t>
  </si>
  <si>
    <t>Freundeshut</t>
  </si>
  <si>
    <t>Compiescolta</t>
  </si>
  <si>
    <t>Amicoscudo</t>
  </si>
  <si>
    <t>프렌드가드</t>
  </si>
  <si>
    <t>友情防守</t>
  </si>
  <si>
    <t>Weak Armor</t>
  </si>
  <si>
    <t>くだけるよろい</t>
  </si>
  <si>
    <t>Armurouillée</t>
  </si>
  <si>
    <t>Bruchrüstung</t>
  </si>
  <si>
    <t>Armadura Frágil</t>
  </si>
  <si>
    <t>Sottilguscio</t>
  </si>
  <si>
    <t>깨어진갑옷</t>
  </si>
  <si>
    <t>碎裂鎧甲</t>
  </si>
  <si>
    <t>Heavy Metal</t>
  </si>
  <si>
    <t>ヘヴィメタル</t>
  </si>
  <si>
    <t>Schwermetall</t>
  </si>
  <si>
    <t>Metal Pesado</t>
  </si>
  <si>
    <t>Metalpesante</t>
  </si>
  <si>
    <t>헤비메탈</t>
  </si>
  <si>
    <t>輕金屬</t>
  </si>
  <si>
    <t>Light Metal</t>
  </si>
  <si>
    <t>ライトメタル</t>
  </si>
  <si>
    <t>Leichtmetall</t>
  </si>
  <si>
    <t>Metal Liviano</t>
  </si>
  <si>
    <t>Metalleggero</t>
  </si>
  <si>
    <t>라이트메탈</t>
  </si>
  <si>
    <t>Multiscale</t>
  </si>
  <si>
    <t>マルチスケイル</t>
  </si>
  <si>
    <t>Multiécaille</t>
  </si>
  <si>
    <t>Multischuppe</t>
  </si>
  <si>
    <t>Multiescamas</t>
  </si>
  <si>
    <t>Multisquame</t>
  </si>
  <si>
    <t>멀티스케일</t>
  </si>
  <si>
    <t>多重鱗片</t>
  </si>
  <si>
    <t>Toxic Boost</t>
  </si>
  <si>
    <t>どくぼうそう</t>
  </si>
  <si>
    <t>Rage Poison</t>
  </si>
  <si>
    <t>Giftwahn</t>
  </si>
  <si>
    <t>Ímpetu Tóxico</t>
  </si>
  <si>
    <t>Velenimpeto</t>
  </si>
  <si>
    <t>독폭주</t>
  </si>
  <si>
    <t>中毒激升</t>
  </si>
  <si>
    <t>Flare Boost</t>
  </si>
  <si>
    <t>ねつぼうそう</t>
  </si>
  <si>
    <t>Rage Brûlure</t>
  </si>
  <si>
    <t>Hitzewahn</t>
  </si>
  <si>
    <t>Ímpetu Ardiente</t>
  </si>
  <si>
    <t>Bruciaimpeto</t>
  </si>
  <si>
    <t>열폭주</t>
  </si>
  <si>
    <t>受熱激升</t>
  </si>
  <si>
    <t>Harvest</t>
  </si>
  <si>
    <t>しゅうかく</t>
  </si>
  <si>
    <t>Récolte</t>
  </si>
  <si>
    <t>Reiche Ernte</t>
  </si>
  <si>
    <t>Cosecha</t>
  </si>
  <si>
    <t>Coglibacche</t>
  </si>
  <si>
    <t>수확</t>
  </si>
  <si>
    <t>收穫</t>
  </si>
  <si>
    <t>Telepathy</t>
  </si>
  <si>
    <t>テリパシー</t>
  </si>
  <si>
    <t>Télépathie</t>
  </si>
  <si>
    <t>Telepathie</t>
  </si>
  <si>
    <t>Telepatía</t>
  </si>
  <si>
    <t>Telepatia</t>
  </si>
  <si>
    <t>텔레파시</t>
  </si>
  <si>
    <t>心靈感應</t>
  </si>
  <si>
    <t>Moody</t>
  </si>
  <si>
    <t>ムラっけ</t>
  </si>
  <si>
    <t>Lunatique</t>
  </si>
  <si>
    <t>Gefühlswippe</t>
  </si>
  <si>
    <t>Veleta</t>
  </si>
  <si>
    <t>Altalena</t>
  </si>
  <si>
    <t>변덕쟁이</t>
  </si>
  <si>
    <t>心情不定</t>
  </si>
  <si>
    <t>Overcoat</t>
  </si>
  <si>
    <t>ぼうじん</t>
  </si>
  <si>
    <t>Envelocape</t>
  </si>
  <si>
    <t>Wetterfest</t>
  </si>
  <si>
    <t>Funda</t>
  </si>
  <si>
    <t>Copricapo</t>
  </si>
  <si>
    <t>방진</t>
  </si>
  <si>
    <t>防塵</t>
  </si>
  <si>
    <t>Poison Touch</t>
  </si>
  <si>
    <t>どくしゅ</t>
  </si>
  <si>
    <t>Toxitouche</t>
  </si>
  <si>
    <t>Giftgriff</t>
  </si>
  <si>
    <t>Toque Tóxico</t>
  </si>
  <si>
    <t>Velentocco</t>
  </si>
  <si>
    <t>독수</t>
  </si>
  <si>
    <t>毒手</t>
  </si>
  <si>
    <t>Regenerator</t>
  </si>
  <si>
    <t>さいせいりょく</t>
  </si>
  <si>
    <t>Régé-Force</t>
  </si>
  <si>
    <t>Belebekraft</t>
  </si>
  <si>
    <t>Regeneración</t>
  </si>
  <si>
    <t>Rigenergia</t>
  </si>
  <si>
    <t>재생력</t>
  </si>
  <si>
    <t>再生力</t>
  </si>
  <si>
    <t>Big Pecks</t>
  </si>
  <si>
    <t>はとむね</t>
  </si>
  <si>
    <t>Cœur de Coq</t>
  </si>
  <si>
    <t>Brustbieter</t>
  </si>
  <si>
    <t>Sacapecho</t>
  </si>
  <si>
    <t>Pettinfuori</t>
  </si>
  <si>
    <t>부풀린가슴</t>
  </si>
  <si>
    <t>健壯胸肌</t>
  </si>
  <si>
    <t>Sand Rush</t>
  </si>
  <si>
    <t>すなかき</t>
  </si>
  <si>
    <t>Baigne Sable</t>
  </si>
  <si>
    <t>Sandscharrer</t>
  </si>
  <si>
    <t>Ímpetu Arena</t>
  </si>
  <si>
    <t>Remasabbia</t>
  </si>
  <si>
    <t>모래헤치기</t>
  </si>
  <si>
    <t>撥沙</t>
  </si>
  <si>
    <t>Wonder Skin</t>
  </si>
  <si>
    <t>ミラクルスキン</t>
  </si>
  <si>
    <t>Peau Miracle</t>
  </si>
  <si>
    <t>Wunderhaut</t>
  </si>
  <si>
    <t>Piel Milagro</t>
  </si>
  <si>
    <t>Splendicute</t>
  </si>
  <si>
    <t>미라클스킨</t>
  </si>
  <si>
    <t>奇跡皮膚</t>
  </si>
  <si>
    <t>Analytic</t>
  </si>
  <si>
    <t>アナライズ</t>
  </si>
  <si>
    <t>Analyste</t>
  </si>
  <si>
    <t>Analyse</t>
  </si>
  <si>
    <t>Cálculo Final</t>
  </si>
  <si>
    <t>Ponderazione</t>
  </si>
  <si>
    <t>애널라이즈</t>
  </si>
  <si>
    <t>分析</t>
  </si>
  <si>
    <t>Illusion</t>
  </si>
  <si>
    <t>イリューション</t>
  </si>
  <si>
    <t>Trugbild</t>
  </si>
  <si>
    <t>Ilusión</t>
  </si>
  <si>
    <t>일루전</t>
  </si>
  <si>
    <t>幻覺</t>
  </si>
  <si>
    <t>Imposter</t>
  </si>
  <si>
    <t>きわりもの</t>
  </si>
  <si>
    <t>Imposteur</t>
  </si>
  <si>
    <t>Doppelgänger</t>
  </si>
  <si>
    <t>Impostor</t>
  </si>
  <si>
    <t>Sosia</t>
  </si>
  <si>
    <t>괴짜</t>
  </si>
  <si>
    <t>變身者</t>
  </si>
  <si>
    <t>Infiltrator</t>
  </si>
  <si>
    <t>すりぬけ</t>
  </si>
  <si>
    <t>Infiltration</t>
  </si>
  <si>
    <t>Schwebedurch</t>
  </si>
  <si>
    <t>Allanamiento</t>
  </si>
  <si>
    <t>Intrapasso</t>
  </si>
  <si>
    <t>틈새포착</t>
  </si>
  <si>
    <t>穿透</t>
  </si>
  <si>
    <t>Mummy</t>
  </si>
  <si>
    <t>ミイラ</t>
  </si>
  <si>
    <t>Momie</t>
  </si>
  <si>
    <t>Mumie</t>
  </si>
  <si>
    <t>Momia</t>
  </si>
  <si>
    <t>Mummia</t>
  </si>
  <si>
    <t>미라</t>
  </si>
  <si>
    <t>木乃伊</t>
  </si>
  <si>
    <t>Moxie</t>
  </si>
  <si>
    <t>じしんかじょう</t>
  </si>
  <si>
    <t>Impudence</t>
  </si>
  <si>
    <t>Hochmut</t>
  </si>
  <si>
    <t>Autoestima</t>
  </si>
  <si>
    <t>Arroganza</t>
  </si>
  <si>
    <t>자기과신</t>
  </si>
  <si>
    <t>自信過度</t>
  </si>
  <si>
    <t>Justified</t>
  </si>
  <si>
    <t>せいぎのこころ</t>
  </si>
  <si>
    <t>Cœur Noble</t>
  </si>
  <si>
    <t>Redlichkeit</t>
  </si>
  <si>
    <t>Justiciero</t>
  </si>
  <si>
    <t>Giustizia</t>
  </si>
  <si>
    <t>정의의마음</t>
  </si>
  <si>
    <t>正義之心</t>
  </si>
  <si>
    <t>Rattled</t>
  </si>
  <si>
    <t>びびり</t>
  </si>
  <si>
    <t>Phobique</t>
  </si>
  <si>
    <t>Hasenfuß</t>
  </si>
  <si>
    <t>Cobardía</t>
  </si>
  <si>
    <t>Paura</t>
  </si>
  <si>
    <t>주눅</t>
  </si>
  <si>
    <t>膽怯</t>
  </si>
  <si>
    <t>Magic Bounce</t>
  </si>
  <si>
    <t>マジックミラー</t>
  </si>
  <si>
    <t>Miroir Magik</t>
  </si>
  <si>
    <t>Magiespiegel</t>
  </si>
  <si>
    <t>Espejo Mágico</t>
  </si>
  <si>
    <t>Magispecchio</t>
  </si>
  <si>
    <t>매직미러</t>
  </si>
  <si>
    <t>魔法鏡</t>
  </si>
  <si>
    <t>Sap Sipper</t>
  </si>
  <si>
    <t>そうしょく</t>
  </si>
  <si>
    <t>Herbivore</t>
  </si>
  <si>
    <t>Vegetarier</t>
  </si>
  <si>
    <t>Herbívoro</t>
  </si>
  <si>
    <t>Mangiaerba</t>
  </si>
  <si>
    <t>초식</t>
  </si>
  <si>
    <t>食草</t>
  </si>
  <si>
    <t>Prankster</t>
  </si>
  <si>
    <t>いたずらごころ</t>
  </si>
  <si>
    <t>Farceur</t>
  </si>
  <si>
    <t>Strolch</t>
  </si>
  <si>
    <t>Bromista</t>
  </si>
  <si>
    <t>Burla</t>
  </si>
  <si>
    <t>짓궂은마음</t>
  </si>
  <si>
    <t>惡作劇之心</t>
  </si>
  <si>
    <t>Sand Force</t>
  </si>
  <si>
    <t>すなのちから</t>
  </si>
  <si>
    <t>Force Sable</t>
  </si>
  <si>
    <t>Sandgewalt</t>
  </si>
  <si>
    <t>Poder Arena</t>
  </si>
  <si>
    <t>Silicoforza</t>
  </si>
  <si>
    <t>모래의힘</t>
  </si>
  <si>
    <t>沙之力</t>
  </si>
  <si>
    <t>Iron Barbs</t>
  </si>
  <si>
    <t>てつのトゲ</t>
  </si>
  <si>
    <t>Épines de Fer</t>
  </si>
  <si>
    <t>Eisenstachel</t>
  </si>
  <si>
    <t>Punta Acero</t>
  </si>
  <si>
    <t>Spineferrate</t>
  </si>
  <si>
    <t>철가시</t>
  </si>
  <si>
    <t>鐵刺</t>
  </si>
  <si>
    <t>Zen Mode</t>
  </si>
  <si>
    <t>ダルマモード</t>
  </si>
  <si>
    <t>Mode Transe</t>
  </si>
  <si>
    <t>Trance-Modus</t>
  </si>
  <si>
    <t>Modo Daruma</t>
  </si>
  <si>
    <t>Stato Zen</t>
  </si>
  <si>
    <t>달마모드</t>
  </si>
  <si>
    <t>達摩模式</t>
  </si>
  <si>
    <t>Victory Star</t>
  </si>
  <si>
    <t>しょうりのほし</t>
  </si>
  <si>
    <t>Victorieux</t>
  </si>
  <si>
    <t>Triumphstern</t>
  </si>
  <si>
    <t>Tinovictoria</t>
  </si>
  <si>
    <t>Vittorstella</t>
  </si>
  <si>
    <t>승리의별</t>
  </si>
  <si>
    <t>勝利之星</t>
  </si>
  <si>
    <t>Turboblaze</t>
  </si>
  <si>
    <t>ターボブレイズ</t>
  </si>
  <si>
    <t>Turbobrasier</t>
  </si>
  <si>
    <t>Turbobrand</t>
  </si>
  <si>
    <t>Turbollama</t>
  </si>
  <si>
    <t>Piroturbina</t>
  </si>
  <si>
    <t>터보블레이즈</t>
  </si>
  <si>
    <t>渦輪火焰</t>
  </si>
  <si>
    <t>Teravolt</t>
  </si>
  <si>
    <t>テラボルテージ</t>
  </si>
  <si>
    <t>Téra-Voltage</t>
  </si>
  <si>
    <t>Terravoltaje</t>
  </si>
  <si>
    <t>테라볼티지</t>
  </si>
  <si>
    <t>兆級電壓</t>
  </si>
  <si>
    <t>Aroma Veil</t>
  </si>
  <si>
    <t>アロマベール</t>
  </si>
  <si>
    <t>Aroma-Voile</t>
  </si>
  <si>
    <t>Dufthülle</t>
  </si>
  <si>
    <t>Velo Aroma</t>
  </si>
  <si>
    <t>Aromavelo</t>
  </si>
  <si>
    <t>아로마베일</t>
  </si>
  <si>
    <t>芳香幕</t>
  </si>
  <si>
    <t>Flower Veil</t>
  </si>
  <si>
    <t>フラワーベール</t>
  </si>
  <si>
    <t>Flora-Voile</t>
  </si>
  <si>
    <t>Blütenhülle</t>
  </si>
  <si>
    <t>Velo Flor</t>
  </si>
  <si>
    <t>Fiorvelo</t>
  </si>
  <si>
    <t>플라워베일</t>
  </si>
  <si>
    <t>花幕</t>
  </si>
  <si>
    <t>Cheek Pouch</t>
  </si>
  <si>
    <t>ほおぶくろ</t>
  </si>
  <si>
    <t>Bajoues</t>
  </si>
  <si>
    <t>Backentaschen</t>
  </si>
  <si>
    <t>Carrillo</t>
  </si>
  <si>
    <t>Guancegonfie</t>
  </si>
  <si>
    <t>볼주머니</t>
  </si>
  <si>
    <t>頰囊</t>
  </si>
  <si>
    <t>Protean</t>
  </si>
  <si>
    <t>へんげんじざい</t>
  </si>
  <si>
    <t>Protéen</t>
  </si>
  <si>
    <t>Wandlungskunst</t>
  </si>
  <si>
    <t>Mutatipo</t>
  </si>
  <si>
    <t>변환자재</t>
  </si>
  <si>
    <t>變幻自如</t>
  </si>
  <si>
    <t>Fur Coat</t>
  </si>
  <si>
    <t>ファーコート</t>
  </si>
  <si>
    <t>Toison Épaisse</t>
  </si>
  <si>
    <t>Fellkleid</t>
  </si>
  <si>
    <t>Pelaje Recio</t>
  </si>
  <si>
    <t>Foltopelo</t>
  </si>
  <si>
    <t>퍼코트</t>
  </si>
  <si>
    <t>毛皮大衣</t>
  </si>
  <si>
    <t>Magician</t>
  </si>
  <si>
    <t>マジシャン</t>
  </si>
  <si>
    <t>Magicien</t>
  </si>
  <si>
    <t>Zauberer</t>
  </si>
  <si>
    <t>Prestidigitador</t>
  </si>
  <si>
    <t>Prestigiatore</t>
  </si>
  <si>
    <t>매지션</t>
  </si>
  <si>
    <t>魔術師</t>
  </si>
  <si>
    <t>Bulletproof</t>
  </si>
  <si>
    <t>ぼうだん</t>
  </si>
  <si>
    <t>Pare-Balles</t>
  </si>
  <si>
    <t>Kugelsicher</t>
  </si>
  <si>
    <t>Antibalas</t>
  </si>
  <si>
    <t>Antiproiettile</t>
  </si>
  <si>
    <t>방탄</t>
  </si>
  <si>
    <t>防彈</t>
  </si>
  <si>
    <t>Competitive</t>
  </si>
  <si>
    <t>かちき</t>
  </si>
  <si>
    <t>Battant</t>
  </si>
  <si>
    <t>Unbeugsamkeit</t>
  </si>
  <si>
    <t>Tenacidad</t>
  </si>
  <si>
    <t>Tenacia</t>
  </si>
  <si>
    <t>승기</t>
  </si>
  <si>
    <t>好勝</t>
  </si>
  <si>
    <t>Strong Jaw</t>
  </si>
  <si>
    <t>がんじょうあご</t>
  </si>
  <si>
    <t>Prognathe</t>
  </si>
  <si>
    <t>Titankiefer</t>
  </si>
  <si>
    <t>Mandíbula Fuerte</t>
  </si>
  <si>
    <t>Ferromascella</t>
  </si>
  <si>
    <t>옹골찬턱</t>
  </si>
  <si>
    <t>強壯之顎</t>
  </si>
  <si>
    <t>Refrigerate</t>
  </si>
  <si>
    <t>フリーズスキン</t>
  </si>
  <si>
    <t>Peau Gelée</t>
  </si>
  <si>
    <t>Frostschicht</t>
  </si>
  <si>
    <t>Piel Helada</t>
  </si>
  <si>
    <t>Pellegelo</t>
  </si>
  <si>
    <t>프리즈스킨</t>
  </si>
  <si>
    <t>冰凍皮膚</t>
  </si>
  <si>
    <t>Sweet Veil</t>
  </si>
  <si>
    <t>スイートベール</t>
  </si>
  <si>
    <t>Gluco-Voile</t>
  </si>
  <si>
    <t>Zuckerhülle</t>
  </si>
  <si>
    <t>Velo Dulce</t>
  </si>
  <si>
    <t>Dolcevelo</t>
  </si>
  <si>
    <t>스위트베일</t>
  </si>
  <si>
    <t>甜幕</t>
  </si>
  <si>
    <t>Stance Change</t>
  </si>
  <si>
    <t>バトルスイッチ</t>
  </si>
  <si>
    <t>Déclic Tactique</t>
  </si>
  <si>
    <t>Taktikwechsel</t>
  </si>
  <si>
    <t>Cambio Táctico</t>
  </si>
  <si>
    <t>Accendilotta</t>
  </si>
  <si>
    <t>배틀스위치</t>
  </si>
  <si>
    <t>戰鬥切換</t>
  </si>
  <si>
    <t>Gale Wings</t>
  </si>
  <si>
    <t>はやてのつばさ</t>
  </si>
  <si>
    <t>Ailes Bourrasque</t>
  </si>
  <si>
    <t>Orkanschwingen</t>
  </si>
  <si>
    <t>Alas Vendaval</t>
  </si>
  <si>
    <t>Aliraffica</t>
  </si>
  <si>
    <t>질풍날개</t>
  </si>
  <si>
    <t>疾風之翼</t>
  </si>
  <si>
    <t>Mega Launcher</t>
  </si>
  <si>
    <t>メガランチャー</t>
  </si>
  <si>
    <t>Méga Blaster</t>
  </si>
  <si>
    <t>Megawumme</t>
  </si>
  <si>
    <t>Megadisparador</t>
  </si>
  <si>
    <t>Megalancio</t>
  </si>
  <si>
    <t>메가런처</t>
  </si>
  <si>
    <t>超級發射器</t>
  </si>
  <si>
    <t>Grass Pelt</t>
  </si>
  <si>
    <t>くさのけがわ</t>
  </si>
  <si>
    <t>Toison Herbe</t>
  </si>
  <si>
    <t>Pflanzenpelz</t>
  </si>
  <si>
    <t>Manto Frondoso</t>
  </si>
  <si>
    <t>Peloderba</t>
  </si>
  <si>
    <t>풀모피</t>
  </si>
  <si>
    <t>草之毛皮</t>
  </si>
  <si>
    <t>Symbiosis</t>
  </si>
  <si>
    <t>きょせい</t>
  </si>
  <si>
    <t>Nutznießer</t>
  </si>
  <si>
    <t>Simbiosis</t>
  </si>
  <si>
    <t>Simbiosi</t>
  </si>
  <si>
    <t>공생</t>
  </si>
  <si>
    <t>共生</t>
  </si>
  <si>
    <t>Tough Claws</t>
  </si>
  <si>
    <t>かたいツメ</t>
  </si>
  <si>
    <t>Griffe Dure</t>
  </si>
  <si>
    <t>Krallenwucht</t>
  </si>
  <si>
    <t>Garra Dura</t>
  </si>
  <si>
    <t>Unghiedure</t>
  </si>
  <si>
    <t>단단한 발톱</t>
  </si>
  <si>
    <t>硬爪</t>
  </si>
  <si>
    <t>Pixilate</t>
  </si>
  <si>
    <t>フェアリースキン</t>
  </si>
  <si>
    <t>Peau Féérique</t>
  </si>
  <si>
    <t>Feenschicht</t>
  </si>
  <si>
    <t>Piel Feérica</t>
  </si>
  <si>
    <t>Pellefolletto</t>
  </si>
  <si>
    <t>페어리스킨</t>
  </si>
  <si>
    <t>妖精皮膚</t>
  </si>
  <si>
    <t>Gooey</t>
  </si>
  <si>
    <t>ぬめぬめ</t>
  </si>
  <si>
    <t>Poisseux</t>
  </si>
  <si>
    <t>Viskosität</t>
  </si>
  <si>
    <t>Baba</t>
  </si>
  <si>
    <t>Viscosità</t>
  </si>
  <si>
    <t>미끈미끈</t>
  </si>
  <si>
    <t>黏滑</t>
  </si>
  <si>
    <t>Aerilate</t>
  </si>
  <si>
    <t>スカイスキン</t>
  </si>
  <si>
    <t>Peau Céleste</t>
  </si>
  <si>
    <t>Zenithaut</t>
  </si>
  <si>
    <t>Piel Celeste</t>
  </si>
  <si>
    <t>Pellecielo</t>
  </si>
  <si>
    <t>스카이스킨</t>
  </si>
  <si>
    <t>飛行皮膚</t>
  </si>
  <si>
    <t>Parental Bond</t>
  </si>
  <si>
    <t>おやこあい</t>
  </si>
  <si>
    <t>Amour Filial</t>
  </si>
  <si>
    <t>Familienbande</t>
  </si>
  <si>
    <t>Amor Filial</t>
  </si>
  <si>
    <t>Amorefiliale</t>
  </si>
  <si>
    <t>부자유친</t>
  </si>
  <si>
    <t>親子愛</t>
  </si>
  <si>
    <t>Dark Aura</t>
  </si>
  <si>
    <t>ダークオーラ</t>
  </si>
  <si>
    <t>Aura Ténébreuse</t>
  </si>
  <si>
    <t>Dankelaura</t>
  </si>
  <si>
    <t>Aura Oscura</t>
  </si>
  <si>
    <t>Auratetra</t>
  </si>
  <si>
    <t>다크오라</t>
  </si>
  <si>
    <t>暗黑氣場</t>
  </si>
  <si>
    <t>Fairy Aura</t>
  </si>
  <si>
    <t>フェアリーオーラ</t>
  </si>
  <si>
    <t>Aura Féérique</t>
  </si>
  <si>
    <t>Feenaura</t>
  </si>
  <si>
    <t>Aura Feérica</t>
  </si>
  <si>
    <t>Aurafolletto</t>
  </si>
  <si>
    <t>페어리오라</t>
  </si>
  <si>
    <t>妖精氣場</t>
  </si>
  <si>
    <t>Aura Break</t>
  </si>
  <si>
    <t>オーラブレイク</t>
  </si>
  <si>
    <t>Aura Inversé</t>
  </si>
  <si>
    <t>Aura-Umkehr</t>
  </si>
  <si>
    <t>Rompeaura</t>
  </si>
  <si>
    <t>Frangiaura</t>
  </si>
  <si>
    <t>오라브레이크</t>
  </si>
  <si>
    <t>氣場破壞</t>
  </si>
  <si>
    <t>Primordial Sea</t>
  </si>
  <si>
    <t>はじまりのうみ</t>
  </si>
  <si>
    <t>Mer Primaire</t>
  </si>
  <si>
    <t>Urmeer</t>
  </si>
  <si>
    <t>Mar del Albor</t>
  </si>
  <si>
    <t>Mare Primordiale</t>
  </si>
  <si>
    <t>시작의바다</t>
  </si>
  <si>
    <t>始源之海</t>
  </si>
  <si>
    <t>Desolate Land</t>
  </si>
  <si>
    <t>おわりのだいち</t>
  </si>
  <si>
    <t>Terre Finale</t>
  </si>
  <si>
    <t>Endland</t>
  </si>
  <si>
    <t>Tierra del Ocaso</t>
  </si>
  <si>
    <t>Terra Estrema</t>
  </si>
  <si>
    <t>끝의대지</t>
  </si>
  <si>
    <t>終結之地</t>
  </si>
  <si>
    <t>Delta Stream</t>
  </si>
  <si>
    <t>デルタストリーム</t>
  </si>
  <si>
    <t>Souffle Delta</t>
  </si>
  <si>
    <t>Delta-Wind</t>
  </si>
  <si>
    <t>Ráfaga Delta</t>
  </si>
  <si>
    <t>Flusso Delta</t>
  </si>
  <si>
    <t>델타스트림</t>
  </si>
  <si>
    <t>德爾塔氣流</t>
  </si>
  <si>
    <t>Stamina</t>
  </si>
  <si>
    <t>じきゅうりょく</t>
  </si>
  <si>
    <t>Zähigkeit</t>
  </si>
  <si>
    <t>Firmeza</t>
  </si>
  <si>
    <t>Sopportazione</t>
  </si>
  <si>
    <t>지구력</t>
  </si>
  <si>
    <t>持久力</t>
  </si>
  <si>
    <t>Wimp Out</t>
  </si>
  <si>
    <t>にげごし</t>
  </si>
  <si>
    <t>Escampette</t>
  </si>
  <si>
    <t>Reißaus</t>
  </si>
  <si>
    <t>Huida</t>
  </si>
  <si>
    <t>Fuggifuggi</t>
  </si>
  <si>
    <t>도망태세</t>
  </si>
  <si>
    <t>躍躍欲逃</t>
  </si>
  <si>
    <t>Emergency Exit</t>
  </si>
  <si>
    <t>ききかいひ</t>
  </si>
  <si>
    <t>Repli Tactique</t>
  </si>
  <si>
    <t>Rückzug</t>
  </si>
  <si>
    <t>Retirada</t>
  </si>
  <si>
    <t>Passoindietro</t>
  </si>
  <si>
    <t>위기회피</t>
  </si>
  <si>
    <t>危險迴避</t>
  </si>
  <si>
    <t>Water Compaction</t>
  </si>
  <si>
    <t>みずがため</t>
  </si>
  <si>
    <t>Sable Humide</t>
  </si>
  <si>
    <t>Verklumpen</t>
  </si>
  <si>
    <t>Hidrorrefuerzo</t>
  </si>
  <si>
    <t>Idrorinforzo</t>
  </si>
  <si>
    <t>꾸덕꾸덕굳기</t>
  </si>
  <si>
    <t>遇水凝固</t>
  </si>
  <si>
    <t>Merciless</t>
  </si>
  <si>
    <t>ひとでなし</t>
  </si>
  <si>
    <t>Cruauté</t>
  </si>
  <si>
    <t>Quälerei</t>
  </si>
  <si>
    <t>Ensañamiento</t>
  </si>
  <si>
    <t>Spietatezza</t>
  </si>
  <si>
    <t>무도한행동</t>
  </si>
  <si>
    <t>不仁不義</t>
  </si>
  <si>
    <t>Shields Down</t>
  </si>
  <si>
    <t>リミットシールド</t>
  </si>
  <si>
    <t>Bouclier-Canon</t>
  </si>
  <si>
    <t>Limitschild</t>
  </si>
  <si>
    <t>Escudo Limitado</t>
  </si>
  <si>
    <t>Scudosogila</t>
  </si>
  <si>
    <t>리밋실드</t>
  </si>
  <si>
    <t>界限盾殼</t>
  </si>
  <si>
    <t>Stakeout</t>
  </si>
  <si>
    <t>はりこみ</t>
  </si>
  <si>
    <t>Filature</t>
  </si>
  <si>
    <t>Beschattung</t>
  </si>
  <si>
    <t>Vigilante</t>
  </si>
  <si>
    <t>Sorveglianza</t>
  </si>
  <si>
    <t>참복</t>
  </si>
  <si>
    <t>監視</t>
  </si>
  <si>
    <t>蹲守</t>
  </si>
  <si>
    <t>Water Bubble</t>
  </si>
  <si>
    <t>すいほう</t>
  </si>
  <si>
    <t>Aquabulle</t>
  </si>
  <si>
    <t>Wasserblase</t>
  </si>
  <si>
    <t>Pompa</t>
  </si>
  <si>
    <t>Bolladacqua</t>
  </si>
  <si>
    <t>수포</t>
  </si>
  <si>
    <t>水泡</t>
  </si>
  <si>
    <t>Steelworker</t>
  </si>
  <si>
    <t>はがねつかい</t>
  </si>
  <si>
    <t>Expert Acier</t>
  </si>
  <si>
    <t>Stahlprofi</t>
  </si>
  <si>
    <t>Acero Templado</t>
  </si>
  <si>
    <t>Tempracciaio</t>
  </si>
  <si>
    <t>강철술사</t>
  </si>
  <si>
    <t>鋼能力者</t>
  </si>
  <si>
    <t>Berserk</t>
  </si>
  <si>
    <t>ぎゃくじょう</t>
  </si>
  <si>
    <t>Dracolère</t>
  </si>
  <si>
    <t>Wutausbruch</t>
  </si>
  <si>
    <t>Cólera</t>
  </si>
  <si>
    <t>Furore</t>
  </si>
  <si>
    <t>발끈</t>
  </si>
  <si>
    <t>怒火沖天</t>
  </si>
  <si>
    <t>Slush Rush</t>
  </si>
  <si>
    <t>ゆきかき</t>
  </si>
  <si>
    <t>Chasse-Neige</t>
  </si>
  <si>
    <t>Schneescharrer</t>
  </si>
  <si>
    <t>Quitanieves</t>
  </si>
  <si>
    <t>Spalaneve</t>
  </si>
  <si>
    <t>눈치우기</t>
  </si>
  <si>
    <t>撥雪</t>
  </si>
  <si>
    <t>Long Reach</t>
  </si>
  <si>
    <t>えんかく</t>
  </si>
  <si>
    <t>Longue Portée</t>
  </si>
  <si>
    <t>Langstrecke</t>
  </si>
  <si>
    <t>Remoto</t>
  </si>
  <si>
    <t>Distacco</t>
  </si>
  <si>
    <t>원격</t>
  </si>
  <si>
    <t>遠隔</t>
  </si>
  <si>
    <t>Liquid Voice</t>
  </si>
  <si>
    <t>うるおいボイス</t>
  </si>
  <si>
    <t>Hydrata-Soin</t>
  </si>
  <si>
    <t>Plätscherstimme</t>
  </si>
  <si>
    <t>Voz Fluida</t>
  </si>
  <si>
    <t>Idrovoce</t>
  </si>
  <si>
    <t>촉촉보이스</t>
  </si>
  <si>
    <t>濕潤之聲</t>
  </si>
  <si>
    <t>Triage</t>
  </si>
  <si>
    <t>ヒーリングシフト</t>
  </si>
  <si>
    <t>Prioguérison</t>
  </si>
  <si>
    <t>Heilwandel</t>
  </si>
  <si>
    <t>Primer Auxilio</t>
  </si>
  <si>
    <t>Primacura</t>
  </si>
  <si>
    <t>힐링시프트</t>
  </si>
  <si>
    <t>先行治療</t>
  </si>
  <si>
    <t>Galvanize</t>
  </si>
  <si>
    <t>エレキスキン</t>
  </si>
  <si>
    <t>Peau Électrique</t>
  </si>
  <si>
    <t>Elektrohaut</t>
  </si>
  <si>
    <t>Piel Eléctrica</t>
  </si>
  <si>
    <t>Pellelettro</t>
  </si>
  <si>
    <t>일렉트릭스킨</t>
  </si>
  <si>
    <t>電氣皮膚</t>
  </si>
  <si>
    <t>Surge Surfer</t>
  </si>
  <si>
    <t>サーフテール</t>
  </si>
  <si>
    <t>Surf Caudal</t>
  </si>
  <si>
    <t>Surf-Schweif</t>
  </si>
  <si>
    <t>Cola Surf</t>
  </si>
  <si>
    <t>Codasurf</t>
  </si>
  <si>
    <t>서핑테일</t>
  </si>
  <si>
    <t>衝浪之尾</t>
  </si>
  <si>
    <t>Schooling</t>
  </si>
  <si>
    <t>ぎょぐん</t>
  </si>
  <si>
    <t>Banc</t>
  </si>
  <si>
    <t>Fischschwarm</t>
  </si>
  <si>
    <t>Banco</t>
  </si>
  <si>
    <t>어군</t>
  </si>
  <si>
    <t>魚群</t>
  </si>
  <si>
    <t>Disguise</t>
  </si>
  <si>
    <t>ばけのかわ</t>
  </si>
  <si>
    <t>Fantômasque</t>
  </si>
  <si>
    <t>Kostümspuk</t>
  </si>
  <si>
    <t>Disfraz</t>
  </si>
  <si>
    <t>Fantasmanto</t>
  </si>
  <si>
    <t>탈</t>
  </si>
  <si>
    <t>畫皮</t>
  </si>
  <si>
    <t>Battle Bond</t>
  </si>
  <si>
    <t>きずなへんげ</t>
  </si>
  <si>
    <t>Synergie</t>
  </si>
  <si>
    <t>Freundschaftsakt</t>
  </si>
  <si>
    <t>Fuerte Afecto</t>
  </si>
  <si>
    <t>Morfosintonia</t>
  </si>
  <si>
    <t>유대변화</t>
  </si>
  <si>
    <t>牽絆變身</t>
  </si>
  <si>
    <t>Power Construct</t>
  </si>
  <si>
    <t>スワームチェンジ</t>
  </si>
  <si>
    <t>Rassemblement</t>
  </si>
  <si>
    <t>Scharwandel</t>
  </si>
  <si>
    <t>Agrupamiento</t>
  </si>
  <si>
    <t>Sciamefusione</t>
  </si>
  <si>
    <t>스웜체인지</t>
  </si>
  <si>
    <t>群聚變形</t>
  </si>
  <si>
    <t>Corrosion</t>
  </si>
  <si>
    <t>ふしょく</t>
  </si>
  <si>
    <t>Korrosion</t>
  </si>
  <si>
    <t>Corrosión</t>
  </si>
  <si>
    <t>부식</t>
  </si>
  <si>
    <t>腐蝕</t>
  </si>
  <si>
    <t>Comatose</t>
  </si>
  <si>
    <t>ぜったいねむり</t>
  </si>
  <si>
    <t>Hypersommeil</t>
  </si>
  <si>
    <t>Dauerschlaf</t>
  </si>
  <si>
    <t>Letargo Perenne</t>
  </si>
  <si>
    <t>Sonno Assoluto</t>
  </si>
  <si>
    <t>절대안깸</t>
  </si>
  <si>
    <t>絕對睡眠</t>
  </si>
  <si>
    <t>Queenly Majesty</t>
  </si>
  <si>
    <t>じょおうのいげん</t>
  </si>
  <si>
    <t>Prestance Royale</t>
  </si>
  <si>
    <t>Majestät</t>
  </si>
  <si>
    <t>Regia Presencia</t>
  </si>
  <si>
    <t>Regalità</t>
  </si>
  <si>
    <t>여왕의위엄</t>
  </si>
  <si>
    <t>女王的威嚴</t>
  </si>
  <si>
    <t>Innards Out</t>
  </si>
  <si>
    <t>とびだすなかみ</t>
  </si>
  <si>
    <t>Expuls'Organes</t>
  </si>
  <si>
    <t>Magenkrempler</t>
  </si>
  <si>
    <t>Revés</t>
  </si>
  <si>
    <t>Espellinterno</t>
  </si>
  <si>
    <t>내용물분출</t>
  </si>
  <si>
    <t>飛出的內在物</t>
  </si>
  <si>
    <t>Dancer</t>
  </si>
  <si>
    <t>おどりこ</t>
  </si>
  <si>
    <t>Danseuse</t>
  </si>
  <si>
    <t>Tänzer</t>
  </si>
  <si>
    <t>Pareja de Baile</t>
  </si>
  <si>
    <t>Sincrodanza</t>
  </si>
  <si>
    <t>무희</t>
  </si>
  <si>
    <t>舞者</t>
  </si>
  <si>
    <t>Battery</t>
  </si>
  <si>
    <t>バッテリー</t>
  </si>
  <si>
    <t>Batterie</t>
  </si>
  <si>
    <t>Batería</t>
  </si>
  <si>
    <t>배터리</t>
  </si>
  <si>
    <t>蓄電池</t>
  </si>
  <si>
    <t>Fluffy</t>
  </si>
  <si>
    <t>もふもふ</t>
  </si>
  <si>
    <t>Boule de Poils</t>
  </si>
  <si>
    <t>Flauschigkeit</t>
  </si>
  <si>
    <t>Peluche</t>
  </si>
  <si>
    <t>Morbidone</t>
  </si>
  <si>
    <t>복슬복슬</t>
  </si>
  <si>
    <t>毛茸茸</t>
  </si>
  <si>
    <t>Dazzling</t>
  </si>
  <si>
    <t>ビビッドボヂィ</t>
  </si>
  <si>
    <t>Corps Coloré</t>
  </si>
  <si>
    <t>Buntkörper</t>
  </si>
  <si>
    <t>Cuerpo Vívido</t>
  </si>
  <si>
    <t>Corposgargiante</t>
  </si>
  <si>
    <t>비비드바디</t>
  </si>
  <si>
    <t>鮮艷之軀</t>
  </si>
  <si>
    <t>Soul-Heart</t>
  </si>
  <si>
    <t>ソウルハート</t>
  </si>
  <si>
    <t>Animacœur</t>
  </si>
  <si>
    <t>Seelenherz</t>
  </si>
  <si>
    <t>Coránima</t>
  </si>
  <si>
    <t>Cuoreanima</t>
  </si>
  <si>
    <t>소울하트</t>
  </si>
  <si>
    <t>魂心</t>
  </si>
  <si>
    <t>Tangling Hair</t>
  </si>
  <si>
    <t>カーリーヘアー</t>
  </si>
  <si>
    <t>Mèche Rebelle</t>
  </si>
  <si>
    <t>Lockenkopf</t>
  </si>
  <si>
    <t>Rizos Rebeldes</t>
  </si>
  <si>
    <t>Boccolidoro</t>
  </si>
  <si>
    <t>컬리헤어</t>
  </si>
  <si>
    <t>捲髮</t>
  </si>
  <si>
    <t>Receiver</t>
  </si>
  <si>
    <t>リシーバー</t>
  </si>
  <si>
    <t>Receveur</t>
  </si>
  <si>
    <t>Receptor</t>
  </si>
  <si>
    <t>Ricezione</t>
  </si>
  <si>
    <t>리시버</t>
  </si>
  <si>
    <t>接球手</t>
  </si>
  <si>
    <t>Power of Alchemy</t>
  </si>
  <si>
    <t>かがくのちから</t>
  </si>
  <si>
    <t>Osmose</t>
  </si>
  <si>
    <t>Chemiekraft</t>
  </si>
  <si>
    <t>Reacción Química</t>
  </si>
  <si>
    <t>Forza Chimica</t>
  </si>
  <si>
    <t>과학의힘</t>
  </si>
  <si>
    <t>化學之力</t>
  </si>
  <si>
    <t>Beast Boost</t>
  </si>
  <si>
    <t>ビーストブースト</t>
  </si>
  <si>
    <t>Boost Chimère</t>
  </si>
  <si>
    <t>Bestien-Boost</t>
  </si>
  <si>
    <t>Ultraimpulso</t>
  </si>
  <si>
    <t>Ultraboost</t>
  </si>
  <si>
    <t>비스트부스트</t>
  </si>
  <si>
    <t>異獸提升</t>
  </si>
  <si>
    <t>RKS System</t>
  </si>
  <si>
    <t>ＡＲシステム</t>
  </si>
  <si>
    <t>Système Alpha</t>
  </si>
  <si>
    <t>Alpha-System</t>
  </si>
  <si>
    <t>Sistema Alfa</t>
  </si>
  <si>
    <t>Sistema Primevo</t>
  </si>
  <si>
    <t>ＡＲ시스템</t>
  </si>
  <si>
    <t>ＡＲ系統</t>
  </si>
  <si>
    <t>Electric Surge</t>
  </si>
  <si>
    <t>エレキメイカー</t>
  </si>
  <si>
    <t>Créa-Élec</t>
  </si>
  <si>
    <t>Elektro-Erzeuger</t>
  </si>
  <si>
    <t>Electrogénesis</t>
  </si>
  <si>
    <t>Elettrogenesi</t>
  </si>
  <si>
    <t>일렉트릭메이커</t>
  </si>
  <si>
    <t>電氣製造者</t>
  </si>
  <si>
    <t>Psychic Surge</t>
  </si>
  <si>
    <t>サイコメイカー</t>
  </si>
  <si>
    <t>Créa-Psy</t>
  </si>
  <si>
    <t>Psycho-Erzeuger</t>
  </si>
  <si>
    <t>Psicogénesis</t>
  </si>
  <si>
    <t>Psicogenesi</t>
  </si>
  <si>
    <t>사이코메이커</t>
  </si>
  <si>
    <t>精神製造者</t>
  </si>
  <si>
    <t>Misty Surge</t>
  </si>
  <si>
    <t>ミストメイカー</t>
  </si>
  <si>
    <t>Créa-Brume</t>
  </si>
  <si>
    <t>Nebel-Erzeuger</t>
  </si>
  <si>
    <t>Nebulogénesis</t>
  </si>
  <si>
    <t>Nebbiogenesi</t>
  </si>
  <si>
    <t>미스트메이커</t>
  </si>
  <si>
    <t>Grassy Surge</t>
  </si>
  <si>
    <t>グラスメイカー</t>
  </si>
  <si>
    <t>Créa-Herbe</t>
  </si>
  <si>
    <t>Gras-Erzeuger</t>
  </si>
  <si>
    <t>Herbogénesis</t>
  </si>
  <si>
    <t>Erbogenesi</t>
  </si>
  <si>
    <t>그래스메이커</t>
  </si>
  <si>
    <t>青草製造者</t>
  </si>
  <si>
    <t>Full Metal Body</t>
  </si>
  <si>
    <t>メタルプロテクト</t>
  </si>
  <si>
    <t>Métallo-Garde</t>
  </si>
  <si>
    <t>Metallprotektor</t>
  </si>
  <si>
    <t>Guardia Metálica</t>
  </si>
  <si>
    <t>Metalprotezione</t>
  </si>
  <si>
    <t>메탈프로텍트</t>
  </si>
  <si>
    <t>金屬防護</t>
  </si>
  <si>
    <t>Shadow Shield</t>
  </si>
  <si>
    <t>ファントムガード</t>
  </si>
  <si>
    <t>Spectro-Bouclier</t>
  </si>
  <si>
    <t>Phantomschutz</t>
  </si>
  <si>
    <t>Guardia Espectro</t>
  </si>
  <si>
    <t>Spettroguardia</t>
  </si>
  <si>
    <t>스펙터가드</t>
  </si>
  <si>
    <t>幻影防守</t>
  </si>
  <si>
    <t>Prism Armor</t>
  </si>
  <si>
    <t>プリスムアーマー</t>
  </si>
  <si>
    <t>Prisme-Armure</t>
  </si>
  <si>
    <t>Prismarüstung</t>
  </si>
  <si>
    <t>Armadura Prisma</t>
  </si>
  <si>
    <t>Scudoprisma</t>
  </si>
  <si>
    <t>프리즘아머</t>
  </si>
  <si>
    <t>稜鏡裝甲</t>
  </si>
  <si>
    <t>Neuroforce</t>
  </si>
  <si>
    <t>ブレインフォース</t>
  </si>
  <si>
    <t>Cérébro-Force</t>
  </si>
  <si>
    <t>Zerebralmacht</t>
  </si>
  <si>
    <t>Fuerza Cerebral</t>
  </si>
  <si>
    <t>Cerebroforza</t>
  </si>
  <si>
    <t>브레인포스</t>
  </si>
  <si>
    <t>腦核之力</t>
  </si>
  <si>
    <t>Intrepid Sword</t>
  </si>
  <si>
    <t>ふとうのけん</t>
  </si>
  <si>
    <t>Lame Indomptable</t>
  </si>
  <si>
    <t>Kühnes Schwert</t>
  </si>
  <si>
    <t>Espada Indómita</t>
  </si>
  <si>
    <t>Spada Indomita</t>
  </si>
  <si>
    <t>불요의검</t>
  </si>
  <si>
    <t>不撓之劍</t>
  </si>
  <si>
    <t>Dauntless Shield</t>
  </si>
  <si>
    <t>ふくつのたて</t>
  </si>
  <si>
    <t>Égide Inflexible</t>
  </si>
  <si>
    <t>Wackerer Schild</t>
  </si>
  <si>
    <t>Escudo Recio</t>
  </si>
  <si>
    <t>Scudo Saldo</t>
  </si>
  <si>
    <t>불굴의방패</t>
  </si>
  <si>
    <t>不屈之盾</t>
  </si>
  <si>
    <t>Libero</t>
  </si>
  <si>
    <t>リバロ</t>
  </si>
  <si>
    <t>Libéro</t>
  </si>
  <si>
    <t>리베로</t>
  </si>
  <si>
    <t>自由者</t>
  </si>
  <si>
    <t>Ball Fetch</t>
  </si>
  <si>
    <t>たまひろい</t>
  </si>
  <si>
    <t>Ramasse Ball</t>
  </si>
  <si>
    <t>Apport</t>
  </si>
  <si>
    <t>Recogebolas</t>
  </si>
  <si>
    <t>Raccattapalle</t>
  </si>
  <si>
    <t>볼줍기</t>
  </si>
  <si>
    <t>撿球</t>
  </si>
  <si>
    <t>Cotton Down</t>
  </si>
  <si>
    <t>Effilochage</t>
  </si>
  <si>
    <t>Wollflaum</t>
  </si>
  <si>
    <t>Pelusa</t>
  </si>
  <si>
    <t>Lanugine</t>
  </si>
  <si>
    <t>棉絮</t>
  </si>
  <si>
    <t>Propeller Tail</t>
  </si>
  <si>
    <t>スクリューおびれ</t>
  </si>
  <si>
    <t>Propulseur</t>
  </si>
  <si>
    <t>Schraubflosse</t>
  </si>
  <si>
    <t>Hélice Caudal</t>
  </si>
  <si>
    <t>Elicopinna</t>
  </si>
  <si>
    <t>스크루지느러미</t>
  </si>
  <si>
    <t>螺旋尾鰭</t>
  </si>
  <si>
    <t>Mirror Armor</t>
  </si>
  <si>
    <t>ミラーアーマー</t>
  </si>
  <si>
    <t>Armure Miroir</t>
  </si>
  <si>
    <t>Spiegelrüstung</t>
  </si>
  <si>
    <t>Coraza Reflejo</t>
  </si>
  <si>
    <t>Blindospecchio</t>
  </si>
  <si>
    <t>미러아머</t>
  </si>
  <si>
    <t>鏡甲</t>
  </si>
  <si>
    <t>Gulp Missile</t>
  </si>
  <si>
    <t>うのミサイル</t>
  </si>
  <si>
    <t>Dégobage</t>
  </si>
  <si>
    <t>Würggeschoss</t>
  </si>
  <si>
    <t>Tragamisil</t>
  </si>
  <si>
    <t>Inghiottimissile</t>
  </si>
  <si>
    <t>그대로꿀꺽미사일</t>
  </si>
  <si>
    <t>一口飛彈</t>
  </si>
  <si>
    <t>Stalwart</t>
  </si>
  <si>
    <t>すじがねいり</t>
  </si>
  <si>
    <t>Nerfs d'Acier</t>
  </si>
  <si>
    <t>Stahlrückgrat</t>
  </si>
  <si>
    <t>Acérrimo</t>
  </si>
  <si>
    <t>Volontà di Ferro</t>
  </si>
  <si>
    <t>굳건한신념</t>
  </si>
  <si>
    <t>堅毅</t>
  </si>
  <si>
    <t>Steam Engine</t>
  </si>
  <si>
    <t>じょうききかん</t>
  </si>
  <si>
    <t>Dampfantrieb</t>
  </si>
  <si>
    <t>Combustible</t>
  </si>
  <si>
    <t>Vapormacchina</t>
  </si>
  <si>
    <t>증기기관</t>
  </si>
  <si>
    <t>蒸汽機</t>
  </si>
  <si>
    <t>Punk Rock</t>
  </si>
  <si>
    <t>パンクロック</t>
  </si>
  <si>
    <t>펑크록</t>
  </si>
  <si>
    <t>龐克搖滾</t>
  </si>
  <si>
    <t>Sand Spit</t>
  </si>
  <si>
    <t>すたはき</t>
  </si>
  <si>
    <t>Expul'Sable</t>
  </si>
  <si>
    <t>Sandspeier</t>
  </si>
  <si>
    <t>Expulsarena</t>
  </si>
  <si>
    <t>Sputasabbia</t>
  </si>
  <si>
    <t>모래뿜기</t>
  </si>
  <si>
    <t>吐沙</t>
  </si>
  <si>
    <t>Ice Scales</t>
  </si>
  <si>
    <t>こおりのりんぷん</t>
  </si>
  <si>
    <t>Écailles Glacées</t>
  </si>
  <si>
    <t>Eisflügelstaub</t>
  </si>
  <si>
    <t>Escama de Hielo</t>
  </si>
  <si>
    <t>Geloscaglie</t>
  </si>
  <si>
    <t>얼음인분</t>
  </si>
  <si>
    <t>冰鱗粉</t>
  </si>
  <si>
    <t>Ripen</t>
  </si>
  <si>
    <t>じゅくせい</t>
  </si>
  <si>
    <t>Mûrissement</t>
  </si>
  <si>
    <t>Heranreifen</t>
  </si>
  <si>
    <t>Maduración</t>
  </si>
  <si>
    <t>Maturazione</t>
  </si>
  <si>
    <t>숙성</t>
  </si>
  <si>
    <t>熟成</t>
  </si>
  <si>
    <t>Ice Face</t>
  </si>
  <si>
    <t>アイスフェイス</t>
  </si>
  <si>
    <t>Tête de Gel</t>
  </si>
  <si>
    <t>Tiefkühlkopf</t>
  </si>
  <si>
    <t>Cara de Hielo</t>
  </si>
  <si>
    <t>Gelofaccia</t>
  </si>
  <si>
    <t>아이스페이스</t>
  </si>
  <si>
    <t>結凍頭</t>
  </si>
  <si>
    <t>Power Spot</t>
  </si>
  <si>
    <t>パワースポット</t>
  </si>
  <si>
    <t>Cercle d'Énergie</t>
  </si>
  <si>
    <t>Kraftquelle</t>
  </si>
  <si>
    <t>Fuente Energía</t>
  </si>
  <si>
    <t>Fonte Energetica</t>
  </si>
  <si>
    <t>파워스폿</t>
  </si>
  <si>
    <t>能量點</t>
  </si>
  <si>
    <t>Mimicry</t>
  </si>
  <si>
    <t>ぎたい</t>
  </si>
  <si>
    <t>Mimétisme</t>
  </si>
  <si>
    <t>Mimese</t>
  </si>
  <si>
    <t>Mimetismo</t>
  </si>
  <si>
    <t>의태</t>
  </si>
  <si>
    <t>擬態</t>
  </si>
  <si>
    <t>Screen Cleaner</t>
  </si>
  <si>
    <t>バリアフリー</t>
  </si>
  <si>
    <t>Brise-Barrière</t>
  </si>
  <si>
    <t>Hemmungslos</t>
  </si>
  <si>
    <t>Antibarrera</t>
  </si>
  <si>
    <t>Annullabarriere</t>
  </si>
  <si>
    <t>배리어프리</t>
  </si>
  <si>
    <t>除障</t>
  </si>
  <si>
    <t>Steely Spirit</t>
  </si>
  <si>
    <t>はがねのせいしん</t>
  </si>
  <si>
    <t>Boost Acier</t>
  </si>
  <si>
    <t>Stählerner Wille</t>
  </si>
  <si>
    <t>Alma Acerada</t>
  </si>
  <si>
    <t>Spiritoferreo</t>
  </si>
  <si>
    <t>강철정신</t>
  </si>
  <si>
    <t>鋼之意志</t>
  </si>
  <si>
    <t>Perish Body</t>
  </si>
  <si>
    <t>ほろびのボヂィ</t>
  </si>
  <si>
    <t>Corps Condamné</t>
  </si>
  <si>
    <t>Unheilskörper</t>
  </si>
  <si>
    <t>Cuerpo Mortal</t>
  </si>
  <si>
    <t>Ultimotocco</t>
  </si>
  <si>
    <t>멸망의바디</t>
  </si>
  <si>
    <t>滅亡之軀</t>
  </si>
  <si>
    <t>Wandering Spirit</t>
  </si>
  <si>
    <t>さまようたましい</t>
  </si>
  <si>
    <t>Âme Vagabonde</t>
  </si>
  <si>
    <t>Rastlose Seele</t>
  </si>
  <si>
    <t>Alma Errante</t>
  </si>
  <si>
    <t>Anima Errante</t>
  </si>
  <si>
    <t>떠도는영혼</t>
  </si>
  <si>
    <t>遊魂</t>
  </si>
  <si>
    <t>Gorilla Tactics</t>
  </si>
  <si>
    <t>ごりむちゅう</t>
  </si>
  <si>
    <t>Entêtement</t>
  </si>
  <si>
    <t>Affenfokus</t>
  </si>
  <si>
    <t>Monotema</t>
  </si>
  <si>
    <t>Vigorilla</t>
  </si>
  <si>
    <t>무아지경</t>
  </si>
  <si>
    <t>一猩一意</t>
  </si>
  <si>
    <t>Neutralizing Gas</t>
  </si>
  <si>
    <t>かがくへんかガス</t>
  </si>
  <si>
    <t>Gas Inhibiteur</t>
  </si>
  <si>
    <t>Reaktionsgas</t>
  </si>
  <si>
    <t>Gas Reactivo</t>
  </si>
  <si>
    <t>Gas Reagente</t>
  </si>
  <si>
    <t>화학변화가스</t>
  </si>
  <si>
    <t>化學變化氣體</t>
  </si>
  <si>
    <t>Pastel Veil</t>
  </si>
  <si>
    <t>パステルベール</t>
  </si>
  <si>
    <t>Voile Pastel</t>
  </si>
  <si>
    <t>Pastellhülle</t>
  </si>
  <si>
    <t>Velo Pastel</t>
  </si>
  <si>
    <t>Pastelvelo</t>
  </si>
  <si>
    <t>파스텔베일</t>
  </si>
  <si>
    <t>粉彩護幕</t>
  </si>
  <si>
    <t>Hunder Switch</t>
  </si>
  <si>
    <t>スイッチ</t>
  </si>
  <si>
    <t>Déclic Fringale</t>
  </si>
  <si>
    <t>Heißhunger</t>
  </si>
  <si>
    <t>Mutapetito</t>
  </si>
  <si>
    <t>Pancialterna</t>
  </si>
  <si>
    <t>꼬르륵스위치</t>
  </si>
  <si>
    <t>飽了又餓</t>
  </si>
  <si>
    <t>Quick Draw</t>
  </si>
  <si>
    <t>クリックドロウ</t>
  </si>
  <si>
    <t>Tir Vif</t>
  </si>
  <si>
    <t>Schnellschuss</t>
  </si>
  <si>
    <t>Mano Rápida</t>
  </si>
  <si>
    <t>Colpolesto</t>
  </si>
  <si>
    <t>퀵드로</t>
  </si>
  <si>
    <t>速擊</t>
  </si>
  <si>
    <t>Unseen Fist</t>
  </si>
  <si>
    <t>ふかしのこぶし</t>
  </si>
  <si>
    <t>Poing Invisible</t>
  </si>
  <si>
    <t>Verborgene Faust</t>
  </si>
  <si>
    <t>Puño Invisible</t>
  </si>
  <si>
    <t>Pugni Invisibili</t>
  </si>
  <si>
    <t>보이지않는주먹</t>
  </si>
  <si>
    <t>無形拳</t>
  </si>
  <si>
    <t>Curious Medicine</t>
  </si>
  <si>
    <t>きみょうのくすり</t>
  </si>
  <si>
    <t>Breuvage Suspect</t>
  </si>
  <si>
    <t>Kuriose Arznei</t>
  </si>
  <si>
    <t>Medicina Extraña</t>
  </si>
  <si>
    <t>Stranofarmaco</t>
  </si>
  <si>
    <t>기묘한약</t>
  </si>
  <si>
    <t>怪藥</t>
  </si>
  <si>
    <t>Transistor</t>
  </si>
  <si>
    <t>トトランシスト</t>
  </si>
  <si>
    <t>트랜지스터</t>
  </si>
  <si>
    <t>電晶體</t>
  </si>
  <si>
    <t>Dragon's Maw</t>
  </si>
  <si>
    <t>りゅうのあぎと</t>
  </si>
  <si>
    <t>Dent de Dragon</t>
  </si>
  <si>
    <t>Drachenkiefer</t>
  </si>
  <si>
    <t>Mandíbula Dragón</t>
  </si>
  <si>
    <t>Dragomascelle</t>
  </si>
  <si>
    <t>용의턱</t>
  </si>
  <si>
    <t>龍顎</t>
  </si>
  <si>
    <t>Chilling Neigh</t>
  </si>
  <si>
    <t>しろのいななき</t>
  </si>
  <si>
    <t>Blanche Ruade</t>
  </si>
  <si>
    <t>Helles Wiehern</t>
  </si>
  <si>
    <t>Relincho Blanco</t>
  </si>
  <si>
    <t>Nitrito Blanco</t>
  </si>
  <si>
    <t>백의울음</t>
  </si>
  <si>
    <t>蒼白嘶鳴</t>
  </si>
  <si>
    <t>Grim Neigh</t>
  </si>
  <si>
    <t>くろのいななき</t>
  </si>
  <si>
    <t>Sombre Ruade</t>
  </si>
  <si>
    <t>Dunkles Wiehern</t>
  </si>
  <si>
    <t>Relincho Negro</t>
  </si>
  <si>
    <t>Nitrito Nero</t>
  </si>
  <si>
    <t>흑의울음</t>
  </si>
  <si>
    <t>漆黑嘶鳴</t>
  </si>
  <si>
    <t>As One</t>
  </si>
  <si>
    <t>じんばいったい</t>
  </si>
  <si>
    <t>Osmose Équine</t>
  </si>
  <si>
    <t>Reitgespann</t>
  </si>
  <si>
    <t>Unidad Ecuestre</t>
  </si>
  <si>
    <t>Sintonia Equina</t>
  </si>
  <si>
    <t>혼연일체</t>
  </si>
  <si>
    <t>人馬一體</t>
  </si>
  <si>
    <t>Lingering Aroma</t>
  </si>
  <si>
    <t>とれないにおい</t>
  </si>
  <si>
    <t>Odeur Tenace</t>
  </si>
  <si>
    <t>Duftschwade</t>
  </si>
  <si>
    <t>Olor Persistente</t>
  </si>
  <si>
    <t>Odore Tenace</t>
  </si>
  <si>
    <t>가시지않는향기</t>
  </si>
  <si>
    <t>甩不掉的气味</t>
  </si>
  <si>
    <t>Seed Sower</t>
  </si>
  <si>
    <t>こぼれダネ</t>
  </si>
  <si>
    <t>Semencier</t>
  </si>
  <si>
    <t>Streusaat</t>
  </si>
  <si>
    <t>Disemillar</t>
  </si>
  <si>
    <t>Spargisemi</t>
  </si>
  <si>
    <t>넘치는씨</t>
  </si>
  <si>
    <t>掉出种子</t>
  </si>
  <si>
    <t>Thermal Exchange</t>
  </si>
  <si>
    <t>ねつこうかん</t>
  </si>
  <si>
    <t>Thermodynamique</t>
  </si>
  <si>
    <t>Thermowandel</t>
  </si>
  <si>
    <t>Termoconversión</t>
  </si>
  <si>
    <t>Termoscambio</t>
  </si>
  <si>
    <t>열교환</t>
  </si>
  <si>
    <t>热交换</t>
  </si>
  <si>
    <t>Anger Shell</t>
  </si>
  <si>
    <t>いかりのこうら</t>
  </si>
  <si>
    <t>Courroupace</t>
  </si>
  <si>
    <t>Wutpanzer</t>
  </si>
  <si>
    <t>Coraza Ira</t>
  </si>
  <si>
    <t>Iraguscio</t>
  </si>
  <si>
    <t>분노의껍질</t>
  </si>
  <si>
    <t>愤怒甲壳</t>
  </si>
  <si>
    <t>Purifying Salt</t>
  </si>
  <si>
    <t>きよめのしお</t>
  </si>
  <si>
    <t>Sel Purificateur</t>
  </si>
  <si>
    <t>Läutersalz</t>
  </si>
  <si>
    <t>Sal Purificadora</t>
  </si>
  <si>
    <t>Sale Purificante</t>
  </si>
  <si>
    <t>정화의소금</t>
  </si>
  <si>
    <t>洁净之盐</t>
  </si>
  <si>
    <t>Well-Baked Body</t>
  </si>
  <si>
    <t>こんがりボディ</t>
  </si>
  <si>
    <t>Bien Cuit</t>
  </si>
  <si>
    <t>Knusperkruste</t>
  </si>
  <si>
    <t>Cuerpo Horneado</t>
  </si>
  <si>
    <t>Bentostato</t>
  </si>
  <si>
    <t>노릇노릇바디</t>
  </si>
  <si>
    <t>焦香之躯</t>
  </si>
  <si>
    <t>Wind Rider</t>
  </si>
  <si>
    <t>かぜのり</t>
  </si>
  <si>
    <t>Aéroporté</t>
  </si>
  <si>
    <t>Windreiter</t>
  </si>
  <si>
    <t>Surcavientos</t>
  </si>
  <si>
    <t>Vento Propizio</t>
  </si>
  <si>
    <t>바람타기</t>
  </si>
  <si>
    <t>乘风</t>
  </si>
  <si>
    <t>Guard Dog</t>
  </si>
  <si>
    <t>ばんけん</t>
  </si>
  <si>
    <t>Chien de Garde</t>
  </si>
  <si>
    <t>Wachhund</t>
  </si>
  <si>
    <t>Perro Guardián</t>
  </si>
  <si>
    <t>Cane da Guardia</t>
  </si>
  <si>
    <t>파수견</t>
  </si>
  <si>
    <t>看门犬</t>
  </si>
  <si>
    <t>Rocky Payload</t>
  </si>
  <si>
    <t>いわはこび</t>
  </si>
  <si>
    <t>Porte-Roche</t>
  </si>
  <si>
    <t>Steinträger</t>
  </si>
  <si>
    <t>Transportarrocas</t>
  </si>
  <si>
    <t>Portamassi</t>
  </si>
  <si>
    <t>바위나르기</t>
  </si>
  <si>
    <t>搬岩</t>
  </si>
  <si>
    <t>Wind Power</t>
  </si>
  <si>
    <t>ふうりょくでんき</t>
  </si>
  <si>
    <t>Turbine Éolienne</t>
  </si>
  <si>
    <t>Windkraft</t>
  </si>
  <si>
    <t>Energía Eólica</t>
  </si>
  <si>
    <t>Energia Eolica</t>
  </si>
  <si>
    <t>풍력발전</t>
  </si>
  <si>
    <t>风力发电</t>
  </si>
  <si>
    <t>Zero to Hero</t>
  </si>
  <si>
    <t>マイティチェンジ</t>
  </si>
  <si>
    <t>Supermutation</t>
  </si>
  <si>
    <t>Superwechsel</t>
  </si>
  <si>
    <t>Cambio Heroico</t>
  </si>
  <si>
    <t>Supercambio</t>
  </si>
  <si>
    <t>마이티체인지</t>
  </si>
  <si>
    <t>全能变身</t>
  </si>
  <si>
    <t>Commander</t>
  </si>
  <si>
    <t>しれいとう</t>
  </si>
  <si>
    <t>Commandant</t>
  </si>
  <si>
    <t>Kommandant</t>
  </si>
  <si>
    <t>Comandar</t>
  </si>
  <si>
    <t>Torre di Comando</t>
  </si>
  <si>
    <t>사령탑</t>
  </si>
  <si>
    <t>发号施令</t>
  </si>
  <si>
    <t>Electromorphosis</t>
  </si>
  <si>
    <t>でんきにかえる</t>
  </si>
  <si>
    <t>Grecharge</t>
  </si>
  <si>
    <t>Dynamo</t>
  </si>
  <si>
    <t>Dinamo</t>
  </si>
  <si>
    <t>Convertivolt</t>
  </si>
  <si>
    <t>전기로바꾸기</t>
  </si>
  <si>
    <t>电力转换</t>
  </si>
  <si>
    <t>Protosynthesis</t>
  </si>
  <si>
    <t>こだいかっさい</t>
  </si>
  <si>
    <t>Paléosynthèse</t>
  </si>
  <si>
    <t>Paläosynthese</t>
  </si>
  <si>
    <t>Paleosíntesis</t>
  </si>
  <si>
    <t>Paleoattivazione</t>
  </si>
  <si>
    <t>고대활성</t>
  </si>
  <si>
    <t>古代活性</t>
  </si>
  <si>
    <t>Quark Drive</t>
  </si>
  <si>
    <t>クォークチャージ</t>
  </si>
  <si>
    <t>Charge Quantique</t>
  </si>
  <si>
    <t>Quantenantrieb</t>
  </si>
  <si>
    <t>Carga Cuark</t>
  </si>
  <si>
    <t>Carica Quark</t>
  </si>
  <si>
    <t>쿼크차지</t>
  </si>
  <si>
    <t>夸克充能</t>
  </si>
  <si>
    <t>Good as Gold</t>
  </si>
  <si>
    <t>おうごんのからだ</t>
  </si>
  <si>
    <t>Corps en Or</t>
  </si>
  <si>
    <t>Goldkörper</t>
  </si>
  <si>
    <t>Cuerpo Áureo</t>
  </si>
  <si>
    <t>Corpo Aureo</t>
  </si>
  <si>
    <t>황금몸</t>
  </si>
  <si>
    <t>黄金之躯</t>
  </si>
  <si>
    <t>Vessel of Ruin</t>
  </si>
  <si>
    <t>わざわいのうつわ</t>
  </si>
  <si>
    <t>Urne du Fléau</t>
  </si>
  <si>
    <t>Unheilsgefäß</t>
  </si>
  <si>
    <t>Caldero Debacle</t>
  </si>
  <si>
    <t>Vaso Nefasto</t>
  </si>
  <si>
    <t>재앙의그릇</t>
  </si>
  <si>
    <t>灾祸之鼎</t>
  </si>
  <si>
    <t>Sword of Ruin</t>
  </si>
  <si>
    <t>わざわいのつるぎ</t>
  </si>
  <si>
    <t>Épée du Fléau</t>
  </si>
  <si>
    <t>Unheilsschwert</t>
  </si>
  <si>
    <t>Espada Debacle</t>
  </si>
  <si>
    <t>Spada Nefasto</t>
  </si>
  <si>
    <t>재앙의검</t>
  </si>
  <si>
    <t>灾祸之剑</t>
  </si>
  <si>
    <t>Tablets of Ruin</t>
  </si>
  <si>
    <t>わざわいのおふだ</t>
  </si>
  <si>
    <t>Bois du Fléau</t>
  </si>
  <si>
    <t>Unheilstafeln</t>
  </si>
  <si>
    <t>Tablilla Debacle</t>
  </si>
  <si>
    <t>Amuleto Nefasto</t>
  </si>
  <si>
    <t>재앙의목간</t>
  </si>
  <si>
    <t>灾祸之简</t>
  </si>
  <si>
    <t>Beads of Ruin</t>
  </si>
  <si>
    <t>わざわいのたま</t>
  </si>
  <si>
    <t>Perles du Fléau</t>
  </si>
  <si>
    <t>Unheilsjuwelen</t>
  </si>
  <si>
    <t>Abalorio Debacle</t>
  </si>
  <si>
    <t>Monile Nefasto</t>
  </si>
  <si>
    <t>재앙의구슬</t>
  </si>
  <si>
    <t>灾祸之玉</t>
  </si>
  <si>
    <t>Orichalcum Pulse</t>
  </si>
  <si>
    <t>ひひいろのこどう</t>
  </si>
  <si>
    <t>Pouls Orichalque</t>
  </si>
  <si>
    <t>Orichalkum-Puls</t>
  </si>
  <si>
    <t>Latido Oricalco</t>
  </si>
  <si>
    <t>Ritmo d'Oricalco</t>
  </si>
  <si>
    <t>진홍빛고동</t>
  </si>
  <si>
    <t>绯红脉动</t>
  </si>
  <si>
    <t>Hadron Engine</t>
  </si>
  <si>
    <t>ハドロンエンジン</t>
  </si>
  <si>
    <t>Moteur à Hadrons</t>
  </si>
  <si>
    <t>Hadronen-Motor</t>
  </si>
  <si>
    <t>Motor Hadrónico</t>
  </si>
  <si>
    <t>Motore Adronico</t>
  </si>
  <si>
    <t>하드론엔진</t>
  </si>
  <si>
    <t>强子引擎</t>
  </si>
  <si>
    <t>Opportunist</t>
  </si>
  <si>
    <t>びんじょう</t>
  </si>
  <si>
    <t>Profiteur</t>
  </si>
  <si>
    <t>Oportunista</t>
  </si>
  <si>
    <t>Scrocco</t>
  </si>
  <si>
    <t>편승</t>
  </si>
  <si>
    <t>跟风</t>
  </si>
  <si>
    <t>Cud Chew</t>
  </si>
  <si>
    <t>はんすう</t>
  </si>
  <si>
    <t>Ruminant</t>
  </si>
  <si>
    <t>Wiederkäuer</t>
  </si>
  <si>
    <t>Rumia</t>
  </si>
  <si>
    <t>되새김질</t>
  </si>
  <si>
    <t>反刍</t>
  </si>
  <si>
    <t>Sharpness</t>
  </si>
  <si>
    <t>きれあじ</t>
  </si>
  <si>
    <t>Incisif</t>
  </si>
  <si>
    <t>Scharfkantig</t>
  </si>
  <si>
    <t>Cortante</t>
  </si>
  <si>
    <t>Affilama</t>
  </si>
  <si>
    <t>예리함</t>
  </si>
  <si>
    <t>锋锐</t>
  </si>
  <si>
    <t>Supreme Overlord</t>
  </si>
  <si>
    <t>そうたいしょう</t>
  </si>
  <si>
    <t>Général Suprême</t>
  </si>
  <si>
    <t>Feldherr</t>
  </si>
  <si>
    <t>General Supremo</t>
  </si>
  <si>
    <t>Generale Supremo</t>
  </si>
  <si>
    <t>총대장</t>
  </si>
  <si>
    <t>大将</t>
  </si>
  <si>
    <t>Costar</t>
  </si>
  <si>
    <t>きょうえん</t>
  </si>
  <si>
    <t>Collab</t>
  </si>
  <si>
    <t>Synchronauftritt</t>
  </si>
  <si>
    <t>Unísono</t>
  </si>
  <si>
    <t>Coprotagonismo</t>
  </si>
  <si>
    <t>협연</t>
  </si>
  <si>
    <t>同台共演</t>
  </si>
  <si>
    <t>Toxic Debris</t>
  </si>
  <si>
    <t>どくげしょう</t>
  </si>
  <si>
    <t>Dépôt Toxique</t>
  </si>
  <si>
    <t>Giftbelag</t>
  </si>
  <si>
    <t>Capa Tóxica</t>
  </si>
  <si>
    <t>Mantossina</t>
  </si>
  <si>
    <t>독치장</t>
  </si>
  <si>
    <t>毒满地</t>
  </si>
  <si>
    <t>Armor Tail</t>
  </si>
  <si>
    <t>テイルアーマー</t>
  </si>
  <si>
    <t>Armure Caudale</t>
  </si>
  <si>
    <t>Schweifrüstung</t>
  </si>
  <si>
    <t>Cola Armadura</t>
  </si>
  <si>
    <t>Codarmatura</t>
  </si>
  <si>
    <t>테일아머</t>
  </si>
  <si>
    <t>尾甲</t>
  </si>
  <si>
    <t>Earth Eater</t>
  </si>
  <si>
    <t>どしょく</t>
  </si>
  <si>
    <t>Absorbe-Terre</t>
  </si>
  <si>
    <t>Bodenschmaus</t>
  </si>
  <si>
    <t>Geofagia</t>
  </si>
  <si>
    <t>Mangiaterra</t>
  </si>
  <si>
    <t>흙먹기</t>
  </si>
  <si>
    <t>食土</t>
  </si>
  <si>
    <t>Mycelium Might</t>
  </si>
  <si>
    <t>きんしのちから</t>
  </si>
  <si>
    <t>Force Fongique</t>
  </si>
  <si>
    <t>Myzelienkraft</t>
  </si>
  <si>
    <t>Poder Fúngico</t>
  </si>
  <si>
    <t>Micoforza</t>
  </si>
  <si>
    <t>균사의힘</t>
  </si>
  <si>
    <t>菌丝之力</t>
  </si>
  <si>
    <t>Hospitality</t>
  </si>
  <si>
    <t>おもてなし</t>
  </si>
  <si>
    <t>Aux Petis Soins</t>
  </si>
  <si>
    <t>Gastlichkei</t>
  </si>
  <si>
    <t>Hoapitalidad</t>
  </si>
  <si>
    <t>Ospitalità</t>
  </si>
  <si>
    <t>대접</t>
  </si>
  <si>
    <t>款待</t>
  </si>
  <si>
    <t>Mind's Eye</t>
  </si>
  <si>
    <t>しんがん</t>
  </si>
  <si>
    <t>Œil Révélateur</t>
  </si>
  <si>
    <t>Geistiges Auge</t>
  </si>
  <si>
    <t>Ojo Mental</t>
  </si>
  <si>
    <t>Occhio Interiore</t>
  </si>
  <si>
    <t>심안</t>
  </si>
  <si>
    <t>心眼</t>
  </si>
  <si>
    <t>Embody Aspect</t>
  </si>
  <si>
    <t>おもかげやどし</t>
  </si>
  <si>
    <t>Force Mémorielle</t>
  </si>
  <si>
    <t>Erinnerungskraft</t>
  </si>
  <si>
    <t>Evocarrecuerdos</t>
  </si>
  <si>
    <t>Albergamemorie</t>
  </si>
  <si>
    <t>초상투영</t>
  </si>
  <si>
    <t>面影辉映</t>
  </si>
  <si>
    <t>Toxic Chain</t>
  </si>
  <si>
    <t>どくのくさり</t>
  </si>
  <si>
    <t>Chaîne Toxique</t>
  </si>
  <si>
    <t>Giftkette</t>
  </si>
  <si>
    <t>Cadena Tóxica</t>
  </si>
  <si>
    <t>Catena Tossica</t>
  </si>
  <si>
    <t>독사슬</t>
  </si>
  <si>
    <t>毒锁链</t>
  </si>
  <si>
    <t>Supersweet Syrup</t>
  </si>
  <si>
    <t>かんろなミツ</t>
  </si>
  <si>
    <t>Nectar Mielleux</t>
  </si>
  <si>
    <t>Süßer Nektar</t>
  </si>
  <si>
    <t>Néctar Dulce</t>
  </si>
  <si>
    <t>Sciroppo Sublime</t>
  </si>
  <si>
    <t>감미로운꿀</t>
  </si>
  <si>
    <t>甘露之蜜</t>
  </si>
  <si>
    <t>Tera Shift</t>
  </si>
  <si>
    <t>テラスチェンジ</t>
  </si>
  <si>
    <t>Téramorphose</t>
  </si>
  <si>
    <t>Tera-Wandel</t>
  </si>
  <si>
    <t>Teracambio</t>
  </si>
  <si>
    <t>Teramorfosi</t>
  </si>
  <si>
    <t>테라체인지</t>
  </si>
  <si>
    <t>太晶变形</t>
  </si>
  <si>
    <t>Tera Shell</t>
  </si>
  <si>
    <t>テラスシェル</t>
  </si>
  <si>
    <t>Téra-Carapace</t>
  </si>
  <si>
    <t>Tera-Panzer</t>
  </si>
  <si>
    <t>Teracaparazón</t>
  </si>
  <si>
    <t>Teraguscio</t>
  </si>
  <si>
    <t>테라셸</t>
  </si>
  <si>
    <t>太晶甲壳</t>
  </si>
  <si>
    <t>Teraform Zero</t>
  </si>
  <si>
    <t>ゼロフォーミング</t>
  </si>
  <si>
    <t>Téraformation 0</t>
  </si>
  <si>
    <t>Teraforming Null</t>
  </si>
  <si>
    <t>Teraformación 0</t>
  </si>
  <si>
    <t>Zeroformazione</t>
  </si>
  <si>
    <t>제로포밍</t>
  </si>
  <si>
    <t>归零化境</t>
  </si>
  <si>
    <t>Poison Puppeteer</t>
  </si>
  <si>
    <t>どくくぐつ</t>
  </si>
  <si>
    <t>Emprise Toxique</t>
  </si>
  <si>
    <t>Giftpuppenspiel</t>
  </si>
  <si>
    <t>Títere tóxico</t>
  </si>
  <si>
    <t>Malia Tossica</t>
  </si>
  <si>
    <t>독조종</t>
  </si>
  <si>
    <t>毒傀儡</t>
  </si>
  <si>
    <t>Adamant</t>
  </si>
  <si>
    <t>いじっぱり</t>
  </si>
  <si>
    <t>Rigide</t>
  </si>
  <si>
    <t>Hart</t>
  </si>
  <si>
    <t>Firme</t>
  </si>
  <si>
    <t>Decisa</t>
  </si>
  <si>
    <t>고집</t>
  </si>
  <si>
    <t>固執</t>
  </si>
  <si>
    <t>Bashful</t>
  </si>
  <si>
    <t>てれや</t>
  </si>
  <si>
    <t>Pudique</t>
  </si>
  <si>
    <t>Zaghaft</t>
  </si>
  <si>
    <t>Tímida</t>
  </si>
  <si>
    <t>Ritrosa</t>
  </si>
  <si>
    <t>수줍음</t>
  </si>
  <si>
    <t>害羞</t>
  </si>
  <si>
    <t>Bold</t>
  </si>
  <si>
    <t>ずぶとい</t>
  </si>
  <si>
    <t>Assuré</t>
  </si>
  <si>
    <t>Kühn</t>
  </si>
  <si>
    <t>Osada</t>
  </si>
  <si>
    <t>Sicura</t>
  </si>
  <si>
    <t>대담</t>
  </si>
  <si>
    <t>大膽</t>
  </si>
  <si>
    <t>Brave</t>
  </si>
  <si>
    <t>ゆうかん</t>
  </si>
  <si>
    <t>Mutig</t>
  </si>
  <si>
    <t>Audace</t>
  </si>
  <si>
    <t>용감</t>
  </si>
  <si>
    <t>勇敢</t>
  </si>
  <si>
    <t>Calm</t>
  </si>
  <si>
    <t>おだやか</t>
  </si>
  <si>
    <t>Calme</t>
  </si>
  <si>
    <t>Still</t>
  </si>
  <si>
    <t>Serena</t>
  </si>
  <si>
    <t>Calma</t>
  </si>
  <si>
    <t>차분</t>
  </si>
  <si>
    <t>溫和</t>
  </si>
  <si>
    <t>Careful</t>
  </si>
  <si>
    <t>しんちょう</t>
  </si>
  <si>
    <t>Prudent</t>
  </si>
  <si>
    <t>Sacht</t>
  </si>
  <si>
    <t>Cauta</t>
  </si>
  <si>
    <t>신중</t>
  </si>
  <si>
    <t>慎重</t>
  </si>
  <si>
    <t>Docile</t>
  </si>
  <si>
    <t>すなお</t>
  </si>
  <si>
    <t>Sanft</t>
  </si>
  <si>
    <t>Dócil</t>
  </si>
  <si>
    <t>온순</t>
  </si>
  <si>
    <t>坦率</t>
  </si>
  <si>
    <t>Gentle</t>
  </si>
  <si>
    <t>おとなしい</t>
  </si>
  <si>
    <t>Gentil</t>
  </si>
  <si>
    <t>Zart</t>
  </si>
  <si>
    <t>Amable</t>
  </si>
  <si>
    <t>Gentile</t>
  </si>
  <si>
    <t>얌전</t>
  </si>
  <si>
    <t>溫順</t>
  </si>
  <si>
    <t>Hardy</t>
  </si>
  <si>
    <t>がんばりや</t>
  </si>
  <si>
    <t>Hardi</t>
  </si>
  <si>
    <t>Robust</t>
  </si>
  <si>
    <t>Fuerte</t>
  </si>
  <si>
    <t>Ardita</t>
  </si>
  <si>
    <t>노력</t>
  </si>
  <si>
    <t>勤奮</t>
  </si>
  <si>
    <t>Hasty</t>
  </si>
  <si>
    <t>せっかち</t>
  </si>
  <si>
    <t>Pressé</t>
  </si>
  <si>
    <t>Hastig</t>
  </si>
  <si>
    <t>Activa</t>
  </si>
  <si>
    <t>Lesta</t>
  </si>
  <si>
    <t>성급</t>
  </si>
  <si>
    <t>急躁</t>
  </si>
  <si>
    <t>Impish</t>
  </si>
  <si>
    <t>わんぱく</t>
  </si>
  <si>
    <t>Pfiffig</t>
  </si>
  <si>
    <t>Agitada</t>
  </si>
  <si>
    <t>Scaltra</t>
  </si>
  <si>
    <t>장난꾸러기</t>
  </si>
  <si>
    <t>淘氣</t>
  </si>
  <si>
    <t>Jolly</t>
  </si>
  <si>
    <t>ようき</t>
  </si>
  <si>
    <t>Jovial</t>
  </si>
  <si>
    <t>Froh</t>
  </si>
  <si>
    <t>Alegre</t>
  </si>
  <si>
    <t>Allegra</t>
  </si>
  <si>
    <t>爽朗</t>
  </si>
  <si>
    <t>Lax</t>
  </si>
  <si>
    <t>Lâche</t>
  </si>
  <si>
    <t>Lasch</t>
  </si>
  <si>
    <t>Floja</t>
  </si>
  <si>
    <t>Fiacca</t>
  </si>
  <si>
    <t>촐랑</t>
  </si>
  <si>
    <t>Lonely</t>
  </si>
  <si>
    <t>さみしがり</t>
  </si>
  <si>
    <t>Solo</t>
  </si>
  <si>
    <t>Huraña</t>
  </si>
  <si>
    <t>Schiva</t>
  </si>
  <si>
    <t>외로움</t>
  </si>
  <si>
    <t>怕寂寞</t>
  </si>
  <si>
    <t>Mild</t>
  </si>
  <si>
    <t>おっとり</t>
  </si>
  <si>
    <t>Doux</t>
  </si>
  <si>
    <t>Afable</t>
  </si>
  <si>
    <t>Mite</t>
  </si>
  <si>
    <t>의젓</t>
  </si>
  <si>
    <t>慢吞吞</t>
  </si>
  <si>
    <t>Modest</t>
  </si>
  <si>
    <t>ひかえめ</t>
  </si>
  <si>
    <t>Modeste</t>
  </si>
  <si>
    <t>Mäßig</t>
  </si>
  <si>
    <t>Modesta</t>
  </si>
  <si>
    <t>조심</t>
  </si>
  <si>
    <t>內斂</t>
  </si>
  <si>
    <t>Naive</t>
  </si>
  <si>
    <t>むじゃき</t>
  </si>
  <si>
    <t>Naïf</t>
  </si>
  <si>
    <t>Naiv</t>
  </si>
  <si>
    <t>Ingenua</t>
  </si>
  <si>
    <t>천진난만</t>
  </si>
  <si>
    <t>天真</t>
  </si>
  <si>
    <t>Naughty</t>
  </si>
  <si>
    <t>Mauvais</t>
  </si>
  <si>
    <t>Frech</t>
  </si>
  <si>
    <t>Pícara</t>
  </si>
  <si>
    <t>Birbona</t>
  </si>
  <si>
    <t>Quiet</t>
  </si>
  <si>
    <t>れいせい</t>
  </si>
  <si>
    <t>Discret</t>
  </si>
  <si>
    <t>Ruhig</t>
  </si>
  <si>
    <t>Mansa</t>
  </si>
  <si>
    <t>Quieta</t>
  </si>
  <si>
    <t>냉정</t>
  </si>
  <si>
    <t>冷靜</t>
  </si>
  <si>
    <t>Quirky</t>
  </si>
  <si>
    <t>きまぐれ</t>
  </si>
  <si>
    <t>Bizarre</t>
  </si>
  <si>
    <t>Kauzig</t>
  </si>
  <si>
    <t>Rara</t>
  </si>
  <si>
    <t>Furba</t>
  </si>
  <si>
    <t>변덕</t>
  </si>
  <si>
    <t>浮躁</t>
  </si>
  <si>
    <t>Rash</t>
  </si>
  <si>
    <t>うっかりや</t>
  </si>
  <si>
    <t>Foufou</t>
  </si>
  <si>
    <t>Hitzig</t>
  </si>
  <si>
    <t>Alocada</t>
  </si>
  <si>
    <t>Ardente</t>
  </si>
  <si>
    <t>덜렁</t>
  </si>
  <si>
    <t>馬虎</t>
  </si>
  <si>
    <t>Relaxed</t>
  </si>
  <si>
    <t>のんき</t>
  </si>
  <si>
    <t>Relax</t>
  </si>
  <si>
    <t>Locker</t>
  </si>
  <si>
    <t>Plácida</t>
  </si>
  <si>
    <t>Placida</t>
  </si>
  <si>
    <t>무사태평</t>
  </si>
  <si>
    <t>悠閒</t>
  </si>
  <si>
    <t>Sassy</t>
  </si>
  <si>
    <t>なまいき</t>
  </si>
  <si>
    <t>Malpoli</t>
  </si>
  <si>
    <t>Forsch</t>
  </si>
  <si>
    <t>Grosera</t>
  </si>
  <si>
    <t>Vivace</t>
  </si>
  <si>
    <t>건방</t>
  </si>
  <si>
    <t>自大</t>
  </si>
  <si>
    <t>Serious</t>
  </si>
  <si>
    <t>まじめ</t>
  </si>
  <si>
    <t>Sérieux</t>
  </si>
  <si>
    <t>Ernst</t>
  </si>
  <si>
    <t>Seria</t>
  </si>
  <si>
    <t>성실</t>
  </si>
  <si>
    <t>認真</t>
  </si>
  <si>
    <t>Timid</t>
  </si>
  <si>
    <t>おくびょう</t>
  </si>
  <si>
    <t>Timide</t>
  </si>
  <si>
    <t>Scheu</t>
  </si>
  <si>
    <t>Miedosa</t>
  </si>
  <si>
    <t>Timida</t>
  </si>
  <si>
    <t>겁쟁이</t>
  </si>
  <si>
    <t>膽小</t>
  </si>
  <si>
    <t>CHARACTERISTIC_HP-0</t>
  </si>
  <si>
    <t>Loves to eat</t>
  </si>
  <si>
    <t>食べるのが　大好き</t>
  </si>
  <si>
    <t>Adore manger</t>
  </si>
  <si>
    <t>Liebt es zu essen</t>
  </si>
  <si>
    <t>Le encanta comer</t>
  </si>
  <si>
    <t>Adora mangiare</t>
  </si>
  <si>
    <t>먹는 것을 제일 좋아함</t>
  </si>
  <si>
    <t>非常喜歡吃東西</t>
  </si>
  <si>
    <t>CHARACTERISTIC_HP-1</t>
  </si>
  <si>
    <t>Takes plenty of siestas</t>
  </si>
  <si>
    <t>昼寝を　よくする</t>
  </si>
  <si>
    <t>S'assoupit souvent</t>
  </si>
  <si>
    <t>Nickt oft ein</t>
  </si>
  <si>
    <t>A menudo se duerme</t>
  </si>
  <si>
    <t>Si addormenta spesso</t>
  </si>
  <si>
    <t>낮잠을 잘 잠</t>
  </si>
  <si>
    <t>經常睡午覺</t>
  </si>
  <si>
    <t>CHARACTERISTIC_HP-2</t>
  </si>
  <si>
    <t>Nods off a lot</t>
  </si>
  <si>
    <t>居眠りが　多い</t>
  </si>
  <si>
    <t>Dort beaucoup</t>
  </si>
  <si>
    <t>Schläft gern</t>
  </si>
  <si>
    <t>Duerme mucho</t>
  </si>
  <si>
    <t>Dorme a lungo</t>
  </si>
  <si>
    <t>말뚝잠이 많음</t>
  </si>
  <si>
    <t>常常打瞌睡</t>
  </si>
  <si>
    <t>CHARACTERISTIC_HP-3</t>
  </si>
  <si>
    <t>Scatter things often</t>
  </si>
  <si>
    <t>ものを　よく　散らかす</t>
  </si>
  <si>
    <t>Éparpille des choses</t>
  </si>
  <si>
    <t>Macht oft Unordnung</t>
  </si>
  <si>
    <t>Suele desordenar cosas</t>
  </si>
  <si>
    <t>Lascia cose in giro</t>
  </si>
  <si>
    <t>물건을 잘 어지름</t>
  </si>
  <si>
    <t>經常亂扔東西</t>
  </si>
  <si>
    <t>CHARACTERISTIC_HP-4</t>
  </si>
  <si>
    <t>Likes to relax</t>
  </si>
  <si>
    <t>のんびりするのが　好き</t>
  </si>
  <si>
    <t>Aime se détendre</t>
  </si>
  <si>
    <t>Mag es, sich zu entspannen</t>
  </si>
  <si>
    <t>Le gusta relajarse</t>
  </si>
  <si>
    <t>Adora rilassarsi</t>
  </si>
  <si>
    <t>유유자적함을 좋아함</t>
  </si>
  <si>
    <t>喜歡悠然自在</t>
  </si>
  <si>
    <t>CHARACTERISTIC_ATK-0</t>
  </si>
  <si>
    <t>Proud of its power</t>
  </si>
  <si>
    <t>力が　自慢</t>
  </si>
  <si>
    <t>Est fier de sa puissance</t>
  </si>
  <si>
    <t>Ist stolz auf seine Stärke</t>
  </si>
  <si>
    <t>Orgulloso de su fuerza</t>
  </si>
  <si>
    <t>La forza è il suo vanto</t>
  </si>
  <si>
    <t>힘자랑이 특기임</t>
  </si>
  <si>
    <t>以力氣大為傲</t>
  </si>
  <si>
    <t>CHARACTERISTIC_ATK-1</t>
  </si>
  <si>
    <t>Likes to thrash about</t>
  </si>
  <si>
    <t>暴れることが　好き</t>
  </si>
  <si>
    <t>Aime se démener</t>
  </si>
  <si>
    <t>Prügelt sich gern</t>
  </si>
  <si>
    <t>Le gusta revolverse</t>
  </si>
  <si>
    <t>Adora dimenarsi</t>
  </si>
  <si>
    <t>난동부리기를 좋아함</t>
  </si>
  <si>
    <t>喜歡胡鬧</t>
  </si>
  <si>
    <t>CHARACTERISTIC_ATK-2</t>
  </si>
  <si>
    <t>A little quick tempered</t>
  </si>
  <si>
    <t>ちょっと　怒りっぽい</t>
  </si>
  <si>
    <t>Un peu coléreux</t>
  </si>
  <si>
    <t>Besitzt Temperament</t>
  </si>
  <si>
    <t>A veces se enfada</t>
  </si>
  <si>
    <t>Si arrabbia facilmente</t>
  </si>
  <si>
    <t>약간 화를 잘 내는 성미임</t>
  </si>
  <si>
    <t>有點容易生氣</t>
  </si>
  <si>
    <t>CHARACTERISTIC_ATK-3</t>
  </si>
  <si>
    <t>Likes to fight</t>
  </si>
  <si>
    <t>ケンカを　するのが　好き</t>
  </si>
  <si>
    <t>Aime combattre</t>
  </si>
  <si>
    <t>Liebt Kämpfe</t>
  </si>
  <si>
    <t>Le gusta luchar</t>
  </si>
  <si>
    <t>Adora combattere</t>
  </si>
  <si>
    <t>싸움을 좋아함</t>
  </si>
  <si>
    <t>喜歡打架</t>
  </si>
  <si>
    <t>CHARACTERISTIC_ATK-4</t>
  </si>
  <si>
    <t>Quick tempered</t>
  </si>
  <si>
    <t>血の気が　多い</t>
  </si>
  <si>
    <t>S'emporte facilement</t>
  </si>
  <si>
    <t>Ist impulsiv</t>
  </si>
  <si>
    <t>Tiene mal genio</t>
  </si>
  <si>
    <t>È facilmente irritabile</t>
  </si>
  <si>
    <t>혈기가 왕성함</t>
  </si>
  <si>
    <t>血氣方剛</t>
  </si>
  <si>
    <t>CHARACTERISTIC_DEF-0</t>
  </si>
  <si>
    <t>Sturdy Body</t>
  </si>
  <si>
    <t>体が　丈夫</t>
  </si>
  <si>
    <t>Corps robuste</t>
  </si>
  <si>
    <t>Hat einen robusten Körper</t>
  </si>
  <si>
    <t>Cuerpo resistente</t>
  </si>
  <si>
    <t>Ha un corpo robusto</t>
  </si>
  <si>
    <t>몸이 튼튼함</t>
  </si>
  <si>
    <t>身體強壯</t>
  </si>
  <si>
    <t>CHARACTERISTIC_DEF-1</t>
  </si>
  <si>
    <t>Capable of taking hits</t>
  </si>
  <si>
    <t>打たれ強い</t>
  </si>
  <si>
    <t>Sait encaisser les coups</t>
  </si>
  <si>
    <t>Kann Treffer gut verkraften</t>
  </si>
  <si>
    <t>Es buen fajador</t>
  </si>
  <si>
    <t>Incassa bene i colpi</t>
  </si>
  <si>
    <t>맷집이 강함</t>
  </si>
  <si>
    <t>抗打能力強</t>
  </si>
  <si>
    <t>CHARACTERISTIC_DEF-2</t>
  </si>
  <si>
    <t>Highly persistent</t>
  </si>
  <si>
    <t>粘り強い</t>
  </si>
  <si>
    <t>Très obstiné</t>
  </si>
  <si>
    <t>Ist äußerst ausdauernd</t>
  </si>
  <si>
    <t>Muy persistente</t>
  </si>
  <si>
    <t>È molto ostinato</t>
  </si>
  <si>
    <t>끈질김</t>
  </si>
  <si>
    <t>頑強不屈</t>
  </si>
  <si>
    <t>CHARACTERISTIC_DEF-3</t>
  </si>
  <si>
    <t>Good endurance</t>
  </si>
  <si>
    <t>辛抱強い</t>
  </si>
  <si>
    <t>Bonne endurance</t>
  </si>
  <si>
    <t>Hat eine gute Ausdauer</t>
  </si>
  <si>
    <t>Muy resistente</t>
  </si>
  <si>
    <t>È molto paziente</t>
  </si>
  <si>
    <t>인내심이 강함</t>
  </si>
  <si>
    <t>能吃苦耐勞</t>
  </si>
  <si>
    <t>CHARACTERISTIC_DEF-4</t>
  </si>
  <si>
    <t>Good perseverance</t>
  </si>
  <si>
    <t>我慢強い</t>
  </si>
  <si>
    <t>Persévérant</t>
  </si>
  <si>
    <t>Ist beharrlich</t>
  </si>
  <si>
    <t>Muy perseverante</t>
  </si>
  <si>
    <t>È molto tenace</t>
  </si>
  <si>
    <t>잘 참음</t>
  </si>
  <si>
    <t>善於忍耐</t>
  </si>
  <si>
    <t>CHARACTERISTIC_SPA-0</t>
  </si>
  <si>
    <t>Highly curious</t>
  </si>
  <si>
    <t>好奇心が　強い</t>
  </si>
  <si>
    <t>Extrêmement curieux</t>
  </si>
  <si>
    <t>Ist sehr neugierig</t>
  </si>
  <si>
    <t>Extremadamente curioso</t>
  </si>
  <si>
    <t>È un grande ficcanaso</t>
  </si>
  <si>
    <t>호기심이 강함</t>
  </si>
  <si>
    <t>好奇心強</t>
  </si>
  <si>
    <t>CHARACTERISTIC_SPA-1</t>
  </si>
  <si>
    <t>Mischevious</t>
  </si>
  <si>
    <t>イタズラが　好き</t>
  </si>
  <si>
    <t>Coquin</t>
  </si>
  <si>
    <t>Ist hinterhältig</t>
  </si>
  <si>
    <t>Le gusta hacer travesuras</t>
  </si>
  <si>
    <t>È alquanto vivace</t>
  </si>
  <si>
    <t>장난을 좋아함</t>
  </si>
  <si>
    <t>喜歡惡作劇</t>
  </si>
  <si>
    <t>CHARACTERISTIC_SPA-2</t>
  </si>
  <si>
    <t>Thoroughly cunning</t>
  </si>
  <si>
    <t>抜け目が　ない</t>
  </si>
  <si>
    <t>Très astucieux</t>
  </si>
  <si>
    <t>Ist äußerst gerissen</t>
  </si>
  <si>
    <t>Muy astuto</t>
  </si>
  <si>
    <t>È estremamente sagace</t>
  </si>
  <si>
    <t>빈틈이 없음</t>
  </si>
  <si>
    <t>做事萬無一失</t>
  </si>
  <si>
    <t>CHARACTERISTIC_SPA-3</t>
  </si>
  <si>
    <t>Often lost in thought</t>
  </si>
  <si>
    <t>考え事が　多い</t>
  </si>
  <si>
    <t>Souvent dans la lune</t>
  </si>
  <si>
    <t>Ist oft in Gedanken</t>
  </si>
  <si>
    <t>A menudo está en Babia</t>
  </si>
  <si>
    <t>Si perde nel suo mondo</t>
  </si>
  <si>
    <t>걱정거리가 많음</t>
  </si>
  <si>
    <t>經常思考</t>
  </si>
  <si>
    <t>CHARACTERISTIC_SPA-4</t>
  </si>
  <si>
    <t>Very finicky</t>
  </si>
  <si>
    <t>とても　きちょうめん</t>
  </si>
  <si>
    <t>Très particulier</t>
  </si>
  <si>
    <t>Ist sehr pedantisch</t>
  </si>
  <si>
    <t>Muy melindroso</t>
  </si>
  <si>
    <t>È molto esigente</t>
  </si>
  <si>
    <t>매우 꼼꼼함</t>
  </si>
  <si>
    <t>一絲不苟</t>
  </si>
  <si>
    <t>CHARACTERISTIC_SPD-0</t>
  </si>
  <si>
    <t>Strong willed</t>
  </si>
  <si>
    <t>気が　強い</t>
  </si>
  <si>
    <t>Très volontaire</t>
  </si>
  <si>
    <t>Besitzt einen starken Willen</t>
  </si>
  <si>
    <t>Voluntarioso</t>
  </si>
  <si>
    <t>Sa il fatto suo</t>
  </si>
  <si>
    <t>기가 센 성격임</t>
  </si>
  <si>
    <t>性格強勢</t>
  </si>
  <si>
    <t>CHARACTERISTIC_SPD-1</t>
  </si>
  <si>
    <t>Somewhat vain</t>
  </si>
  <si>
    <t>ちょっぴり　みえっぱり</t>
  </si>
  <si>
    <t>Un peu vaniteux</t>
  </si>
  <si>
    <t>Ist etwas eitel</t>
  </si>
  <si>
    <t>Es algo orgulloso</t>
  </si>
  <si>
    <t>È abbastanza superficiale</t>
  </si>
  <si>
    <t>조금 겉치레를 좋아함</t>
  </si>
  <si>
    <t>有一點點愛慕虛榮</t>
  </si>
  <si>
    <t>CHARACTERISTIC_SPD-2</t>
  </si>
  <si>
    <t>Strongly defiant</t>
  </si>
  <si>
    <t>負けん気が　強い</t>
  </si>
  <si>
    <t>Esprit rebelle</t>
  </si>
  <si>
    <t>Ist sehr aufsässig</t>
  </si>
  <si>
    <t>Muy insolente</t>
  </si>
  <si>
    <t>È molto insolente</t>
  </si>
  <si>
    <t>오기가 센 성격임</t>
  </si>
  <si>
    <t>爭強好勝</t>
  </si>
  <si>
    <t>CHARACTERISTIC_SPD-3</t>
  </si>
  <si>
    <t>Hates to lose</t>
  </si>
  <si>
    <t>負けず嫌い</t>
  </si>
  <si>
    <t>A horreur de perdre</t>
  </si>
  <si>
    <t>Hasst Niederlagen</t>
  </si>
  <si>
    <t>Odia perder</t>
  </si>
  <si>
    <t>Non sopporta perdere</t>
  </si>
  <si>
    <t>지기 싫어함</t>
  </si>
  <si>
    <t>CHARACTERISTIC_SPD-4</t>
  </si>
  <si>
    <t>Somewhat stubborn</t>
  </si>
  <si>
    <t>ちょっぴり　強情</t>
  </si>
  <si>
    <t>Assez entêté</t>
  </si>
  <si>
    <t>Ist dickköpfig</t>
  </si>
  <si>
    <t>Un poco cabezota</t>
  </si>
  <si>
    <t>È un po' testardo</t>
  </si>
  <si>
    <t>조금 고집통이임</t>
  </si>
  <si>
    <t>有一點點固執</t>
  </si>
  <si>
    <t>CHARACTERISTIC_SPE-0</t>
  </si>
  <si>
    <t>Likes to run</t>
  </si>
  <si>
    <t>駆けっこが　好き</t>
  </si>
  <si>
    <t>Aime courir</t>
  </si>
  <si>
    <t>Liebt es zu rennen</t>
  </si>
  <si>
    <t>Le gusta correr</t>
  </si>
  <si>
    <t>Adora correre</t>
  </si>
  <si>
    <t>약간 우쭐쟁이임</t>
  </si>
  <si>
    <t>喜歡比誰跑得快</t>
  </si>
  <si>
    <t>CHARACTERISTIC_SPE-1</t>
  </si>
  <si>
    <t>Alert to sounds</t>
  </si>
  <si>
    <t>物音に　敏感</t>
  </si>
  <si>
    <t>Attentif aux sons</t>
  </si>
  <si>
    <t>Achtet auf Geräusche</t>
  </si>
  <si>
    <t>Siempre tiene el oído alerta</t>
  </si>
  <si>
    <t>Fa attenzione ai suoni</t>
  </si>
  <si>
    <t>주위 소리에 민감함</t>
  </si>
  <si>
    <t>對聲音敏感</t>
  </si>
  <si>
    <t>CHARACTERISTIC_SPE-2</t>
  </si>
  <si>
    <t>Impetuous and silly</t>
  </si>
  <si>
    <t>おっちょこちょい</t>
  </si>
  <si>
    <t>Bête et impulsif</t>
  </si>
  <si>
    <t>Ist ungestüm und einfältig</t>
  </si>
  <si>
    <t>Impetuoso y bobo</t>
  </si>
  <si>
    <t>È irruente e semplice</t>
  </si>
  <si>
    <t>촐랑대는 성격임</t>
  </si>
  <si>
    <t>冒冒失失</t>
  </si>
  <si>
    <t>CHARACTERISTIC_SPE-3</t>
  </si>
  <si>
    <t>Somewhat of a clown</t>
  </si>
  <si>
    <t>すこし　おっ調子者</t>
  </si>
  <si>
    <t>Aime faire le pitre</t>
  </si>
  <si>
    <t>Ist ein bisschen albern</t>
  </si>
  <si>
    <t>Es un poco payaso</t>
  </si>
  <si>
    <t>È una specie di buffone</t>
  </si>
  <si>
    <t>有點容易得意忘形</t>
  </si>
  <si>
    <t>CHARACTERISTIC_SPE-4</t>
  </si>
  <si>
    <t>Quick to flee</t>
  </si>
  <si>
    <t>逃げるのが　はやい</t>
  </si>
  <si>
    <t>Fuit rapidement</t>
  </si>
  <si>
    <t>Flüchtet schnell</t>
  </si>
  <si>
    <t>Huye rápido</t>
  </si>
  <si>
    <t>Sa fuggire velocemente</t>
  </si>
  <si>
    <t>도망에는 선수임</t>
  </si>
  <si>
    <t>逃得快</t>
  </si>
  <si>
    <t>Potion</t>
  </si>
  <si>
    <t>キズぐすり</t>
  </si>
  <si>
    <t>Trank</t>
  </si>
  <si>
    <t>Poción</t>
  </si>
  <si>
    <t>Pozione</t>
  </si>
  <si>
    <t>상처약</t>
  </si>
  <si>
    <t>傷藥</t>
  </si>
  <si>
    <t>Antidote</t>
  </si>
  <si>
    <t>どくけし</t>
  </si>
  <si>
    <t>Gegengift</t>
  </si>
  <si>
    <t>Antidoto</t>
  </si>
  <si>
    <t>해독제</t>
  </si>
  <si>
    <t>解毒藥</t>
  </si>
  <si>
    <t>Burn Heal</t>
  </si>
  <si>
    <t>やけどなおし</t>
  </si>
  <si>
    <t>Anti-Brûle</t>
  </si>
  <si>
    <t>Feuerheiler</t>
  </si>
  <si>
    <t>Antiquemar</t>
  </si>
  <si>
    <t>Antiscottatura</t>
  </si>
  <si>
    <t>화상치료제</t>
  </si>
  <si>
    <t>灼傷藥</t>
  </si>
  <si>
    <t>Ice Heal</t>
  </si>
  <si>
    <t>こおりなおし</t>
  </si>
  <si>
    <t>Anti-Gel</t>
  </si>
  <si>
    <t>Eisheiler</t>
  </si>
  <si>
    <t>Antihielo</t>
  </si>
  <si>
    <t>Antigelo</t>
  </si>
  <si>
    <t>얼음상태치료제</t>
  </si>
  <si>
    <t>解凍藥</t>
  </si>
  <si>
    <t>Awakening</t>
  </si>
  <si>
    <t>ねむけざまし</t>
  </si>
  <si>
    <t>Réveil</t>
  </si>
  <si>
    <t>Aufwecker</t>
  </si>
  <si>
    <t>Despertar</t>
  </si>
  <si>
    <t>Sveglia</t>
  </si>
  <si>
    <t>잠깨는약</t>
  </si>
  <si>
    <t>解眠藥</t>
  </si>
  <si>
    <t>Paralyze Heal</t>
  </si>
  <si>
    <t>まひなおし</t>
  </si>
  <si>
    <t>Anti-Para</t>
  </si>
  <si>
    <t>Para-Heiler</t>
  </si>
  <si>
    <t>Antiparalizador</t>
  </si>
  <si>
    <t>Antiparalisi</t>
  </si>
  <si>
    <t>마비치료제</t>
  </si>
  <si>
    <t>解麻藥</t>
  </si>
  <si>
    <t>Full Restore</t>
  </si>
  <si>
    <t>かいふくのくすり</t>
  </si>
  <si>
    <t>Guérison</t>
  </si>
  <si>
    <t>Top-Genesung</t>
  </si>
  <si>
    <t>Restaurar Todo</t>
  </si>
  <si>
    <t>Ricarica totale</t>
  </si>
  <si>
    <t>회복약</t>
  </si>
  <si>
    <t>全復藥</t>
  </si>
  <si>
    <t>Max Potion</t>
  </si>
  <si>
    <t>まんたんのくすり</t>
  </si>
  <si>
    <t>Potion Max</t>
  </si>
  <si>
    <t>Top-Trank</t>
  </si>
  <si>
    <t>Poción Máxima</t>
  </si>
  <si>
    <t>풀회복약</t>
  </si>
  <si>
    <t>全滿藥</t>
  </si>
  <si>
    <t>Hyper Potion</t>
  </si>
  <si>
    <t>Hypertrank</t>
  </si>
  <si>
    <t>Hiperpoción</t>
  </si>
  <si>
    <t>Iperpozione</t>
  </si>
  <si>
    <t>고급상처약</t>
  </si>
  <si>
    <t>厲害傷藥</t>
  </si>
  <si>
    <t>Super Potion</t>
  </si>
  <si>
    <t>Supertrank</t>
  </si>
  <si>
    <t>Superpoción</t>
  </si>
  <si>
    <t>Superpozione</t>
  </si>
  <si>
    <t>좋은상처약</t>
  </si>
  <si>
    <t>好傷藥</t>
  </si>
  <si>
    <t>Full Heal</t>
  </si>
  <si>
    <t>なんでもなおし</t>
  </si>
  <si>
    <t>Total Soin</t>
  </si>
  <si>
    <t>Hyperheiler</t>
  </si>
  <si>
    <t>Cura Total</t>
  </si>
  <si>
    <t>Cura totale</t>
  </si>
  <si>
    <t>만병통치약</t>
  </si>
  <si>
    <t>萬靈藥</t>
  </si>
  <si>
    <t>Revive</t>
  </si>
  <si>
    <t>げんきのかけら</t>
  </si>
  <si>
    <t>Rappel</t>
  </si>
  <si>
    <t>Beleber</t>
  </si>
  <si>
    <t>Revivir</t>
  </si>
  <si>
    <t>Revitalizzante</t>
  </si>
  <si>
    <t>기력의조각</t>
  </si>
  <si>
    <t>活力碎片</t>
  </si>
  <si>
    <t>Max Revive</t>
  </si>
  <si>
    <t>げんきのかたまり</t>
  </si>
  <si>
    <t>Rappel Max</t>
  </si>
  <si>
    <t>Revivir Máximo</t>
  </si>
  <si>
    <t>Revitalizz. Max</t>
  </si>
  <si>
    <t>기력의덩어리</t>
  </si>
  <si>
    <t>活力塊</t>
  </si>
  <si>
    <t>Fresh Water</t>
  </si>
  <si>
    <t>おいしみず</t>
  </si>
  <si>
    <t>Eau Fraiche</t>
  </si>
  <si>
    <t>Tafelwasser</t>
  </si>
  <si>
    <t>Agua Fresca</t>
  </si>
  <si>
    <t>Acqua Fresca</t>
  </si>
  <si>
    <t>맛있는물</t>
  </si>
  <si>
    <t>美味之水</t>
  </si>
  <si>
    <t>Soda Pop</t>
  </si>
  <si>
    <t>サイコソーダ</t>
  </si>
  <si>
    <t>Soda Cool</t>
  </si>
  <si>
    <t>Sprudel</t>
  </si>
  <si>
    <t>Refresco</t>
  </si>
  <si>
    <t>Gassora</t>
  </si>
  <si>
    <t>미네랄사이다</t>
  </si>
  <si>
    <t>勁爽汽水</t>
  </si>
  <si>
    <t>Lemonade</t>
  </si>
  <si>
    <t>ミックスオレ</t>
  </si>
  <si>
    <t>Limonade</t>
  </si>
  <si>
    <t>Limonada</t>
  </si>
  <si>
    <t>Lemonsucco</t>
  </si>
  <si>
    <t>후르츠밀크</t>
  </si>
  <si>
    <t>果汁牛奶</t>
  </si>
  <si>
    <t>Ether</t>
  </si>
  <si>
    <t>ピーピーエイド</t>
  </si>
  <si>
    <t>Huile</t>
  </si>
  <si>
    <t>Äther</t>
  </si>
  <si>
    <t>Éter</t>
  </si>
  <si>
    <t>Etere</t>
  </si>
  <si>
    <t>ＰＰ에이드</t>
  </si>
  <si>
    <t>ＰＰ單項小補劑</t>
  </si>
  <si>
    <t>Max Ether</t>
  </si>
  <si>
    <t>ピーピーリカバー</t>
  </si>
  <si>
    <t>Huile Max</t>
  </si>
  <si>
    <t>Éter Máximo</t>
  </si>
  <si>
    <t>ＰＰ회복</t>
  </si>
  <si>
    <t>ＰＰ單項全補劑</t>
  </si>
  <si>
    <t>Elixir</t>
  </si>
  <si>
    <t>ピーピーエイダー</t>
  </si>
  <si>
    <t>Élixir</t>
  </si>
  <si>
    <t>Elixier</t>
  </si>
  <si>
    <t>Elisir</t>
  </si>
  <si>
    <t>ＰＰ에이더</t>
  </si>
  <si>
    <t>ＰＰ多項小補劑</t>
  </si>
  <si>
    <t>Max Elixir</t>
  </si>
  <si>
    <t>ピーピーマックス</t>
  </si>
  <si>
    <t>Elixir Máximo</t>
  </si>
  <si>
    <t>ＰＰ맥스</t>
  </si>
  <si>
    <t>ＰＰ多項全補劑</t>
  </si>
  <si>
    <t>HP Up</t>
  </si>
  <si>
    <t>マックスアップ</t>
  </si>
  <si>
    <t>PV Plus</t>
  </si>
  <si>
    <t>KP-Plus</t>
  </si>
  <si>
    <t>Más PS</t>
  </si>
  <si>
    <t>PS-Su</t>
  </si>
  <si>
    <t>맥스업</t>
  </si>
  <si>
    <t>ＨＰ增強劑</t>
  </si>
  <si>
    <t>Protein</t>
  </si>
  <si>
    <t>タウリン</t>
  </si>
  <si>
    <t>Protéine</t>
  </si>
  <si>
    <t>Proteína</t>
  </si>
  <si>
    <t>Proteina</t>
  </si>
  <si>
    <t>타우린</t>
  </si>
  <si>
    <t>攻擊增強劑</t>
  </si>
  <si>
    <t>ブロムヘキシン</t>
  </si>
  <si>
    <t>사포닌</t>
  </si>
  <si>
    <t>防禦增強劑</t>
  </si>
  <si>
    <t>Carbos</t>
  </si>
  <si>
    <t>インドメタシン</t>
  </si>
  <si>
    <t>Carbon</t>
  </si>
  <si>
    <t>Carburante</t>
  </si>
  <si>
    <t>알칼로이드</t>
  </si>
  <si>
    <t>速度增強劑</t>
  </si>
  <si>
    <t>Calcium</t>
  </si>
  <si>
    <t>リゾチウム</t>
  </si>
  <si>
    <t>Kalzium</t>
  </si>
  <si>
    <t>Calcio</t>
  </si>
  <si>
    <t>리보플라빈</t>
  </si>
  <si>
    <t>特攻增強劑</t>
  </si>
  <si>
    <t>Rare Candy</t>
  </si>
  <si>
    <t>ふしぎなアメ</t>
  </si>
  <si>
    <t>Super Bonbon</t>
  </si>
  <si>
    <t>Sonderbonbon</t>
  </si>
  <si>
    <t>Carameloraro</t>
  </si>
  <si>
    <t>Caramella roro</t>
  </si>
  <si>
    <t>이상한사탕</t>
  </si>
  <si>
    <t>神奇糖果</t>
  </si>
  <si>
    <t>PP Up</t>
  </si>
  <si>
    <t>ポイントアップ</t>
  </si>
  <si>
    <t>PP Plus</t>
  </si>
  <si>
    <t>AP-Plus</t>
  </si>
  <si>
    <t>Más PP</t>
  </si>
  <si>
    <t>PP-Su</t>
  </si>
  <si>
    <t>포인트업</t>
  </si>
  <si>
    <t>ＰＰ提升劑</t>
  </si>
  <si>
    <t>Moomoo Milk</t>
  </si>
  <si>
    <t>モーモーミルク</t>
  </si>
  <si>
    <t>Lait Meumeu</t>
  </si>
  <si>
    <t>Kuhmuh-Milch</t>
  </si>
  <si>
    <t>Leche Mu-Mu</t>
  </si>
  <si>
    <t>Latte Mumu</t>
  </si>
  <si>
    <t>튼튼밀크</t>
  </si>
  <si>
    <t>哞哞鮮奶</t>
  </si>
  <si>
    <t>Energy Powder</t>
  </si>
  <si>
    <t>ちからのこな</t>
  </si>
  <si>
    <t>Poudre Énergie</t>
  </si>
  <si>
    <t>Energiestaub</t>
  </si>
  <si>
    <t>Polvo Energía</t>
  </si>
  <si>
    <t>Polvenergia</t>
  </si>
  <si>
    <t>힘의가루</t>
  </si>
  <si>
    <t>元氣粉</t>
  </si>
  <si>
    <t>Energy Root</t>
  </si>
  <si>
    <t>ちからのねっこ</t>
  </si>
  <si>
    <t>Racine Énergie</t>
  </si>
  <si>
    <t>Kraftwurzel</t>
  </si>
  <si>
    <t>Raíz Energía</t>
  </si>
  <si>
    <t>Radicenergia</t>
  </si>
  <si>
    <t>힘의뿌리</t>
  </si>
  <si>
    <t>元氣根</t>
  </si>
  <si>
    <t>Heal Powder</t>
  </si>
  <si>
    <t>ばんおうごな</t>
  </si>
  <si>
    <t>Poudre Soin</t>
  </si>
  <si>
    <t>Heilpuder</t>
  </si>
  <si>
    <t>Polvo Curación</t>
  </si>
  <si>
    <t>Polvocura</t>
  </si>
  <si>
    <t>만능가루</t>
  </si>
  <si>
    <t>萬能粉</t>
  </si>
  <si>
    <t>Revival Herb</t>
  </si>
  <si>
    <t>ふっかつそう</t>
  </si>
  <si>
    <t>Herbe Rappel</t>
  </si>
  <si>
    <t>Vitalkraut</t>
  </si>
  <si>
    <t>Hierba Revivir</t>
  </si>
  <si>
    <t>Vitalerba</t>
  </si>
  <si>
    <t>부활초</t>
  </si>
  <si>
    <t>復活草</t>
  </si>
  <si>
    <t>Berry Juice</t>
  </si>
  <si>
    <t>きのみジュース</t>
  </si>
  <si>
    <t>Jus de Baie</t>
  </si>
  <si>
    <t>Beerensaft</t>
  </si>
  <si>
    <t>Jugo de Bayas</t>
  </si>
  <si>
    <t>Succodibacca</t>
  </si>
  <si>
    <t>나무열매쥬스</t>
  </si>
  <si>
    <t>樹果汁</t>
  </si>
  <si>
    <t>Sacred Ash</t>
  </si>
  <si>
    <t>せいなるはい</t>
  </si>
  <si>
    <t>Cendre Sacrée</t>
  </si>
  <si>
    <t>Zauberasche</t>
  </si>
  <si>
    <t>Ceniza Sagrada</t>
  </si>
  <si>
    <t>Ceneremagica</t>
  </si>
  <si>
    <t>성스러운분말</t>
  </si>
  <si>
    <t>聖灰</t>
  </si>
  <si>
    <t>Rage Candy Bar</t>
  </si>
  <si>
    <t>いかりまんじゅう</t>
  </si>
  <si>
    <t>Bonbon Rage</t>
  </si>
  <si>
    <t>Wutkeks</t>
  </si>
  <si>
    <t>Caramelo Furia</t>
  </si>
  <si>
    <t>Iramella</t>
  </si>
  <si>
    <t>분노의호두과자</t>
  </si>
  <si>
    <t>憤怒饅頭</t>
  </si>
  <si>
    <t>Lava Cookie</t>
  </si>
  <si>
    <t>ふえんせんべい</t>
  </si>
  <si>
    <t>Lavakeks</t>
  </si>
  <si>
    <t>Galleta Lava</t>
  </si>
  <si>
    <t>Lavottino</t>
  </si>
  <si>
    <t>용암전병</t>
  </si>
  <si>
    <t>釜炎仙貝</t>
  </si>
  <si>
    <t>Zinc</t>
  </si>
  <si>
    <t>キトサン</t>
  </si>
  <si>
    <t>Zink</t>
  </si>
  <si>
    <t>키토산</t>
  </si>
  <si>
    <t>特防增強劑</t>
  </si>
  <si>
    <t>PP Max</t>
  </si>
  <si>
    <t>ポイントマックス</t>
  </si>
  <si>
    <t>AP-Top</t>
  </si>
  <si>
    <t>PP Máximos</t>
  </si>
  <si>
    <t>PP-Max</t>
  </si>
  <si>
    <t>포인트맥스</t>
  </si>
  <si>
    <t>ＰＰ極限提升劑</t>
  </si>
  <si>
    <t>Old Gateau</t>
  </si>
  <si>
    <t>もりのヨウカン</t>
  </si>
  <si>
    <t>Vieux Gâteau</t>
  </si>
  <si>
    <t>Spezialität</t>
  </si>
  <si>
    <t>Barrita Plus</t>
  </si>
  <si>
    <t>Dolce Gateau</t>
  </si>
  <si>
    <t>숲의양갱</t>
  </si>
  <si>
    <t>森之羊羹</t>
  </si>
  <si>
    <t>Sweet Heart</t>
  </si>
  <si>
    <t>ハートスイーツ</t>
  </si>
  <si>
    <t>Chococœur</t>
  </si>
  <si>
    <t>Herzkonfekt</t>
  </si>
  <si>
    <t>Corazón Dulce</t>
  </si>
  <si>
    <t>Dolcecuore</t>
  </si>
  <si>
    <t>하트스위트</t>
  </si>
  <si>
    <t>心形甜點</t>
  </si>
  <si>
    <t>Health Feather</t>
  </si>
  <si>
    <t>たいりょくのハネ</t>
  </si>
  <si>
    <t>Plume Santé</t>
  </si>
  <si>
    <t>Heilfeder</t>
  </si>
  <si>
    <t>Pluma Vigor</t>
  </si>
  <si>
    <t>Piumsalute</t>
  </si>
  <si>
    <t>체력날개</t>
  </si>
  <si>
    <t>體力之羽</t>
  </si>
  <si>
    <t>Muscle Feather</t>
  </si>
  <si>
    <t>きんりょくのハネ</t>
  </si>
  <si>
    <t>Plume Force</t>
  </si>
  <si>
    <t>Kraftfeder</t>
  </si>
  <si>
    <t>Pluma Músculo</t>
  </si>
  <si>
    <t>Piumpotenza</t>
  </si>
  <si>
    <t>근력날개</t>
  </si>
  <si>
    <t>肌力之羽</t>
  </si>
  <si>
    <t>Resist Feather</t>
  </si>
  <si>
    <t>ていこうのハネ</t>
  </si>
  <si>
    <t>Plume Armure</t>
  </si>
  <si>
    <t>Abwehrfeder</t>
  </si>
  <si>
    <t>Pluma Aguante</t>
  </si>
  <si>
    <t>Piumtutela</t>
  </si>
  <si>
    <t>저항력날개</t>
  </si>
  <si>
    <t>抵抗之羽</t>
  </si>
  <si>
    <t>Genius Feather</t>
  </si>
  <si>
    <t>ちりょくのハネ</t>
  </si>
  <si>
    <t>Plume Esprit</t>
  </si>
  <si>
    <t>Geniefeder</t>
  </si>
  <si>
    <t>Pluma Intelecto</t>
  </si>
  <si>
    <t>Piumingegno</t>
  </si>
  <si>
    <t>지력날개</t>
  </si>
  <si>
    <t>智力之羽</t>
  </si>
  <si>
    <t>Clever Feather</t>
  </si>
  <si>
    <t>せいしんのハネ</t>
  </si>
  <si>
    <t>Plume Mental</t>
  </si>
  <si>
    <t>Espritfeder</t>
  </si>
  <si>
    <t>Pluma Mente</t>
  </si>
  <si>
    <t>Piumintuito</t>
  </si>
  <si>
    <t>정신력날개</t>
  </si>
  <si>
    <t>精神之羽</t>
  </si>
  <si>
    <t>Swift Feather</t>
  </si>
  <si>
    <t>しゅんぱつのハネ</t>
  </si>
  <si>
    <t>Plume Sprint</t>
  </si>
  <si>
    <t>Flinkfeder</t>
  </si>
  <si>
    <t>Pluma Impetu</t>
  </si>
  <si>
    <t>Piumreazione</t>
  </si>
  <si>
    <t>순발력날개</t>
  </si>
  <si>
    <t>瞬發之羽</t>
  </si>
  <si>
    <t>Casteliacone</t>
  </si>
  <si>
    <t>ヒウンアイス</t>
  </si>
  <si>
    <t>Glace Volute</t>
  </si>
  <si>
    <t>Stratos-Eis</t>
  </si>
  <si>
    <t>Porcehelado</t>
  </si>
  <si>
    <t>Conostropoli</t>
  </si>
  <si>
    <t>구름아이스</t>
  </si>
  <si>
    <t>飛雲冰淇淋</t>
  </si>
  <si>
    <t>Ability Capsule</t>
  </si>
  <si>
    <t>とくせいカプセル</t>
  </si>
  <si>
    <t>Pilule Talent</t>
  </si>
  <si>
    <t>Fähigk.-Kapsel</t>
  </si>
  <si>
    <t>Cápsula Habilidad</t>
  </si>
  <si>
    <t>Cáps. Habilidad</t>
  </si>
  <si>
    <t>특성캡슐</t>
  </si>
  <si>
    <t>特性膠囊</t>
  </si>
  <si>
    <t>Lumiose Galette</t>
  </si>
  <si>
    <t>ミアレガレット</t>
  </si>
  <si>
    <t>Galette Illumis</t>
  </si>
  <si>
    <t>Illumina-Galette</t>
  </si>
  <si>
    <t>Crêpe Luminalia</t>
  </si>
  <si>
    <t>Pan di Lumi</t>
  </si>
  <si>
    <t>미르갈레트</t>
  </si>
  <si>
    <t>密阿雷格雷派餅</t>
  </si>
  <si>
    <t>Shalour Sable</t>
  </si>
  <si>
    <t>シャラセブレ</t>
  </si>
  <si>
    <t>Sablé Yantreizh</t>
  </si>
  <si>
    <t>Yantara-Sablé</t>
  </si>
  <si>
    <t>Galleta Yantra</t>
  </si>
  <si>
    <t>Yantafrollino</t>
  </si>
  <si>
    <t>사라사블레</t>
  </si>
  <si>
    <t>娑羅沙布蕾</t>
  </si>
  <si>
    <t>Big Malasada</t>
  </si>
  <si>
    <t>おおきいマラサダ</t>
  </si>
  <si>
    <t>Malasada Maxi</t>
  </si>
  <si>
    <t>Maxi-Malasada</t>
  </si>
  <si>
    <t>큰 말라사다</t>
  </si>
  <si>
    <t>大馬拉薩達</t>
  </si>
  <si>
    <t>Pewter Crunchies</t>
  </si>
  <si>
    <t>ニビあられ</t>
  </si>
  <si>
    <t>Crok'Argenta</t>
  </si>
  <si>
    <t>Marmoria-Kräcker</t>
  </si>
  <si>
    <t>Rokikos</t>
  </si>
  <si>
    <t>Plumbeosalatini</t>
  </si>
  <si>
    <t>회색강정</t>
  </si>
  <si>
    <t>深灰米果</t>
  </si>
  <si>
    <t>Exp. Candy XS</t>
  </si>
  <si>
    <t>けいかんアメＸＳ</t>
  </si>
  <si>
    <t>Bonbon Exp. XS</t>
  </si>
  <si>
    <t>EP-Bonbon XS</t>
  </si>
  <si>
    <t>Caramelo Exp. XS</t>
  </si>
  <si>
    <t>Caram. Exp. XS</t>
  </si>
  <si>
    <t>경험사탕ＸＳ</t>
  </si>
  <si>
    <t>经验糖果ＸＳ</t>
  </si>
  <si>
    <t>Exp. Candy S</t>
  </si>
  <si>
    <t>けいかんアメＳ</t>
  </si>
  <si>
    <t>Bonbon Exp. S</t>
  </si>
  <si>
    <t>EP-Bonbon S</t>
  </si>
  <si>
    <t>Caramelo Exp. S</t>
  </si>
  <si>
    <t>Caram. Exp. S</t>
  </si>
  <si>
    <t>경험사탕Ｓ</t>
  </si>
  <si>
    <t>经验糖果Ｓ</t>
  </si>
  <si>
    <t>Exp. Candy M</t>
  </si>
  <si>
    <t>けいかんアメＭ</t>
  </si>
  <si>
    <t>Bonbon Exp. M</t>
  </si>
  <si>
    <t>EP-Bonbon M</t>
  </si>
  <si>
    <t>Caramelo Exp. M</t>
  </si>
  <si>
    <t>Caram. Exp. M</t>
  </si>
  <si>
    <t>경험사탕Ｍ</t>
  </si>
  <si>
    <t>经验糖果Ｍ</t>
  </si>
  <si>
    <t>Exp. Candy L</t>
  </si>
  <si>
    <t>けいかんアメＬ</t>
  </si>
  <si>
    <t>Bonbon Exp. L</t>
  </si>
  <si>
    <t>EP-Bonbon L</t>
  </si>
  <si>
    <t>Caramelo Exp. L</t>
  </si>
  <si>
    <t>Caram. Exp. L</t>
  </si>
  <si>
    <t>경험사탕Ｌ</t>
  </si>
  <si>
    <t>经验糖果Ｌ</t>
  </si>
  <si>
    <t>Exp. Candy XL</t>
  </si>
  <si>
    <t>けいかんアメＸＬ</t>
  </si>
  <si>
    <t>Bonbon Exp. XL</t>
  </si>
  <si>
    <t>EP-Bonbon XL</t>
  </si>
  <si>
    <t>Caramelo Exp. XL</t>
  </si>
  <si>
    <t>Caram. Exp. XL</t>
  </si>
  <si>
    <t>경험사탕ＸＬ</t>
  </si>
  <si>
    <t>经验糖果ＸＬ</t>
  </si>
  <si>
    <t>Dynamax Candy</t>
  </si>
  <si>
    <t>ダイマックスアメ</t>
  </si>
  <si>
    <t>Bonbon Dynamax</t>
  </si>
  <si>
    <t>Dynamax-Bonbon</t>
  </si>
  <si>
    <t>Caramelo Dinamax</t>
  </si>
  <si>
    <t>Caram. Dynamax</t>
  </si>
  <si>
    <t>다이맥스사탕</t>
  </si>
  <si>
    <t>极巨糖果</t>
  </si>
  <si>
    <t>Ability Patch</t>
  </si>
  <si>
    <t>とくせいパッチ</t>
  </si>
  <si>
    <t>Patch Talent</t>
  </si>
  <si>
    <t>Fähigk.-Pflaster</t>
  </si>
  <si>
    <t>Parche Habilidad</t>
  </si>
  <si>
    <t>Cerotto abilità</t>
  </si>
  <si>
    <t>특성패치</t>
  </si>
  <si>
    <t>特性膏藥</t>
  </si>
  <si>
    <t>Health Mochi</t>
  </si>
  <si>
    <t>たいりょくのもち</t>
  </si>
  <si>
    <t>Mochi Santé</t>
  </si>
  <si>
    <t>Heil-Mochi</t>
  </si>
  <si>
    <t>Mochi Vigor</t>
  </si>
  <si>
    <t>Mochi della salute</t>
  </si>
  <si>
    <t>체력떡</t>
  </si>
  <si>
    <t>體力糬</t>
  </si>
  <si>
    <t>体力粘糕</t>
  </si>
  <si>
    <t>Muscle Mochi</t>
  </si>
  <si>
    <t>きんりょくのもと</t>
  </si>
  <si>
    <t>Mochi Force</t>
  </si>
  <si>
    <t>Kraft-Mochi</t>
  </si>
  <si>
    <t>Mochi Músculo</t>
  </si>
  <si>
    <t>Mochi della potenza</t>
  </si>
  <si>
    <t>근력떡</t>
  </si>
  <si>
    <t>肌力糬</t>
  </si>
  <si>
    <t>肌力粘糕</t>
  </si>
  <si>
    <t>Resist Mochi</t>
  </si>
  <si>
    <t>ていこうのもと</t>
  </si>
  <si>
    <t>Mochi Armure</t>
  </si>
  <si>
    <t>Abwehr-Mochi</t>
  </si>
  <si>
    <t>Mochi Aguante</t>
  </si>
  <si>
    <t>Mochi della tutela</t>
  </si>
  <si>
    <t>저항력떡</t>
  </si>
  <si>
    <t>抵抗糬</t>
  </si>
  <si>
    <t>抵抗粘糕</t>
  </si>
  <si>
    <t>Genius Mochi</t>
  </si>
  <si>
    <t>ちりょくのもち</t>
  </si>
  <si>
    <t>Mochi Esprite</t>
  </si>
  <si>
    <t>Genie-Mochi</t>
  </si>
  <si>
    <t>Mochi Intelecto</t>
  </si>
  <si>
    <t>Mochi dell’ingegno</t>
  </si>
  <si>
    <t>지력떡</t>
  </si>
  <si>
    <t>智力糬</t>
  </si>
  <si>
    <t>智力粘糕</t>
  </si>
  <si>
    <t>Clever Mochi</t>
  </si>
  <si>
    <t>せいしんのもち</t>
  </si>
  <si>
    <t>Mochi Mental</t>
  </si>
  <si>
    <t>Esprit-Mochi</t>
  </si>
  <si>
    <t>Mochi Mente</t>
  </si>
  <si>
    <t>Mochi dell’intuito</t>
  </si>
  <si>
    <t>정신력떡</t>
  </si>
  <si>
    <t>精神糬</t>
  </si>
  <si>
    <t>精神粘糕</t>
  </si>
  <si>
    <t>Swift Mochi</t>
  </si>
  <si>
    <t>しゅんぱつのもち</t>
  </si>
  <si>
    <t>Mochi Sprint</t>
  </si>
  <si>
    <t>Flink-Mochi</t>
  </si>
  <si>
    <t>Mochi Ímpetu</t>
  </si>
  <si>
    <t>Mochi della reazione</t>
  </si>
  <si>
    <t>순발력떡</t>
  </si>
  <si>
    <t>瞬發糬</t>
  </si>
  <si>
    <t>瞬发粘糕</t>
  </si>
  <si>
    <t>Fresh-Start Mochi</t>
  </si>
  <si>
    <t>まっさらもち</t>
  </si>
  <si>
    <t>Mochi Renouveau</t>
  </si>
  <si>
    <t>Neuanfangs-Mochi</t>
  </si>
  <si>
    <t>Mochi Reinicio</t>
  </si>
  <si>
    <t>Mochi del repristino</t>
  </si>
  <si>
    <t>순백떡</t>
  </si>
  <si>
    <t>淨空糬</t>
  </si>
  <si>
    <t>净空粘糕</t>
  </si>
  <si>
    <t>Master Ball</t>
  </si>
  <si>
    <t>マスダーボール</t>
  </si>
  <si>
    <t>Meisterball</t>
  </si>
  <si>
    <t>마스터볼</t>
  </si>
  <si>
    <t>大師球</t>
  </si>
  <si>
    <t>Ultra Ball</t>
  </si>
  <si>
    <t>ハイパーボール</t>
  </si>
  <si>
    <t>Hyper Ball</t>
  </si>
  <si>
    <t>Hyperball</t>
  </si>
  <si>
    <t>하이퍼볼</t>
  </si>
  <si>
    <t>高級球</t>
  </si>
  <si>
    <t>Great Ball</t>
  </si>
  <si>
    <t>スーパーボール</t>
  </si>
  <si>
    <t>Super Ball</t>
  </si>
  <si>
    <t>Superball</t>
  </si>
  <si>
    <t>Mega Ball</t>
  </si>
  <si>
    <t>수퍼볼</t>
  </si>
  <si>
    <t>超級球</t>
  </si>
  <si>
    <t>NAME_ITEM_POKEBALL</t>
  </si>
  <si>
    <t>Poke Ball</t>
  </si>
  <si>
    <t>モンスターボール</t>
  </si>
  <si>
    <t>Pokeball</t>
  </si>
  <si>
    <t>몬스터볼</t>
  </si>
  <si>
    <t>精靈球</t>
  </si>
  <si>
    <t>Safari Ball</t>
  </si>
  <si>
    <t>サファリボール</t>
  </si>
  <si>
    <t>Safariball</t>
  </si>
  <si>
    <t>사파리볼</t>
  </si>
  <si>
    <t>狩獵球</t>
  </si>
  <si>
    <t>Fast Ball</t>
  </si>
  <si>
    <t>スピードボール</t>
  </si>
  <si>
    <t>Speed Ball</t>
  </si>
  <si>
    <t>Turboball</t>
  </si>
  <si>
    <t>Rapid Ball</t>
  </si>
  <si>
    <t>스피드볼</t>
  </si>
  <si>
    <t>速度球</t>
  </si>
  <si>
    <t>Level Ball</t>
  </si>
  <si>
    <t>レベルボール</t>
  </si>
  <si>
    <t>Niveau Ball</t>
  </si>
  <si>
    <t>Levelball</t>
  </si>
  <si>
    <t>Nivel Ball</t>
  </si>
  <si>
    <t>레벨볼</t>
  </si>
  <si>
    <t>等級球</t>
  </si>
  <si>
    <t>Lure Ball</t>
  </si>
  <si>
    <t>ルアーボール</t>
  </si>
  <si>
    <t>Appât Ball</t>
  </si>
  <si>
    <t>Köderball</t>
  </si>
  <si>
    <t>Cebo Ball</t>
  </si>
  <si>
    <t>Esca Ball</t>
  </si>
  <si>
    <t>루어볼</t>
  </si>
  <si>
    <t>誘餌球</t>
  </si>
  <si>
    <t>Heavy Ball</t>
  </si>
  <si>
    <t>ヘビーボール</t>
  </si>
  <si>
    <t>Masse Ball</t>
  </si>
  <si>
    <t>Schwerball</t>
  </si>
  <si>
    <t>Peso Ball</t>
  </si>
  <si>
    <t>헤비볼</t>
  </si>
  <si>
    <t>沉重球</t>
  </si>
  <si>
    <t>Love Ball</t>
  </si>
  <si>
    <t>ラブラブボール</t>
  </si>
  <si>
    <t>Sympaball</t>
  </si>
  <si>
    <t>Amor Ball</t>
  </si>
  <si>
    <t>러브러브볼</t>
  </si>
  <si>
    <t>甜蜜球</t>
  </si>
  <si>
    <t>Friend Ball</t>
  </si>
  <si>
    <t>フレンドボール</t>
  </si>
  <si>
    <t>Copain Ball</t>
  </si>
  <si>
    <t>Freundesball</t>
  </si>
  <si>
    <t>Amigo Ball</t>
  </si>
  <si>
    <t>프랜드볼</t>
  </si>
  <si>
    <t>友友球</t>
  </si>
  <si>
    <t>Moon Ball</t>
  </si>
  <si>
    <t>ムーンボール</t>
  </si>
  <si>
    <t>Lune Ball</t>
  </si>
  <si>
    <t>Mondball</t>
  </si>
  <si>
    <t>Luna Ball</t>
  </si>
  <si>
    <t>문볼</t>
  </si>
  <si>
    <t>月亮球</t>
  </si>
  <si>
    <t>Sport Ball</t>
  </si>
  <si>
    <t>コンペボール</t>
  </si>
  <si>
    <t>Compét'Ball</t>
  </si>
  <si>
    <t>Turnierball</t>
  </si>
  <si>
    <t>Competi Ball</t>
  </si>
  <si>
    <t>Gara Ball</t>
  </si>
  <si>
    <t>콤페볼</t>
  </si>
  <si>
    <t>競賽球</t>
  </si>
  <si>
    <t>Net Ball</t>
  </si>
  <si>
    <t>ネットボール</t>
  </si>
  <si>
    <t>Filet Ball</t>
  </si>
  <si>
    <t>Netzball</t>
  </si>
  <si>
    <t>Malla Ball</t>
  </si>
  <si>
    <t>Rete Ball</t>
  </si>
  <si>
    <t>넷트볼</t>
  </si>
  <si>
    <t>捕網球</t>
  </si>
  <si>
    <t>Dive Ball</t>
  </si>
  <si>
    <t>ダイブボール</t>
  </si>
  <si>
    <t>Scuba Ball</t>
  </si>
  <si>
    <t>Tauchball</t>
  </si>
  <si>
    <t>Buceo Ball</t>
  </si>
  <si>
    <t>Sub Ball</t>
  </si>
  <si>
    <t>다이브볼</t>
  </si>
  <si>
    <t>潛水球</t>
  </si>
  <si>
    <t>Nest Ball</t>
  </si>
  <si>
    <t>ネストボール</t>
  </si>
  <si>
    <t>Faiblo Ball</t>
  </si>
  <si>
    <t>Nestball</t>
  </si>
  <si>
    <t>Nido Ball</t>
  </si>
  <si>
    <t>Minor Ball</t>
  </si>
  <si>
    <t>네스트볼</t>
  </si>
  <si>
    <t>巢穴球</t>
  </si>
  <si>
    <t>Repeat Ball</t>
  </si>
  <si>
    <t>リピートボール</t>
  </si>
  <si>
    <t>Bis Ball</t>
  </si>
  <si>
    <t>Wiederball</t>
  </si>
  <si>
    <t>Acopio Ball</t>
  </si>
  <si>
    <t>리피트볼</t>
  </si>
  <si>
    <t>重複球</t>
  </si>
  <si>
    <t>Timer Ball</t>
  </si>
  <si>
    <t>タイマーボール</t>
  </si>
  <si>
    <t>Chrono Ball</t>
  </si>
  <si>
    <t>Timerball</t>
  </si>
  <si>
    <t>Turno Ball</t>
  </si>
  <si>
    <t>타이마볼</t>
  </si>
  <si>
    <t>計時球</t>
  </si>
  <si>
    <t>Luxury Ball</t>
  </si>
  <si>
    <t>ゴージャスボール</t>
  </si>
  <si>
    <t>Luxe Ball</t>
  </si>
  <si>
    <t>Luxusball</t>
  </si>
  <si>
    <t>Lujo Ball</t>
  </si>
  <si>
    <t>Chic Ball</t>
  </si>
  <si>
    <t>럭셔리볼</t>
  </si>
  <si>
    <t>豪華球</t>
  </si>
  <si>
    <t>Premier Ball</t>
  </si>
  <si>
    <t>プレミアボール</t>
  </si>
  <si>
    <t>Honor Ball</t>
  </si>
  <si>
    <t>Premierball</t>
  </si>
  <si>
    <t>프레미어볼</t>
  </si>
  <si>
    <t>紀念球</t>
  </si>
  <si>
    <t>Dusk Ball</t>
  </si>
  <si>
    <t>ダークボール</t>
  </si>
  <si>
    <t>Sombre Ball</t>
  </si>
  <si>
    <t>Finsterball</t>
  </si>
  <si>
    <t>Ocaso Ball</t>
  </si>
  <si>
    <t>Scuro Ball</t>
  </si>
  <si>
    <t>다크볼</t>
  </si>
  <si>
    <t>黑暗球</t>
  </si>
  <si>
    <t>Heal Ball</t>
  </si>
  <si>
    <t>ヒールボール</t>
  </si>
  <si>
    <t>Soin Ball</t>
  </si>
  <si>
    <t>Heilball</t>
  </si>
  <si>
    <t>Sana Ball</t>
  </si>
  <si>
    <t>Cura Ball</t>
  </si>
  <si>
    <t>힐볼</t>
  </si>
  <si>
    <t>治癒球</t>
  </si>
  <si>
    <t>Quick Ball</t>
  </si>
  <si>
    <t>クイックボール</t>
  </si>
  <si>
    <t>Rapide Ball</t>
  </si>
  <si>
    <t>Flottbal</t>
  </si>
  <si>
    <t>Veloz Ball</t>
  </si>
  <si>
    <t>Velox Ball</t>
  </si>
  <si>
    <t>퀵볼</t>
  </si>
  <si>
    <t>先機球</t>
  </si>
  <si>
    <t>Cherish Ball</t>
  </si>
  <si>
    <t>プレシャスボール</t>
  </si>
  <si>
    <t>Mémoire Ball</t>
  </si>
  <si>
    <t>Jubelball</t>
  </si>
  <si>
    <t>Gloria Ball</t>
  </si>
  <si>
    <t>Pregio Ball</t>
  </si>
  <si>
    <t>프레셔스볼</t>
  </si>
  <si>
    <t>貴重球</t>
  </si>
  <si>
    <t>Park Ball</t>
  </si>
  <si>
    <t>パークボール</t>
  </si>
  <si>
    <t>Parc Ball</t>
  </si>
  <si>
    <t>Parkball</t>
  </si>
  <si>
    <t>Parque Ball</t>
  </si>
  <si>
    <t>Parco Ball</t>
  </si>
  <si>
    <t>파크볼</t>
  </si>
  <si>
    <t>公園球</t>
  </si>
  <si>
    <t>Dream Ball</t>
  </si>
  <si>
    <t>ドリームボール</t>
  </si>
  <si>
    <t>Rêve Ball</t>
  </si>
  <si>
    <t>Traumball</t>
  </si>
  <si>
    <t>Ensueño Ball</t>
  </si>
  <si>
    <t>드림볼</t>
  </si>
  <si>
    <t>夢境球</t>
  </si>
  <si>
    <t>Beast Ball</t>
  </si>
  <si>
    <t>ウルトラボール</t>
  </si>
  <si>
    <t>Ultraball</t>
  </si>
  <si>
    <t>Ente Ball</t>
  </si>
  <si>
    <t>UC Ball</t>
  </si>
  <si>
    <t>울트라볼</t>
  </si>
  <si>
    <t>究極球</t>
  </si>
  <si>
    <t>Guard Spec.</t>
  </si>
  <si>
    <t>エフェクトガード</t>
  </si>
  <si>
    <t>Garde-Stats</t>
  </si>
  <si>
    <t>Megablock</t>
  </si>
  <si>
    <t>Protección X</t>
  </si>
  <si>
    <t>Superguardia</t>
  </si>
  <si>
    <t>이펙트가드</t>
  </si>
  <si>
    <t>能力防守</t>
  </si>
  <si>
    <t>Dire Hit</t>
  </si>
  <si>
    <t>クリティカット</t>
  </si>
  <si>
    <t>Muscle +</t>
  </si>
  <si>
    <t>Angriffplus</t>
  </si>
  <si>
    <t>Crítico X</t>
  </si>
  <si>
    <t>Supercolpo</t>
  </si>
  <si>
    <t>크리티컬커터</t>
  </si>
  <si>
    <t>要害攻擊</t>
  </si>
  <si>
    <t>X Attack</t>
  </si>
  <si>
    <t>プラスパワー</t>
  </si>
  <si>
    <t>Attaque +</t>
  </si>
  <si>
    <t>X-Angriff</t>
  </si>
  <si>
    <t>Ataque X</t>
  </si>
  <si>
    <t>Attaco X</t>
  </si>
  <si>
    <t>플러스파워</t>
  </si>
  <si>
    <t>力量強化</t>
  </si>
  <si>
    <t>X Defence</t>
  </si>
  <si>
    <t>ディフェンダー</t>
  </si>
  <si>
    <t>Défense +</t>
  </si>
  <si>
    <t>X-Verteidigung</t>
  </si>
  <si>
    <t>Defensa X</t>
  </si>
  <si>
    <t>Difesa X</t>
  </si>
  <si>
    <t>디펜드업</t>
  </si>
  <si>
    <t>防禦強化</t>
  </si>
  <si>
    <t>X Speed</t>
  </si>
  <si>
    <t>スピーダー</t>
  </si>
  <si>
    <t>Vitesse +</t>
  </si>
  <si>
    <t>X-Initiative</t>
  </si>
  <si>
    <t>Velocidad X</t>
  </si>
  <si>
    <t>Velocità X</t>
  </si>
  <si>
    <t>스피드업</t>
  </si>
  <si>
    <t>速度強化</t>
  </si>
  <si>
    <t>X Accuracy</t>
  </si>
  <si>
    <t>ヨクアタール</t>
  </si>
  <si>
    <t>Précision +</t>
  </si>
  <si>
    <t>X-Genauigkeit</t>
  </si>
  <si>
    <t>Precisión X</t>
  </si>
  <si>
    <t>Precisione X</t>
  </si>
  <si>
    <t>잘-맞히기</t>
  </si>
  <si>
    <t>命中強化</t>
  </si>
  <si>
    <t>X Sp. Atk</t>
  </si>
  <si>
    <t>スペシャルアップ</t>
  </si>
  <si>
    <t>Atq. Spé. +</t>
  </si>
  <si>
    <t>X-Sp.-Ang.</t>
  </si>
  <si>
    <t>At. Especial X</t>
  </si>
  <si>
    <t>Att. Speciale X</t>
  </si>
  <si>
    <t>스페셜업</t>
  </si>
  <si>
    <t>特攻強化</t>
  </si>
  <si>
    <t>NAME_ITEM_POKEDOLL</t>
  </si>
  <si>
    <t>Poke Doll</t>
  </si>
  <si>
    <t>ピッピにんぎょう</t>
  </si>
  <si>
    <t>Poke Poupée</t>
  </si>
  <si>
    <t>Pokepuppe</t>
  </si>
  <si>
    <t>Poke Muñeco</t>
  </si>
  <si>
    <t>Poke Bambola</t>
  </si>
  <si>
    <t>삐삐인형</t>
  </si>
  <si>
    <t>皮皮玩偶</t>
  </si>
  <si>
    <t>Blue Flute</t>
  </si>
  <si>
    <t>あおいビードロ</t>
  </si>
  <si>
    <t>Flûte Bleue</t>
  </si>
  <si>
    <t>Blaue Flöte</t>
  </si>
  <si>
    <t>Flauta Azul</t>
  </si>
  <si>
    <t>Flauto Blu</t>
  </si>
  <si>
    <t>파랑비드로</t>
  </si>
  <si>
    <t>藍色玻璃哨</t>
  </si>
  <si>
    <t>Yellow Flute</t>
  </si>
  <si>
    <t>きいろビードロ</t>
  </si>
  <si>
    <t>Flûte Jaune</t>
  </si>
  <si>
    <t>Gelbe Flöte</t>
  </si>
  <si>
    <t>Flauta Amarilla</t>
  </si>
  <si>
    <t>Flauto Giallo</t>
  </si>
  <si>
    <t>노랑비드로</t>
  </si>
  <si>
    <t>黃色玻璃哨</t>
  </si>
  <si>
    <t>Red Flute</t>
  </si>
  <si>
    <t>あかいビードロ</t>
  </si>
  <si>
    <t>Flûte Rouge</t>
  </si>
  <si>
    <t>Rote Flöte</t>
  </si>
  <si>
    <t>Flauta Roja</t>
  </si>
  <si>
    <t>Flauto Rosso</t>
  </si>
  <si>
    <t>빨강비드로</t>
  </si>
  <si>
    <t>紅色玻璃哨</t>
  </si>
  <si>
    <t>X Sp. Def</t>
  </si>
  <si>
    <t>スペシャルガード</t>
  </si>
  <si>
    <t>Def. Spé. +</t>
  </si>
  <si>
    <t>X-Sp.-Vert.</t>
  </si>
  <si>
    <t>Def. Especial X</t>
  </si>
  <si>
    <t>Dif. Speciale X</t>
  </si>
  <si>
    <t>스페셜가드</t>
  </si>
  <si>
    <t>特防強化</t>
  </si>
  <si>
    <t>Fluffy Tail</t>
  </si>
  <si>
    <t>エネコのシッポ</t>
  </si>
  <si>
    <t>Queue Skitty</t>
  </si>
  <si>
    <t>Eneco-Rute</t>
  </si>
  <si>
    <t>Cola Skitty</t>
  </si>
  <si>
    <t>Coda Skitty</t>
  </si>
  <si>
    <t>에나비꼬리</t>
  </si>
  <si>
    <t>向尾喵的尾巴</t>
  </si>
  <si>
    <t>NAME_ITEM_POKETOY</t>
  </si>
  <si>
    <t>Poke Toy</t>
  </si>
  <si>
    <t>ポケじゃらし</t>
  </si>
  <si>
    <t>Poke Plumet</t>
  </si>
  <si>
    <t>Pokewedel</t>
  </si>
  <si>
    <t>Pokeseñuelo</t>
  </si>
  <si>
    <t>Pokegingillo</t>
  </si>
  <si>
    <t>포켓풀</t>
  </si>
  <si>
    <t>寶可尾草</t>
  </si>
  <si>
    <t>Cheri Berry</t>
  </si>
  <si>
    <t>クラボのみ</t>
  </si>
  <si>
    <t>Baie Ceriz</t>
  </si>
  <si>
    <t>Amrenabeere</t>
  </si>
  <si>
    <t>Baya Zreza</t>
  </si>
  <si>
    <t>Baccaliegia</t>
  </si>
  <si>
    <t>버치열매</t>
  </si>
  <si>
    <t>櫻子果</t>
  </si>
  <si>
    <t>Chesto Berry</t>
  </si>
  <si>
    <t>カゴのみ</t>
  </si>
  <si>
    <t>Baie Maron</t>
  </si>
  <si>
    <t>Maronbeere</t>
  </si>
  <si>
    <t>Baya Atania</t>
  </si>
  <si>
    <t>Baccastagna</t>
  </si>
  <si>
    <t>유루열매</t>
  </si>
  <si>
    <t>零餘果</t>
  </si>
  <si>
    <t>Pecha Berry</t>
  </si>
  <si>
    <t>モモのみ</t>
  </si>
  <si>
    <t>Baie Pêcha</t>
  </si>
  <si>
    <t>Pirsifbeere</t>
  </si>
  <si>
    <t>Baya Meloc</t>
  </si>
  <si>
    <t>Baccapesca</t>
  </si>
  <si>
    <t>복슝열매</t>
  </si>
  <si>
    <t>桃桃果</t>
  </si>
  <si>
    <t>Rawst Berry</t>
  </si>
  <si>
    <t>チーゴのみ</t>
  </si>
  <si>
    <t>Baie Fraive</t>
  </si>
  <si>
    <t>Fragiabeere</t>
  </si>
  <si>
    <t>Baya Safre</t>
  </si>
  <si>
    <t>Baccafrago</t>
  </si>
  <si>
    <t>복분열매</t>
  </si>
  <si>
    <t>莓莓果</t>
  </si>
  <si>
    <t>Aspear Berry</t>
  </si>
  <si>
    <t>ナナシのみ</t>
  </si>
  <si>
    <t>Baie Willia</t>
  </si>
  <si>
    <t>Wilbirbeere</t>
  </si>
  <si>
    <t>Baya Perasi</t>
  </si>
  <si>
    <t>Baccaperina</t>
  </si>
  <si>
    <t>배리열매</t>
  </si>
  <si>
    <t>利木果</t>
  </si>
  <si>
    <t>Leppa Berry</t>
  </si>
  <si>
    <t>ヒメリのみ</t>
  </si>
  <si>
    <t>Baie Mepo</t>
  </si>
  <si>
    <t>Jonagobeere</t>
  </si>
  <si>
    <t>Baya Zenama</t>
  </si>
  <si>
    <t>Baccamela</t>
  </si>
  <si>
    <t>과사열매</t>
  </si>
  <si>
    <t>蘋野果</t>
  </si>
  <si>
    <t>Oran Berry</t>
  </si>
  <si>
    <t>オレンのみ</t>
  </si>
  <si>
    <t>Baie Oran</t>
  </si>
  <si>
    <t>Sinelbeere</t>
  </si>
  <si>
    <t>Baya Aranja</t>
  </si>
  <si>
    <t>Baccarancia</t>
  </si>
  <si>
    <t>오랭열매</t>
  </si>
  <si>
    <t>橙橙果</t>
  </si>
  <si>
    <t>Persim Berry</t>
  </si>
  <si>
    <t>キーのみ</t>
  </si>
  <si>
    <t>Baie Kika</t>
  </si>
  <si>
    <t>Persimbeere</t>
  </si>
  <si>
    <t>Baya Caquic</t>
  </si>
  <si>
    <t>Baccaki</t>
  </si>
  <si>
    <t>시몬열매</t>
  </si>
  <si>
    <t>柿仔果</t>
  </si>
  <si>
    <t>Lum Berry</t>
  </si>
  <si>
    <t>ラムのみ</t>
  </si>
  <si>
    <t>Baie Prine</t>
  </si>
  <si>
    <t>Prunusbeere</t>
  </si>
  <si>
    <t>Baya Ziuela</t>
  </si>
  <si>
    <t>Baccaprugna</t>
  </si>
  <si>
    <t>리샘열매</t>
  </si>
  <si>
    <t>木子果</t>
  </si>
  <si>
    <t>Sitrus Berry</t>
  </si>
  <si>
    <t>オボンのみ</t>
  </si>
  <si>
    <t>Baie Sitrus</t>
  </si>
  <si>
    <t>Tsitrubeere</t>
  </si>
  <si>
    <t>Baya Zidra</t>
  </si>
  <si>
    <t>Baccacedro</t>
  </si>
  <si>
    <t>자뭉열매</t>
  </si>
  <si>
    <t>文柚果</t>
  </si>
  <si>
    <t>Figy Berry</t>
  </si>
  <si>
    <t>フィラのみ</t>
  </si>
  <si>
    <t>Baie Figuy</t>
  </si>
  <si>
    <t>Giefebeere</t>
  </si>
  <si>
    <t>Baya Higog</t>
  </si>
  <si>
    <t>Baccafico</t>
  </si>
  <si>
    <t>무화열매</t>
  </si>
  <si>
    <t>勿花果</t>
  </si>
  <si>
    <t>Wiki Berry</t>
  </si>
  <si>
    <t>ウイのみ</t>
  </si>
  <si>
    <t>Baie Wiki</t>
  </si>
  <si>
    <t>Wikibeere</t>
  </si>
  <si>
    <t>Baya Wiki</t>
  </si>
  <si>
    <t>Baccakiwi</t>
  </si>
  <si>
    <t>위키열매</t>
  </si>
  <si>
    <t>異奇果</t>
  </si>
  <si>
    <t>Mago Berry</t>
  </si>
  <si>
    <t>マゴのみ</t>
  </si>
  <si>
    <t>Baie Mago</t>
  </si>
  <si>
    <t>Magobeere</t>
  </si>
  <si>
    <t>Baya Ango</t>
  </si>
  <si>
    <t>Baccamango</t>
  </si>
  <si>
    <t>마고열매</t>
  </si>
  <si>
    <t>芒芒果</t>
  </si>
  <si>
    <t>Aguav Berry</t>
  </si>
  <si>
    <t>バンジのみ</t>
  </si>
  <si>
    <t>Baie Gowav</t>
  </si>
  <si>
    <t>Guavebeere</t>
  </si>
  <si>
    <t>Baya Guaya</t>
  </si>
  <si>
    <t>Baccaguava</t>
  </si>
  <si>
    <t>아바열매</t>
  </si>
  <si>
    <t>樂芭果</t>
  </si>
  <si>
    <t>Iapapa Berry</t>
  </si>
  <si>
    <t>イアのみ</t>
  </si>
  <si>
    <t>Baie Papaya</t>
  </si>
  <si>
    <t>Yapabeere</t>
  </si>
  <si>
    <t>Baya Pabaya</t>
  </si>
  <si>
    <t>Baccapaia</t>
  </si>
  <si>
    <t>파야열매</t>
  </si>
  <si>
    <t>芭亞果</t>
  </si>
  <si>
    <t>Razz Berry</t>
  </si>
  <si>
    <t>ズリのみ</t>
  </si>
  <si>
    <t>Baie Framby</t>
  </si>
  <si>
    <t>Himmihbeere</t>
  </si>
  <si>
    <t>Baya Frambu</t>
  </si>
  <si>
    <t>Baccalampon</t>
  </si>
  <si>
    <t>라즈열매</t>
  </si>
  <si>
    <t>蔓莓果</t>
  </si>
  <si>
    <t>Bluk Berry</t>
  </si>
  <si>
    <t>ブリーのみ</t>
  </si>
  <si>
    <t>Baie Remu</t>
  </si>
  <si>
    <t>Morbbeere</t>
  </si>
  <si>
    <t>Baya Oram</t>
  </si>
  <si>
    <t>Baccamora</t>
  </si>
  <si>
    <t>블리열매</t>
  </si>
  <si>
    <t>墨莓果</t>
  </si>
  <si>
    <t>Nanab Berry</t>
  </si>
  <si>
    <t>ナナのみ</t>
  </si>
  <si>
    <t>Baie Nanab</t>
  </si>
  <si>
    <t>Nanabbeere</t>
  </si>
  <si>
    <t>Baya Latano</t>
  </si>
  <si>
    <t>Baccabana</t>
  </si>
  <si>
    <t>나나열매</t>
  </si>
  <si>
    <t>蕉香果</t>
  </si>
  <si>
    <t>Wepear Berry</t>
  </si>
  <si>
    <t>セシナのみ</t>
  </si>
  <si>
    <t>Baie Repoi</t>
  </si>
  <si>
    <t>Nirbebeere</t>
  </si>
  <si>
    <t>Baya Peragu</t>
  </si>
  <si>
    <t>Baccapera</t>
  </si>
  <si>
    <t>서배열매</t>
  </si>
  <si>
    <t>西梨果</t>
  </si>
  <si>
    <t>Pinap Berry</t>
  </si>
  <si>
    <t>パイルのみ</t>
  </si>
  <si>
    <t>Baie Nanana</t>
  </si>
  <si>
    <t>Sananabeere</t>
  </si>
  <si>
    <t>Baya Pinia</t>
  </si>
  <si>
    <t>Baccananas</t>
  </si>
  <si>
    <t>파인열매</t>
  </si>
  <si>
    <t>凰梨果</t>
  </si>
  <si>
    <t>Pomeg Berry</t>
  </si>
  <si>
    <t>ザロクのみ</t>
  </si>
  <si>
    <t>Baie Grena</t>
  </si>
  <si>
    <t>Granabeere</t>
  </si>
  <si>
    <t>Baya Grana</t>
  </si>
  <si>
    <t>Baccagrana</t>
  </si>
  <si>
    <t>유석열매</t>
  </si>
  <si>
    <t>榴石果</t>
  </si>
  <si>
    <t>Kelpsy Berry</t>
  </si>
  <si>
    <t>ネコブのみ</t>
  </si>
  <si>
    <t>Baie Alga</t>
  </si>
  <si>
    <t>Setangbeere</t>
  </si>
  <si>
    <t>Baya Algama</t>
  </si>
  <si>
    <t>Baccalga</t>
  </si>
  <si>
    <t>시마열매</t>
  </si>
  <si>
    <t>藻根果</t>
  </si>
  <si>
    <t>Qualot Berry</t>
  </si>
  <si>
    <t>タポルのみ</t>
  </si>
  <si>
    <t>Baie Qualot</t>
  </si>
  <si>
    <t>Qualotbeere</t>
  </si>
  <si>
    <t>Baya Ispero</t>
  </si>
  <si>
    <t>Baccaloquat</t>
  </si>
  <si>
    <t>파비열매</t>
  </si>
  <si>
    <t>比巴果</t>
  </si>
  <si>
    <t>Hondew Berry</t>
  </si>
  <si>
    <t>ロメのみ</t>
  </si>
  <si>
    <t>Baie Lonme</t>
  </si>
  <si>
    <t>Honmelbeere</t>
  </si>
  <si>
    <t>Baya Meluce</t>
  </si>
  <si>
    <t>Baccamelon</t>
  </si>
  <si>
    <t>로매열매</t>
  </si>
  <si>
    <t>哈密果</t>
  </si>
  <si>
    <t>Grepa Berry</t>
  </si>
  <si>
    <t>ウブのみ</t>
  </si>
  <si>
    <t>Baie Résin</t>
  </si>
  <si>
    <t>Labrusbeere</t>
  </si>
  <si>
    <t>Baya Uvav</t>
  </si>
  <si>
    <t>Baccauva</t>
  </si>
  <si>
    <t>또뽀열매</t>
  </si>
  <si>
    <t>萄葡果</t>
  </si>
  <si>
    <t>Tamato Berry</t>
  </si>
  <si>
    <t>マトマのみ</t>
  </si>
  <si>
    <t>Baie Tamato</t>
  </si>
  <si>
    <t>Tamotbeere</t>
  </si>
  <si>
    <t>Baya Tamate</t>
  </si>
  <si>
    <t>Baccamodoro</t>
  </si>
  <si>
    <t>토망열매</t>
  </si>
  <si>
    <t>茄番果</t>
  </si>
  <si>
    <t>Cornn Berry</t>
  </si>
  <si>
    <t>モコシのみ</t>
  </si>
  <si>
    <t>Baie Siam</t>
  </si>
  <si>
    <t>Saimbeere</t>
  </si>
  <si>
    <t>Baya Mais</t>
  </si>
  <si>
    <t>Baccavena</t>
  </si>
  <si>
    <t>수숙열매</t>
  </si>
  <si>
    <t>玉黍果</t>
  </si>
  <si>
    <t>Magost Berry</t>
  </si>
  <si>
    <t>ゴスのみ</t>
  </si>
  <si>
    <t>Baie Mangou</t>
  </si>
  <si>
    <t>Magostbeere</t>
  </si>
  <si>
    <t>Baya Aostan</t>
  </si>
  <si>
    <t>Baccagostan</t>
  </si>
  <si>
    <t>고스티열매</t>
  </si>
  <si>
    <t>岳竹果</t>
  </si>
  <si>
    <t>Rabuta Berry</t>
  </si>
  <si>
    <t>ラブタのみ</t>
  </si>
  <si>
    <t>Baie Rabuta</t>
  </si>
  <si>
    <t>Rabutabeere</t>
  </si>
  <si>
    <t>Baya Rautan</t>
  </si>
  <si>
    <t>Baccambutan</t>
  </si>
  <si>
    <t>라부탐열매</t>
  </si>
  <si>
    <t>茸丹果</t>
  </si>
  <si>
    <t>Nomel Berry</t>
  </si>
  <si>
    <t>ノメルのみ</t>
  </si>
  <si>
    <t>Baie Tronci</t>
  </si>
  <si>
    <t>Tronzibeere</t>
  </si>
  <si>
    <t>Baya Monli</t>
  </si>
  <si>
    <t>Baccalemon</t>
  </si>
  <si>
    <t>노멜열매</t>
  </si>
  <si>
    <t>檬檸果</t>
  </si>
  <si>
    <t>Spelon Berry</t>
  </si>
  <si>
    <t>ノワキのみ</t>
  </si>
  <si>
    <t>Baie Kiwan</t>
  </si>
  <si>
    <t>Kiwanbeere</t>
  </si>
  <si>
    <t>Baya Wikano</t>
  </si>
  <si>
    <t>Baccamelos</t>
  </si>
  <si>
    <t>메호키열매</t>
  </si>
  <si>
    <t>刺角果</t>
  </si>
  <si>
    <t>Pamtre Berry</t>
  </si>
  <si>
    <t>シーヤのみ</t>
  </si>
  <si>
    <t>Baie Palma</t>
  </si>
  <si>
    <t>Pallmbeere</t>
  </si>
  <si>
    <t>Baya Plama</t>
  </si>
  <si>
    <t>Baccapalma</t>
  </si>
  <si>
    <t>자야열매</t>
  </si>
  <si>
    <t>椰木果</t>
  </si>
  <si>
    <t>Watmel Berry</t>
  </si>
  <si>
    <t>カイスのみ</t>
  </si>
  <si>
    <t>Baie Stekpa</t>
  </si>
  <si>
    <t>Wasmelbeere</t>
  </si>
  <si>
    <t>Baya Sambia</t>
  </si>
  <si>
    <t>Baccacomero</t>
  </si>
  <si>
    <t>슈박열매</t>
  </si>
  <si>
    <t>瓜西果</t>
  </si>
  <si>
    <t>Durin Berry</t>
  </si>
  <si>
    <t>ドリのみ</t>
  </si>
  <si>
    <t>Baie Durin</t>
  </si>
  <si>
    <t>Durinbeere</t>
  </si>
  <si>
    <t>Baya Rudion</t>
  </si>
  <si>
    <t>Baccadurian</t>
  </si>
  <si>
    <t>두리열매</t>
  </si>
  <si>
    <t>金枕果</t>
  </si>
  <si>
    <t>Belue Berry</t>
  </si>
  <si>
    <t>ベリブのみ</t>
  </si>
  <si>
    <t>Baie Myrte</t>
  </si>
  <si>
    <t>Myrtilbeere</t>
  </si>
  <si>
    <t>Baya Andano</t>
  </si>
  <si>
    <t>Baccartillo</t>
  </si>
  <si>
    <t>루베열매</t>
  </si>
  <si>
    <t>靛莓果</t>
  </si>
  <si>
    <t>Leichi Berry</t>
  </si>
  <si>
    <t>チイラのみ</t>
  </si>
  <si>
    <t>Baie Lichii</t>
  </si>
  <si>
    <t>Lydzibeere</t>
  </si>
  <si>
    <t>Baya Lichi</t>
  </si>
  <si>
    <t>Baccalici</t>
  </si>
  <si>
    <t>치리열매</t>
  </si>
  <si>
    <t>枝荔果</t>
  </si>
  <si>
    <t>Galon Berry</t>
  </si>
  <si>
    <t>リュガのみ</t>
  </si>
  <si>
    <t>Baie Lingan</t>
  </si>
  <si>
    <t>Linganbeere</t>
  </si>
  <si>
    <t>Baya Gonlan</t>
  </si>
  <si>
    <t>Baccalongan</t>
  </si>
  <si>
    <t>용아열매</t>
  </si>
  <si>
    <t>龍睛果</t>
  </si>
  <si>
    <t>Salac Berry</t>
  </si>
  <si>
    <t>カムラのみ</t>
  </si>
  <si>
    <t>Baie Sailak</t>
  </si>
  <si>
    <t>Salkabeere</t>
  </si>
  <si>
    <t>Baya Aslac</t>
  </si>
  <si>
    <t>Baccasalak</t>
  </si>
  <si>
    <t>캄라열매</t>
  </si>
  <si>
    <t>沙鱗果</t>
  </si>
  <si>
    <t>Petaya Berry</t>
  </si>
  <si>
    <t>ヤタピのみ</t>
  </si>
  <si>
    <t>Baie Pitaye</t>
  </si>
  <si>
    <t>Tahaybeere</t>
  </si>
  <si>
    <t>Baya Yapati</t>
  </si>
  <si>
    <t>Baccapitaya</t>
  </si>
  <si>
    <t>야타비열매</t>
  </si>
  <si>
    <t>龍火果</t>
  </si>
  <si>
    <t>Apricot Berry</t>
  </si>
  <si>
    <t>ズアのみ</t>
  </si>
  <si>
    <t>Baie Abriko</t>
  </si>
  <si>
    <t>Apikobeere</t>
  </si>
  <si>
    <t>Baya Aricoc</t>
  </si>
  <si>
    <t>Baccacocca</t>
  </si>
  <si>
    <t>규살열매</t>
  </si>
  <si>
    <t>杏仔果</t>
  </si>
  <si>
    <t>Lansat Berry</t>
  </si>
  <si>
    <t>サンのみ</t>
  </si>
  <si>
    <t>Baie Lansat</t>
  </si>
  <si>
    <t>Lansatbeere</t>
  </si>
  <si>
    <t>Baya Zonlan</t>
  </si>
  <si>
    <t>Baccalangsa</t>
  </si>
  <si>
    <t>랑사열매</t>
  </si>
  <si>
    <t>蘭薩果</t>
  </si>
  <si>
    <t>Starf Berry</t>
  </si>
  <si>
    <t>スターのみ</t>
  </si>
  <si>
    <t>Baie Frista</t>
  </si>
  <si>
    <t>Krambobeere</t>
  </si>
  <si>
    <t>Baya Arabol</t>
  </si>
  <si>
    <t>Baccambola</t>
  </si>
  <si>
    <t>스타열매</t>
  </si>
  <si>
    <t>星桃果</t>
  </si>
  <si>
    <t>Enigma Berry</t>
  </si>
  <si>
    <t>ナゾのみ</t>
  </si>
  <si>
    <t>Baie Enigma</t>
  </si>
  <si>
    <t>Enigmabeere</t>
  </si>
  <si>
    <t>Baya Enigma</t>
  </si>
  <si>
    <t>Baccaenigma</t>
  </si>
  <si>
    <t>의문열매</t>
  </si>
  <si>
    <t>謎芝果</t>
  </si>
  <si>
    <t>Occa Berry</t>
  </si>
  <si>
    <t>オッカのみ</t>
  </si>
  <si>
    <t>Baie Chocco</t>
  </si>
  <si>
    <t>Koakobeere</t>
  </si>
  <si>
    <t>Baya Caoca</t>
  </si>
  <si>
    <t>Baccacao</t>
  </si>
  <si>
    <t>오카열매</t>
  </si>
  <si>
    <t>巧可果</t>
  </si>
  <si>
    <t>Passho Berry</t>
  </si>
  <si>
    <t>イトケのみ</t>
  </si>
  <si>
    <t>Baie Pocpoc</t>
  </si>
  <si>
    <t>Foepasbeere</t>
  </si>
  <si>
    <t>Baya Pasio</t>
  </si>
  <si>
    <t>Baccapasflo</t>
  </si>
  <si>
    <t>꼬시개열매</t>
  </si>
  <si>
    <t>千香果</t>
  </si>
  <si>
    <t>Wacan Berry</t>
  </si>
  <si>
    <t>ソクノのみ</t>
  </si>
  <si>
    <t>Baie Parma</t>
  </si>
  <si>
    <t>Kerzalbeere</t>
  </si>
  <si>
    <t>Baya Gualot</t>
  </si>
  <si>
    <t>Baccaparmen</t>
  </si>
  <si>
    <t>초나열매</t>
  </si>
  <si>
    <t>獨木果</t>
  </si>
  <si>
    <t>Rindo Berry</t>
  </si>
  <si>
    <t>リンドのみ</t>
  </si>
  <si>
    <t>Baie Ratam</t>
  </si>
  <si>
    <t>Grindobeere</t>
  </si>
  <si>
    <t>Baya Tamar</t>
  </si>
  <si>
    <t>Baccarindo</t>
  </si>
  <si>
    <t>린드열매</t>
  </si>
  <si>
    <t>羅子果</t>
  </si>
  <si>
    <t>Yache Berry</t>
  </si>
  <si>
    <t>ヤチェのみ</t>
  </si>
  <si>
    <t>Baie Nanone</t>
  </si>
  <si>
    <t>Kiroyabeere</t>
  </si>
  <si>
    <t>Baya Rimoya</t>
  </si>
  <si>
    <t>Baccamoya</t>
  </si>
  <si>
    <t>플카열매</t>
  </si>
  <si>
    <t>番荔果</t>
  </si>
  <si>
    <t>Chople Berry</t>
  </si>
  <si>
    <t>ヨプのみ</t>
  </si>
  <si>
    <t>Baie Pomroz</t>
  </si>
  <si>
    <t>Rospelbeere</t>
  </si>
  <si>
    <t>Baya Pomaro</t>
  </si>
  <si>
    <t>Baccarosmel</t>
  </si>
  <si>
    <t>로플열매</t>
  </si>
  <si>
    <t>蓮蒲果</t>
  </si>
  <si>
    <t>Kebia Berry</t>
  </si>
  <si>
    <t>ビアーのみ</t>
  </si>
  <si>
    <t>Baie Kébia</t>
  </si>
  <si>
    <t>Grarzbeere</t>
  </si>
  <si>
    <t>Baya Keiba</t>
  </si>
  <si>
    <t>Baccakebia</t>
  </si>
  <si>
    <t>으름열매</t>
  </si>
  <si>
    <t>通通果</t>
  </si>
  <si>
    <t>Shuca Berry</t>
  </si>
  <si>
    <t>シュカのみ</t>
  </si>
  <si>
    <t>Baie Jouca</t>
  </si>
  <si>
    <t>Schukebeere</t>
  </si>
  <si>
    <t>Baya Acardo</t>
  </si>
  <si>
    <t>Baccanaca</t>
  </si>
  <si>
    <t>슈캐열매</t>
  </si>
  <si>
    <t>腰木果</t>
  </si>
  <si>
    <t>Coba Berry</t>
  </si>
  <si>
    <t>バコウのみ</t>
  </si>
  <si>
    <t>Baie Cobaba</t>
  </si>
  <si>
    <t>Kobabeere</t>
  </si>
  <si>
    <t>Baya Kouba</t>
  </si>
  <si>
    <t>Baccababa</t>
  </si>
  <si>
    <t>바코열매</t>
  </si>
  <si>
    <t>稜瓜果</t>
  </si>
  <si>
    <t>Payapa Berry</t>
  </si>
  <si>
    <t>ウタンのみ</t>
  </si>
  <si>
    <t>Baie Yapap</t>
  </si>
  <si>
    <t>Pyapabeere</t>
  </si>
  <si>
    <t>Baya Payapa</t>
  </si>
  <si>
    <t>Baccapayapa</t>
  </si>
  <si>
    <t>야파열매</t>
  </si>
  <si>
    <t>福祿果</t>
  </si>
  <si>
    <t>Tanga Berry</t>
  </si>
  <si>
    <t>タンガのみ</t>
  </si>
  <si>
    <t>Baie Panga</t>
  </si>
  <si>
    <t>Tanigabeere</t>
  </si>
  <si>
    <t>Baya Yecana</t>
  </si>
  <si>
    <t>Baccaitan</t>
  </si>
  <si>
    <t>리체열매</t>
  </si>
  <si>
    <t>扁櫻果</t>
  </si>
  <si>
    <t>Charti Berry</t>
  </si>
  <si>
    <t>ヨロギのみ</t>
  </si>
  <si>
    <t>Baie Charti</t>
  </si>
  <si>
    <t>Chiaribeere</t>
  </si>
  <si>
    <t>Baya Alcho</t>
  </si>
  <si>
    <t>Baccaciofo</t>
  </si>
  <si>
    <t>루미열매</t>
  </si>
  <si>
    <t>草蠶果</t>
  </si>
  <si>
    <t>Kasib Berry</t>
  </si>
  <si>
    <t>カシブのみ</t>
  </si>
  <si>
    <t>Baie Sédra</t>
  </si>
  <si>
    <t>Zitarzbeere</t>
  </si>
  <si>
    <t>Baya Drasi</t>
  </si>
  <si>
    <t>Baccacitrus</t>
  </si>
  <si>
    <t>수불열매</t>
  </si>
  <si>
    <t>佛柑果</t>
  </si>
  <si>
    <t>Haban Berry</t>
  </si>
  <si>
    <t>ハバンのみ</t>
  </si>
  <si>
    <t>Baie Fraigo</t>
  </si>
  <si>
    <t>Terirobeere</t>
  </si>
  <si>
    <t>Baya Anjiro</t>
  </si>
  <si>
    <t>Baccahaban</t>
  </si>
  <si>
    <t>하반열매</t>
  </si>
  <si>
    <t>莓榴果</t>
  </si>
  <si>
    <t>Colbur Berry</t>
  </si>
  <si>
    <t>ナモのみ</t>
  </si>
  <si>
    <t>Baie Lampou</t>
  </si>
  <si>
    <t>Burleobeere</t>
  </si>
  <si>
    <t>Baya Dillo</t>
  </si>
  <si>
    <t>Baccaxan</t>
  </si>
  <si>
    <t>마코열매</t>
  </si>
  <si>
    <t>刺耳果</t>
  </si>
  <si>
    <t>Babiri Berry</t>
  </si>
  <si>
    <t>リリバのみ</t>
  </si>
  <si>
    <t>Baie Babiri</t>
  </si>
  <si>
    <t>Babiribeere</t>
  </si>
  <si>
    <t>Baya Baribá</t>
  </si>
  <si>
    <t>Baccababiri</t>
  </si>
  <si>
    <t>바리비열매</t>
  </si>
  <si>
    <t>霹霹果</t>
  </si>
  <si>
    <t>Chilan Berry</t>
  </si>
  <si>
    <t>ホズのみ</t>
  </si>
  <si>
    <t>Baie Zalis</t>
  </si>
  <si>
    <t>Latchibeere</t>
  </si>
  <si>
    <t>Baya Chilan</t>
  </si>
  <si>
    <t>Baccacinlan</t>
  </si>
  <si>
    <t>카리열매</t>
  </si>
  <si>
    <t>燈漿果</t>
  </si>
  <si>
    <t>Micle Berry</t>
  </si>
  <si>
    <t>ミクルのみ</t>
  </si>
  <si>
    <t>Baie Micle</t>
  </si>
  <si>
    <t>Wunfrubeere</t>
  </si>
  <si>
    <t>Baya Lagro</t>
  </si>
  <si>
    <t>Baccaracolo</t>
  </si>
  <si>
    <t>미클열매</t>
  </si>
  <si>
    <t>奇秘果</t>
  </si>
  <si>
    <t>Custap Berry</t>
  </si>
  <si>
    <t>イバンのみ</t>
  </si>
  <si>
    <t>Baie Chérim</t>
  </si>
  <si>
    <t>Eipfelbeere</t>
  </si>
  <si>
    <t>Baya Chiri</t>
  </si>
  <si>
    <t>Baccacrela</t>
  </si>
  <si>
    <t>애슈열매</t>
  </si>
  <si>
    <t>釋陀果</t>
  </si>
  <si>
    <t>Jaboca Berry</t>
  </si>
  <si>
    <t>ジャポのみ</t>
  </si>
  <si>
    <t>Baie Jacoba</t>
  </si>
  <si>
    <t>Jabocabeere</t>
  </si>
  <si>
    <t>Baya Jaboca</t>
  </si>
  <si>
    <t>Baccajaba</t>
  </si>
  <si>
    <t>자보열매</t>
  </si>
  <si>
    <t>嘉珍果</t>
  </si>
  <si>
    <t>Rowap Berry</t>
  </si>
  <si>
    <t>レンブのみ</t>
  </si>
  <si>
    <t>Baie Pommo</t>
  </si>
  <si>
    <t>Roselbeere</t>
  </si>
  <si>
    <t>Baya Magua</t>
  </si>
  <si>
    <t>Baccaroam</t>
  </si>
  <si>
    <t>애터열매</t>
  </si>
  <si>
    <t>霧蓮果</t>
  </si>
  <si>
    <t>Roseli Berry</t>
  </si>
  <si>
    <t>ロゼルのみ</t>
  </si>
  <si>
    <t>Baie Seiro</t>
  </si>
  <si>
    <t>Hibisbeere</t>
  </si>
  <si>
    <t>Baya Hibis</t>
  </si>
  <si>
    <t>Baccarcadè</t>
  </si>
  <si>
    <t>로셀열매</t>
  </si>
  <si>
    <t>洛玫果</t>
  </si>
  <si>
    <t>Kee Berry</t>
  </si>
  <si>
    <t>アッキのみ</t>
  </si>
  <si>
    <t>Baie Éka</t>
  </si>
  <si>
    <t>Akibeere</t>
  </si>
  <si>
    <t>Baya Biglia</t>
  </si>
  <si>
    <t>Baccalighia</t>
  </si>
  <si>
    <t>악키열매</t>
  </si>
  <si>
    <t>亞開果</t>
  </si>
  <si>
    <t>Maranga Berry</t>
  </si>
  <si>
    <t>タラプのみ</t>
  </si>
  <si>
    <t>Baie Rangma</t>
  </si>
  <si>
    <t>Tarabeere</t>
  </si>
  <si>
    <t>Baya Maranga</t>
  </si>
  <si>
    <t>Baccapane</t>
  </si>
  <si>
    <t>타라프열매</t>
  </si>
  <si>
    <t>香羅果</t>
  </si>
  <si>
    <t>Hopo Berry</t>
  </si>
  <si>
    <t>ポフのみ</t>
  </si>
  <si>
    <t>Baie Bouhlon</t>
  </si>
  <si>
    <t>Pfohbeere</t>
  </si>
  <si>
    <t>Baya Lupu</t>
  </si>
  <si>
    <t>Baccaluppo</t>
  </si>
  <si>
    <t>포흐열매</t>
  </si>
  <si>
    <t>花啤果</t>
  </si>
  <si>
    <t>Repel</t>
  </si>
  <si>
    <t>むしよけスプレー</t>
  </si>
  <si>
    <t>Repousse</t>
  </si>
  <si>
    <t>Schutz</t>
  </si>
  <si>
    <t>벌레회피스프레이</t>
  </si>
  <si>
    <t>除蟲噴霧</t>
  </si>
  <si>
    <t>Super Repel</t>
  </si>
  <si>
    <t>シルバースプレー</t>
  </si>
  <si>
    <t>실버스프레이</t>
  </si>
  <si>
    <t>白銀噴霧</t>
  </si>
  <si>
    <t>Max Repel</t>
  </si>
  <si>
    <t>ゴールドスプレー</t>
  </si>
  <si>
    <t>골드스프레이</t>
  </si>
  <si>
    <t>黃金噴霧</t>
  </si>
  <si>
    <t>Escape Rope</t>
  </si>
  <si>
    <t>あなぬけのヒモ</t>
  </si>
  <si>
    <t>Corde Sortie</t>
  </si>
  <si>
    <t>Fluchtseil</t>
  </si>
  <si>
    <t>Cuerda Huida</t>
  </si>
  <si>
    <t>Fune di Fuga</t>
  </si>
  <si>
    <t>동굴탈출로프</t>
  </si>
  <si>
    <t>離洞繩</t>
  </si>
  <si>
    <t>Black Flute</t>
  </si>
  <si>
    <t>くろいビードロ</t>
  </si>
  <si>
    <t>Flûte Noire</t>
  </si>
  <si>
    <t>Schwarze Flöte</t>
  </si>
  <si>
    <t>Flauta Negra</t>
  </si>
  <si>
    <t>Flauto Nero</t>
  </si>
  <si>
    <t>검정비드로</t>
  </si>
  <si>
    <t>黑色玻璃哨</t>
  </si>
  <si>
    <t>White Flute</t>
  </si>
  <si>
    <t>しろいビードロ</t>
  </si>
  <si>
    <t>Flûte Blanche</t>
  </si>
  <si>
    <t>Weisse Flöte</t>
  </si>
  <si>
    <t>Flauta Blanca</t>
  </si>
  <si>
    <t>Flauto Bianco</t>
  </si>
  <si>
    <t>하양비드로</t>
  </si>
  <si>
    <t>白色玻璃哨</t>
  </si>
  <si>
    <t>Shoal Salt</t>
  </si>
  <si>
    <t>あさせのしお</t>
  </si>
  <si>
    <t>Sel Tréfonds</t>
  </si>
  <si>
    <t>Küstensalz</t>
  </si>
  <si>
    <t>Sal Cardumen</t>
  </si>
  <si>
    <t>Sale Ondoso</t>
  </si>
  <si>
    <t>여울소금</t>
  </si>
  <si>
    <t>淺灘海鹽</t>
  </si>
  <si>
    <t>Shoal Shell</t>
  </si>
  <si>
    <t>あさせのかいがら</t>
  </si>
  <si>
    <t>Coquille Tréfonds</t>
  </si>
  <si>
    <t>Küstenschale</t>
  </si>
  <si>
    <t>Concha Cardumen</t>
  </si>
  <si>
    <t>Gusciondoso</t>
  </si>
  <si>
    <t>여울조개껍질</t>
  </si>
  <si>
    <t>淺灘貝殼</t>
  </si>
  <si>
    <t>Red Shard</t>
  </si>
  <si>
    <t>あかいかけら</t>
  </si>
  <si>
    <t>Tesson Rouge</t>
  </si>
  <si>
    <t>Purpurstück</t>
  </si>
  <si>
    <t>Parte Roja</t>
  </si>
  <si>
    <t>Coccio Rosso</t>
  </si>
  <si>
    <t>빨강조각</t>
  </si>
  <si>
    <t>紅色碎片</t>
  </si>
  <si>
    <t>Blue Shard</t>
  </si>
  <si>
    <t>あおいかけら</t>
  </si>
  <si>
    <t>Tesson Bleu</t>
  </si>
  <si>
    <t>Indigostück</t>
  </si>
  <si>
    <t>Parte Azul</t>
  </si>
  <si>
    <t>Coccio Blu</t>
  </si>
  <si>
    <t>파랑조각</t>
  </si>
  <si>
    <t>藍色碎片</t>
  </si>
  <si>
    <t>Yellow Shard</t>
  </si>
  <si>
    <t>きいろいかけら</t>
  </si>
  <si>
    <t>Tesson Jaune</t>
  </si>
  <si>
    <t>Gelbstück</t>
  </si>
  <si>
    <t>Parte Amarilla</t>
  </si>
  <si>
    <t>Coccio Giallo</t>
  </si>
  <si>
    <t>노랑조각</t>
  </si>
  <si>
    <t>黃色碎片</t>
  </si>
  <si>
    <t>Green Shard</t>
  </si>
  <si>
    <t>みどりのかけら</t>
  </si>
  <si>
    <t>Tesson Vert</t>
  </si>
  <si>
    <t>Grünstück</t>
  </si>
  <si>
    <t>Parte Verde</t>
  </si>
  <si>
    <t>Coccio Verde</t>
  </si>
  <si>
    <t>초록조각</t>
  </si>
  <si>
    <t>綠色碎片</t>
  </si>
  <si>
    <t>NAME_ITEM_EXPSHARE</t>
  </si>
  <si>
    <t>Exp. Share</t>
  </si>
  <si>
    <t>がくしゅうそうち</t>
  </si>
  <si>
    <t>Multi Exp</t>
  </si>
  <si>
    <t>EP-Teiler</t>
  </si>
  <si>
    <t>Repartir Exp.</t>
  </si>
  <si>
    <t>Condividi Esp.</t>
  </si>
  <si>
    <t>학습장치</t>
  </si>
  <si>
    <t>學習裝置</t>
  </si>
  <si>
    <t>Heart Scale</t>
  </si>
  <si>
    <t>ハートのウロコ</t>
  </si>
  <si>
    <t>Écaille Cœur</t>
  </si>
  <si>
    <t>Herzschuppe</t>
  </si>
  <si>
    <t>Escama Corazón</t>
  </si>
  <si>
    <t>Squama Cuore</t>
  </si>
  <si>
    <t>하트비늘</t>
  </si>
  <si>
    <t>心之鱗片</t>
  </si>
  <si>
    <t>Growth Mulch</t>
  </si>
  <si>
    <t>すくすくこやし</t>
  </si>
  <si>
    <t>Fertipousse</t>
  </si>
  <si>
    <t>Wachsmulch</t>
  </si>
  <si>
    <t>Abono Rápido</t>
  </si>
  <si>
    <t>Fertilrapido</t>
  </si>
  <si>
    <t>무럭무럭비료</t>
  </si>
  <si>
    <t>速速肥</t>
  </si>
  <si>
    <t>Damp Mulch</t>
  </si>
  <si>
    <t>じめじめこやし</t>
  </si>
  <si>
    <t>Fertihumide</t>
  </si>
  <si>
    <t>Feuchtmulch</t>
  </si>
  <si>
    <t>Abono Lento</t>
  </si>
  <si>
    <t>Fertilidro</t>
  </si>
  <si>
    <t>축축이비료</t>
  </si>
  <si>
    <t>濕濕肥</t>
  </si>
  <si>
    <t>Stable Mulch</t>
  </si>
  <si>
    <t>ながながこやし</t>
  </si>
  <si>
    <t>Fertistable</t>
  </si>
  <si>
    <t>Stabilmulch</t>
  </si>
  <si>
    <t>Abono Fijador</t>
  </si>
  <si>
    <t>Fertilsaldo</t>
  </si>
  <si>
    <t>오래오래비료</t>
  </si>
  <si>
    <t>久久肥</t>
  </si>
  <si>
    <t>Gooey Mulch</t>
  </si>
  <si>
    <t>ねばねばこやし</t>
  </si>
  <si>
    <t>Fertiglu</t>
  </si>
  <si>
    <t>Neumulch</t>
  </si>
  <si>
    <t>Abono Brote</t>
  </si>
  <si>
    <t>Fertilcolla</t>
  </si>
  <si>
    <t>끈적끈적비료</t>
  </si>
  <si>
    <t>黏黏肥</t>
  </si>
  <si>
    <t>Root Fossil</t>
  </si>
  <si>
    <t>ねっこのカセキ</t>
  </si>
  <si>
    <t>Fossile Racine</t>
  </si>
  <si>
    <t>Wurzelfossil</t>
  </si>
  <si>
    <t>Fósil Raíz</t>
  </si>
  <si>
    <t>Radifossile</t>
  </si>
  <si>
    <t>뿌리화석</t>
  </si>
  <si>
    <t>根狀化石</t>
  </si>
  <si>
    <t>Claw Fossil</t>
  </si>
  <si>
    <t>ツメのカセキ</t>
  </si>
  <si>
    <t>Fossile Griffe</t>
  </si>
  <si>
    <t>Klauenfossil</t>
  </si>
  <si>
    <t>Fósil Garra</t>
  </si>
  <si>
    <t>Fossilunghia</t>
  </si>
  <si>
    <t>발톱화석</t>
  </si>
  <si>
    <t>爪子化石</t>
  </si>
  <si>
    <t>Helix Fossil</t>
  </si>
  <si>
    <t>かいのカセキ</t>
  </si>
  <si>
    <t>Fossile Nautile</t>
  </si>
  <si>
    <t>Helixfossil</t>
  </si>
  <si>
    <t>Fósil Helix</t>
  </si>
  <si>
    <t>조개화석</t>
  </si>
  <si>
    <t>貝殼化石</t>
  </si>
  <si>
    <t>Dome Fossil</t>
  </si>
  <si>
    <t>こうらのカセキ</t>
  </si>
  <si>
    <t>Fossile Dôme</t>
  </si>
  <si>
    <t>Domfossil</t>
  </si>
  <si>
    <t>Fósil Domo</t>
  </si>
  <si>
    <t>Domofossile</t>
  </si>
  <si>
    <t>껍질화석</t>
  </si>
  <si>
    <t>甲殼化石</t>
  </si>
  <si>
    <t>Old Amber</t>
  </si>
  <si>
    <t>ひみつのコハク</t>
  </si>
  <si>
    <t>Vieil Ambre</t>
  </si>
  <si>
    <t>Altbernstein</t>
  </si>
  <si>
    <t>Ambar Viejo</t>
  </si>
  <si>
    <t>Ambra Antica</t>
  </si>
  <si>
    <t>비밀의호박</t>
  </si>
  <si>
    <t>秘密琥珀</t>
  </si>
  <si>
    <t>Armor Fossil</t>
  </si>
  <si>
    <t>たてのカセキ</t>
  </si>
  <si>
    <t>Fossile Armure</t>
  </si>
  <si>
    <t>Panzerfossil</t>
  </si>
  <si>
    <t>Fósil Coraza</t>
  </si>
  <si>
    <t>Fossilscudo</t>
  </si>
  <si>
    <t>방패의화석</t>
  </si>
  <si>
    <t>盾甲化石</t>
  </si>
  <si>
    <t>Skull Fossil</t>
  </si>
  <si>
    <t>ずがいのカセキ</t>
  </si>
  <si>
    <t>Fossile Crâne</t>
  </si>
  <si>
    <t>Kopffossil</t>
  </si>
  <si>
    <t>Fósil Cráneo</t>
  </si>
  <si>
    <t>Fossilcranio</t>
  </si>
  <si>
    <t>두개의화석</t>
  </si>
  <si>
    <t>頭蓋化石</t>
  </si>
  <si>
    <t>Odd Keystone</t>
  </si>
  <si>
    <t>かなめいし</t>
  </si>
  <si>
    <t>Clé de Voute</t>
  </si>
  <si>
    <t>Spiritkern</t>
  </si>
  <si>
    <t>Piedra Espíritu</t>
  </si>
  <si>
    <t>Roccianima</t>
  </si>
  <si>
    <t>쐐기돌</t>
  </si>
  <si>
    <t>楔石</t>
  </si>
  <si>
    <t>Cover Fossil</t>
  </si>
  <si>
    <t>ふたのカセキ</t>
  </si>
  <si>
    <t>Fossile Plaque</t>
  </si>
  <si>
    <t>Schildfossil</t>
  </si>
  <si>
    <t>Fósil Tapa</t>
  </si>
  <si>
    <t>Fossiltappo</t>
  </si>
  <si>
    <t>덮개화석</t>
  </si>
  <si>
    <t>背蓋化石</t>
  </si>
  <si>
    <t>Plume Fossil</t>
  </si>
  <si>
    <t>はねのカセキ</t>
  </si>
  <si>
    <t>Fossile Plume</t>
  </si>
  <si>
    <t>Federfossil</t>
  </si>
  <si>
    <t>Fósil Pluma</t>
  </si>
  <si>
    <t>Fossilpiuma</t>
  </si>
  <si>
    <t>날개화석</t>
  </si>
  <si>
    <t>羽毛化石</t>
  </si>
  <si>
    <t>Rich Mulch</t>
  </si>
  <si>
    <t>たわわこやし</t>
  </si>
  <si>
    <t>Fertibondance</t>
  </si>
  <si>
    <t>Sprießmulch</t>
  </si>
  <si>
    <t>Abono Fértil</t>
  </si>
  <si>
    <t>Fertilflorido</t>
  </si>
  <si>
    <t>주렁주렁비료</t>
  </si>
  <si>
    <t>碩果肥</t>
  </si>
  <si>
    <t>Surprise Mulch</t>
  </si>
  <si>
    <t>びっくりこやし</t>
  </si>
  <si>
    <t>Fertistantané</t>
  </si>
  <si>
    <t>Wundermulch</t>
  </si>
  <si>
    <t>Abono Sorpresa</t>
  </si>
  <si>
    <t>Fertilsorpresa</t>
  </si>
  <si>
    <t>깜놀비료</t>
  </si>
  <si>
    <t>吃驚肥</t>
  </si>
  <si>
    <t>Boost Mulch</t>
  </si>
  <si>
    <t>ぐんぐんこやし</t>
  </si>
  <si>
    <t>Fertibérance</t>
  </si>
  <si>
    <t>Wuchermulch</t>
  </si>
  <si>
    <t>Abono Fructfero</t>
  </si>
  <si>
    <t>Fertilcopioso</t>
  </si>
  <si>
    <t>부쩍부쩍비료</t>
  </si>
  <si>
    <t>勁勁肥</t>
  </si>
  <si>
    <t>Amaze Mulch</t>
  </si>
  <si>
    <t>とんでもこやし</t>
  </si>
  <si>
    <t>Fertiprodige</t>
  </si>
  <si>
    <t>Ultramulch</t>
  </si>
  <si>
    <t>Abono Insólito</t>
  </si>
  <si>
    <t>Fertilprodigio</t>
  </si>
  <si>
    <t>기절초풍비료</t>
  </si>
  <si>
    <t>超效肥</t>
  </si>
  <si>
    <t>Jaw Fossil</t>
  </si>
  <si>
    <t>アゴのカセキ</t>
  </si>
  <si>
    <t>Fossile Mâchoire</t>
  </si>
  <si>
    <t>Kieferfossil</t>
  </si>
  <si>
    <t>Fósil Mandíbula</t>
  </si>
  <si>
    <t>Fossilmascella</t>
  </si>
  <si>
    <t>턱화석</t>
  </si>
  <si>
    <t>顎之化石</t>
  </si>
  <si>
    <t>Sail Fossil</t>
  </si>
  <si>
    <t>ヒレのカセキ</t>
  </si>
  <si>
    <t>Fossile Nageoire</t>
  </si>
  <si>
    <t>Flossenfossil</t>
  </si>
  <si>
    <t>Fósil Aleta</t>
  </si>
  <si>
    <t>Fossilpinna</t>
  </si>
  <si>
    <t>지느러미화석</t>
  </si>
  <si>
    <t>鰭之化石</t>
  </si>
  <si>
    <t>Red Nectar</t>
  </si>
  <si>
    <t>くれないのミツ</t>
  </si>
  <si>
    <t>Nectar Rouge</t>
  </si>
  <si>
    <t>Roter Nektar</t>
  </si>
  <si>
    <t>Néctar Rojo</t>
  </si>
  <si>
    <t>Nettare Rosso</t>
  </si>
  <si>
    <t>다홍꿀</t>
  </si>
  <si>
    <t>朱紅色花蜜</t>
  </si>
  <si>
    <t>Yellow Nectar</t>
  </si>
  <si>
    <t>やまぶきのミツ</t>
  </si>
  <si>
    <t>Nectar Jaune</t>
  </si>
  <si>
    <t>Gelber Nektar</t>
  </si>
  <si>
    <t>Néctar Amarillo</t>
  </si>
  <si>
    <t>Nettare Giallo</t>
  </si>
  <si>
    <t>진노랑꿀</t>
  </si>
  <si>
    <t>金黃色花蜜</t>
  </si>
  <si>
    <t>Pink Nectar</t>
  </si>
  <si>
    <t>うすもものミツ</t>
  </si>
  <si>
    <t>Nectar Rose</t>
  </si>
  <si>
    <t>Rosa Nektar</t>
  </si>
  <si>
    <t>Néctar Rosa</t>
  </si>
  <si>
    <t>Nettare Rosa</t>
  </si>
  <si>
    <t>연분홍꿀</t>
  </si>
  <si>
    <t>桃粉色花蜜</t>
  </si>
  <si>
    <t>Purple Nectar</t>
  </si>
  <si>
    <t>むらさきのミツ</t>
  </si>
  <si>
    <t>Nectar Mauve</t>
  </si>
  <si>
    <t>Purpurner Nektar</t>
  </si>
  <si>
    <t>Néctar Violeta</t>
  </si>
  <si>
    <t>Nettare Viola</t>
  </si>
  <si>
    <t>보라꿀</t>
  </si>
  <si>
    <t>蘭紫色花蜜</t>
  </si>
  <si>
    <t>Fossilized Bird</t>
  </si>
  <si>
    <t>カセキのトリ</t>
  </si>
  <si>
    <t>Fossile Oiseau</t>
  </si>
  <si>
    <t>Vogelfossil</t>
  </si>
  <si>
    <t>Ornitofósil</t>
  </si>
  <si>
    <t>Ornitofossile</t>
  </si>
  <si>
    <t>화석새</t>
  </si>
  <si>
    <t>化石鳥</t>
  </si>
  <si>
    <t>Fossilized Fish</t>
  </si>
  <si>
    <t>カセキのサカナ</t>
  </si>
  <si>
    <t>Fossile Poisson</t>
  </si>
  <si>
    <t>Fischfossil</t>
  </si>
  <si>
    <t>Ictiofósil</t>
  </si>
  <si>
    <t>Ittiofossile</t>
  </si>
  <si>
    <t>화석물고기</t>
  </si>
  <si>
    <t>化石魚</t>
  </si>
  <si>
    <t>Fossilized Drake</t>
  </si>
  <si>
    <t>カセキのリュウ</t>
  </si>
  <si>
    <t>Fossile Dragon</t>
  </si>
  <si>
    <t>Drachenfossil</t>
  </si>
  <si>
    <t>Dracofósil</t>
  </si>
  <si>
    <t>Dracofossile</t>
  </si>
  <si>
    <t>화석용</t>
  </si>
  <si>
    <t>化石龍</t>
  </si>
  <si>
    <t>Fossilized Dino</t>
  </si>
  <si>
    <t>カセキのクビナガ</t>
  </si>
  <si>
    <t>Fossile Aileron</t>
  </si>
  <si>
    <t>Paddelfossil</t>
  </si>
  <si>
    <t>Plesiofósil</t>
  </si>
  <si>
    <t>Plesiofossile</t>
  </si>
  <si>
    <t>화석긴목</t>
  </si>
  <si>
    <t>化石海獸</t>
  </si>
  <si>
    <t>Sweet Apple</t>
  </si>
  <si>
    <t>あまーいりんご</t>
  </si>
  <si>
    <t>Pomme Sucrée</t>
  </si>
  <si>
    <t>Süßer Apfel</t>
  </si>
  <si>
    <t>Manzana Dulce</t>
  </si>
  <si>
    <t>Dolcepomo</t>
  </si>
  <si>
    <t>달콤한사과</t>
  </si>
  <si>
    <t>甜甜蘋果</t>
  </si>
  <si>
    <t>Tart Apple</t>
  </si>
  <si>
    <t>すっぱいりんご</t>
  </si>
  <si>
    <t>Pomme Acidulée</t>
  </si>
  <si>
    <t>Saurer Apfel</t>
  </si>
  <si>
    <t>Manzana Ácida</t>
  </si>
  <si>
    <t>Aspropomo</t>
  </si>
  <si>
    <t>새콤한사과</t>
  </si>
  <si>
    <t>酸酸蘋果</t>
  </si>
  <si>
    <t>Cracked Pot</t>
  </si>
  <si>
    <t>われたポット</t>
  </si>
  <si>
    <t>Théière Fêlée</t>
  </si>
  <si>
    <t>Rissige Kanne</t>
  </si>
  <si>
    <t>Tetera Agrietada</t>
  </si>
  <si>
    <t>Teiera rotta</t>
  </si>
  <si>
    <t>깨진포트</t>
  </si>
  <si>
    <t>破裂的茶壺</t>
  </si>
  <si>
    <t>Chipped Pot</t>
  </si>
  <si>
    <t>かけたポット</t>
  </si>
  <si>
    <t>Théière Ébréchée</t>
  </si>
  <si>
    <t>Löchrige Kanne</t>
  </si>
  <si>
    <t>Tetera Rota</t>
  </si>
  <si>
    <t>Teiera crepata</t>
  </si>
  <si>
    <t>이빠진포트</t>
  </si>
  <si>
    <t>缺損的茶壺</t>
  </si>
  <si>
    <t>Galarica Cuff</t>
  </si>
  <si>
    <t>ガラナツブレス</t>
  </si>
  <si>
    <t>Bracelet Galanoa</t>
  </si>
  <si>
    <t>Galarnuss-Reif</t>
  </si>
  <si>
    <t>Brazal Galanuez</t>
  </si>
  <si>
    <t>Fascia Galarnoce</t>
  </si>
  <si>
    <t>가라두구팔찌</t>
  </si>
  <si>
    <t>伽勒荳蔻手環</t>
  </si>
  <si>
    <t>Galarica Wreath</t>
  </si>
  <si>
    <t>ガラナツリース</t>
  </si>
  <si>
    <t>Couronne Galanoa</t>
  </si>
  <si>
    <t>Galarnuss-Kranz</t>
  </si>
  <si>
    <t>Corona Galanuez</t>
  </si>
  <si>
    <t>Corona Galarnoce</t>
  </si>
  <si>
    <t>가라두구머리장식</t>
  </si>
  <si>
    <t>伽勒荳蔻花圈</t>
  </si>
  <si>
    <t>Linking Cord</t>
  </si>
  <si>
    <t>つながりのヒモ</t>
  </si>
  <si>
    <t>Fil de Liaison</t>
  </si>
  <si>
    <t>Verbindungsschnur</t>
  </si>
  <si>
    <t>Cordón Unión</t>
  </si>
  <si>
    <t>Filo dell’unione</t>
  </si>
  <si>
    <t>연결의끈</t>
  </si>
  <si>
    <t>联系绳</t>
  </si>
  <si>
    <t>Black Augurite</t>
  </si>
  <si>
    <t>くろのきせき</t>
  </si>
  <si>
    <t>Obsidienne</t>
  </si>
  <si>
    <t>Schwarzaugit</t>
  </si>
  <si>
    <t>Mineral Negro</t>
  </si>
  <si>
    <t>Augite nera</t>
  </si>
  <si>
    <t>검은휘석</t>
  </si>
  <si>
    <t>黑奇石</t>
  </si>
  <si>
    <t>Peat Block</t>
  </si>
  <si>
    <t>ピートブロック</t>
  </si>
  <si>
    <t>Bloc de Tourbe</t>
  </si>
  <si>
    <t>Torfblock</t>
  </si>
  <si>
    <t>Bloque de Turba</t>
  </si>
  <si>
    <t>Blocco di torba</t>
  </si>
  <si>
    <t>피트블록</t>
  </si>
  <si>
    <t>泥炭块</t>
  </si>
  <si>
    <t>Scroll of Darkness</t>
  </si>
  <si>
    <t>あくのかけじく</t>
  </si>
  <si>
    <t>Rouleau des Ténèbres</t>
  </si>
  <si>
    <t>Unlicht-Schriftrolle</t>
  </si>
  <si>
    <t>Manuscrito Sombras</t>
  </si>
  <si>
    <t>Rotolo del Buio</t>
  </si>
  <si>
    <t>악의 족자</t>
  </si>
  <si>
    <t>恶之挂轴</t>
  </si>
  <si>
    <t>Scroll of Waters</t>
  </si>
  <si>
    <t>みずのかけじく</t>
  </si>
  <si>
    <t>Rouleau de I'Eau</t>
  </si>
  <si>
    <t>Wasser-Schriftrolle</t>
  </si>
  <si>
    <t>Manuscrito Aguas</t>
  </si>
  <si>
    <t>Rotolo dell'Acqua</t>
  </si>
  <si>
    <t>물의 족자</t>
  </si>
  <si>
    <t>水之挂轴</t>
  </si>
  <si>
    <t>Malicious Armor</t>
  </si>
  <si>
    <t>イワイノヨロイ</t>
  </si>
  <si>
    <t>Armure de la Rancune</t>
  </si>
  <si>
    <t>Fluchrüstung</t>
  </si>
  <si>
    <t>Armadura Maldita</t>
  </si>
  <si>
    <t>Armatura Infausta</t>
  </si>
  <si>
    <t>저주받은갑옷</t>
  </si>
  <si>
    <t>诅咒之铠</t>
  </si>
  <si>
    <t>Auspicious Armor</t>
  </si>
  <si>
    <t>ノロイノヨロイ</t>
  </si>
  <si>
    <t>Armure de la Fortune</t>
  </si>
  <si>
    <t>Glorienrüstung</t>
  </si>
  <si>
    <t>Armadura Auspiciosa</t>
  </si>
  <si>
    <t>Armatura Fausta</t>
  </si>
  <si>
    <t>축복받은갑옷</t>
  </si>
  <si>
    <t>庆祝之铠</t>
  </si>
  <si>
    <t>Syrupy Apple</t>
  </si>
  <si>
    <t>みついりりんご</t>
  </si>
  <si>
    <t>Pomme Nectar</t>
  </si>
  <si>
    <t>Saftiger Apfel</t>
  </si>
  <si>
    <t>Manzana Melosa</t>
  </si>
  <si>
    <t>Sciroppomo</t>
  </si>
  <si>
    <t>꿀맛사과</t>
  </si>
  <si>
    <t>蜜汁苹果</t>
  </si>
  <si>
    <t>Unremarkable Teacup</t>
  </si>
  <si>
    <t>ボンサクのちゃわん</t>
  </si>
  <si>
    <t>Bol Médiocre</t>
  </si>
  <si>
    <t>Simple Teeschale</t>
  </si>
  <si>
    <t>Cueno Mediocre</t>
  </si>
  <si>
    <t>Tazza dozzinale</t>
  </si>
  <si>
    <t>범작찻잔</t>
  </si>
  <si>
    <t>凡作茶碗</t>
  </si>
  <si>
    <t>Masterpiece Teacup</t>
  </si>
  <si>
    <t>ケッサクのちゃわん</t>
  </si>
  <si>
    <t>Bol Exceptionnel</t>
  </si>
  <si>
    <t>Edle Teeschale</t>
  </si>
  <si>
    <t>Cueno Exquisito</t>
  </si>
  <si>
    <t>Tazza eccezionale</t>
  </si>
  <si>
    <t>걸작찻잔</t>
  </si>
  <si>
    <t>杰作茶碗</t>
  </si>
  <si>
    <t>Metal Alloy</t>
  </si>
  <si>
    <t>ふくごうきんぞく</t>
  </si>
  <si>
    <t>Métal Composite</t>
  </si>
  <si>
    <t>Legierungsmetall</t>
  </si>
  <si>
    <t>Metal Compuesto</t>
  </si>
  <si>
    <t>Metallo composito</t>
  </si>
  <si>
    <t>복합금속</t>
  </si>
  <si>
    <t>复合金属</t>
  </si>
  <si>
    <t>Moon Stone</t>
  </si>
  <si>
    <t>つきのいし</t>
  </si>
  <si>
    <t>Pierre Lune</t>
  </si>
  <si>
    <t>Mondstein</t>
  </si>
  <si>
    <t>Piedra Lunar</t>
  </si>
  <si>
    <t>Pietralunare</t>
  </si>
  <si>
    <t>달의돌</t>
  </si>
  <si>
    <t>月之石</t>
  </si>
  <si>
    <t>Fire Stone</t>
  </si>
  <si>
    <t>ほのおのいし</t>
  </si>
  <si>
    <t>Pierre Feu</t>
  </si>
  <si>
    <t>Feuerstein</t>
  </si>
  <si>
    <t>Piedra Fuego</t>
  </si>
  <si>
    <t>Pietrafocaia</t>
  </si>
  <si>
    <t>불꽃의돌</t>
  </si>
  <si>
    <t>火之石</t>
  </si>
  <si>
    <t>Thunder Stone</t>
  </si>
  <si>
    <t>かみなりのいし</t>
  </si>
  <si>
    <t>Pierre Foudre</t>
  </si>
  <si>
    <t>Donnerstein</t>
  </si>
  <si>
    <t>Piedra Trueno</t>
  </si>
  <si>
    <t>Pietratuono</t>
  </si>
  <si>
    <t>천둥의돌</t>
  </si>
  <si>
    <t>雷之石</t>
  </si>
  <si>
    <t>Water Stone</t>
  </si>
  <si>
    <t>みずのいし</t>
  </si>
  <si>
    <t>Pierre Eau</t>
  </si>
  <si>
    <t>Wasserstein</t>
  </si>
  <si>
    <t>Piedra Agua</t>
  </si>
  <si>
    <t>Pietraidrica</t>
  </si>
  <si>
    <t>물의돌</t>
  </si>
  <si>
    <t>水之石</t>
  </si>
  <si>
    <t>Leaf Stone</t>
  </si>
  <si>
    <t>リーフのいし</t>
  </si>
  <si>
    <t>Pierre Plante</t>
  </si>
  <si>
    <t>Blattstein</t>
  </si>
  <si>
    <t>Piedra Hoja</t>
  </si>
  <si>
    <t>Pietrafoglia</t>
  </si>
  <si>
    <t>리프의돌</t>
  </si>
  <si>
    <t>葉之石</t>
  </si>
  <si>
    <t>Sun Stone</t>
  </si>
  <si>
    <t>たいようのいし</t>
  </si>
  <si>
    <t>Pierre Soleil</t>
  </si>
  <si>
    <t>Sonnenstein</t>
  </si>
  <si>
    <t>Piedra Solar</t>
  </si>
  <si>
    <t>Pietrasolare</t>
  </si>
  <si>
    <t>태양의돌</t>
  </si>
  <si>
    <t>日之石</t>
  </si>
  <si>
    <t>Shiny Stone</t>
  </si>
  <si>
    <t>ひかりのいし</t>
  </si>
  <si>
    <t>Pierre Éclat</t>
  </si>
  <si>
    <t>Leuchstein</t>
  </si>
  <si>
    <t>Piedra Dia</t>
  </si>
  <si>
    <t>Pietrabrillo</t>
  </si>
  <si>
    <t>빛의돌</t>
  </si>
  <si>
    <t>光之石</t>
  </si>
  <si>
    <t>Dusk Stone</t>
  </si>
  <si>
    <t>やみのいし</t>
  </si>
  <si>
    <t>Pierre Nuit</t>
  </si>
  <si>
    <t>Finsterstein</t>
  </si>
  <si>
    <t>Piedra Noche</t>
  </si>
  <si>
    <t>Neropretra</t>
  </si>
  <si>
    <t>어둠의돌</t>
  </si>
  <si>
    <t>暗之石</t>
  </si>
  <si>
    <t>Dawn Stone</t>
  </si>
  <si>
    <t>めざめのいし</t>
  </si>
  <si>
    <t>Pierre Aube</t>
  </si>
  <si>
    <t>Funkelstein</t>
  </si>
  <si>
    <t>Piedra Alba</t>
  </si>
  <si>
    <t>Pietralbore</t>
  </si>
  <si>
    <t>각성의돌</t>
  </si>
  <si>
    <t>覺醒之石</t>
  </si>
  <si>
    <t>Ice Stone</t>
  </si>
  <si>
    <t>こおりのいし</t>
  </si>
  <si>
    <t>Pierre Glace</t>
  </si>
  <si>
    <t>Eisstein</t>
  </si>
  <si>
    <t>Piedra Hielo</t>
  </si>
  <si>
    <t>Pietragelo</t>
  </si>
  <si>
    <t>얼음의돌</t>
  </si>
  <si>
    <t>冰之石</t>
  </si>
  <si>
    <t>Bright Powder</t>
  </si>
  <si>
    <t>ひかりのこな</t>
  </si>
  <si>
    <t>Poudre Claire</t>
  </si>
  <si>
    <t>Blendpuder</t>
  </si>
  <si>
    <t>Polvo Brillo</t>
  </si>
  <si>
    <t>Luminpolvere</t>
  </si>
  <si>
    <t>반짝가루</t>
  </si>
  <si>
    <t>光粉</t>
  </si>
  <si>
    <t>Quick Claw</t>
  </si>
  <si>
    <t>せんせいのツメ</t>
  </si>
  <si>
    <t>Vive Griffe</t>
  </si>
  <si>
    <t>Flinkklaue</t>
  </si>
  <si>
    <t>Garra Rápida</t>
  </si>
  <si>
    <t>Rapidartigli</t>
  </si>
  <si>
    <t>선제공격손톱</t>
  </si>
  <si>
    <t>先制之爪</t>
  </si>
  <si>
    <t>NAME_ITEM_KINGSROCK</t>
  </si>
  <si>
    <t>King's Rock</t>
  </si>
  <si>
    <t>おうじゃのしるし</t>
  </si>
  <si>
    <t>Roche Royale</t>
  </si>
  <si>
    <t>King-Stein</t>
  </si>
  <si>
    <t>Roca del Rey</t>
  </si>
  <si>
    <t>Roccia Di Re</t>
  </si>
  <si>
    <t>왕의징표석</t>
  </si>
  <si>
    <t>王者之證</t>
  </si>
  <si>
    <t>Silver Powder</t>
  </si>
  <si>
    <t>ぎんのこな</t>
  </si>
  <si>
    <t>Poudre Argentée</t>
  </si>
  <si>
    <t>Silberstaub</t>
  </si>
  <si>
    <t>Polvo Plata</t>
  </si>
  <si>
    <t>Argenpolvere</t>
  </si>
  <si>
    <t>은빛가루</t>
  </si>
  <si>
    <t>銀粉</t>
  </si>
  <si>
    <t>Amulet Coin</t>
  </si>
  <si>
    <t>おまもりこばん</t>
  </si>
  <si>
    <t>Pièce Rune</t>
  </si>
  <si>
    <t>Münzamulett</t>
  </si>
  <si>
    <t>Moneda Amuleto</t>
  </si>
  <si>
    <t>Monetamuleto</t>
  </si>
  <si>
    <t>부적금화</t>
  </si>
  <si>
    <t>護符金幣</t>
  </si>
  <si>
    <t>Cleanse Tag</t>
  </si>
  <si>
    <t>きよめのおふだ</t>
  </si>
  <si>
    <t>Rune Purifiante</t>
  </si>
  <si>
    <t>Schutzband</t>
  </si>
  <si>
    <t>Amuleto</t>
  </si>
  <si>
    <t>Velopuro</t>
  </si>
  <si>
    <t>순결의부적</t>
  </si>
  <si>
    <t>潔淨之符</t>
  </si>
  <si>
    <t>Smoke Ball</t>
  </si>
  <si>
    <t>けむりだま</t>
  </si>
  <si>
    <t>Boule Fumée</t>
  </si>
  <si>
    <t>Rauchball</t>
  </si>
  <si>
    <t>Bola Humo</t>
  </si>
  <si>
    <t>Palla Fumo</t>
  </si>
  <si>
    <t>연막탄</t>
  </si>
  <si>
    <t>煙霧球</t>
  </si>
  <si>
    <t>Everstone</t>
  </si>
  <si>
    <t>かわらずのいし</t>
  </si>
  <si>
    <t>Pierre Stase</t>
  </si>
  <si>
    <t>Ewigstein</t>
  </si>
  <si>
    <t>Piedra Eterna</t>
  </si>
  <si>
    <t>Pietrastante</t>
  </si>
  <si>
    <t>변함없는돌</t>
  </si>
  <si>
    <t>不變之石</t>
  </si>
  <si>
    <t>Focus Band</t>
  </si>
  <si>
    <t>きあいのハチマキ</t>
  </si>
  <si>
    <t>Bandeau</t>
  </si>
  <si>
    <t>Fokus-Band</t>
  </si>
  <si>
    <t>Cinta Focus</t>
  </si>
  <si>
    <t>Bandana</t>
  </si>
  <si>
    <t>기합의머리띠</t>
  </si>
  <si>
    <t>氣勢頭帶</t>
  </si>
  <si>
    <t>Lucky Egg</t>
  </si>
  <si>
    <t>しあわせタマゴ</t>
  </si>
  <si>
    <t>Œuf Chance</t>
  </si>
  <si>
    <t>Glücks-Ei</t>
  </si>
  <si>
    <t>Huevo Suerte</t>
  </si>
  <si>
    <t>Fortunuovo</t>
  </si>
  <si>
    <t>행복의알</t>
  </si>
  <si>
    <t>幸運蛋</t>
  </si>
  <si>
    <t>Scope Lens</t>
  </si>
  <si>
    <t>ピントレンズ</t>
  </si>
  <si>
    <t>Lentilscope</t>
  </si>
  <si>
    <t>Scope-Linse</t>
  </si>
  <si>
    <t>Periscopio</t>
  </si>
  <si>
    <t>Mirino</t>
  </si>
  <si>
    <t>초점렌즈</t>
  </si>
  <si>
    <t>焦點鏡</t>
  </si>
  <si>
    <t>Metal Coat</t>
  </si>
  <si>
    <t>メタルコート</t>
  </si>
  <si>
    <t>Peau Métal</t>
  </si>
  <si>
    <t>Metallmantel</t>
  </si>
  <si>
    <t>Revest. Metálico</t>
  </si>
  <si>
    <t>Metalcoperta</t>
  </si>
  <si>
    <t>금속코트</t>
  </si>
  <si>
    <t>金屬膜</t>
  </si>
  <si>
    <t>Leftovers</t>
  </si>
  <si>
    <t>たべのこし</t>
  </si>
  <si>
    <t>Restes</t>
  </si>
  <si>
    <t>Überreste</t>
  </si>
  <si>
    <t>Restos</t>
  </si>
  <si>
    <t>Avanzi</t>
  </si>
  <si>
    <t>먹다남은음식</t>
  </si>
  <si>
    <t>吃剩的東西</t>
  </si>
  <si>
    <t>Dragon Scale</t>
  </si>
  <si>
    <t>りゅうのウロコ</t>
  </si>
  <si>
    <t>Écaille Draco</t>
  </si>
  <si>
    <t>Drachenhaut</t>
  </si>
  <si>
    <t>Escamadragón</t>
  </si>
  <si>
    <t>Squama Drago</t>
  </si>
  <si>
    <t>용의비늘</t>
  </si>
  <si>
    <t>龍之鱗片</t>
  </si>
  <si>
    <t>Light Ball</t>
  </si>
  <si>
    <t>でんきだま</t>
  </si>
  <si>
    <t>Balle Lumière</t>
  </si>
  <si>
    <t>Kugelblitz</t>
  </si>
  <si>
    <t>Bolaluminosa</t>
  </si>
  <si>
    <t>Elettropalla</t>
  </si>
  <si>
    <t>전기구슬</t>
  </si>
  <si>
    <t>電氣球</t>
  </si>
  <si>
    <t>Soft Sand</t>
  </si>
  <si>
    <t>やわらかいすな</t>
  </si>
  <si>
    <t>Sable Doux</t>
  </si>
  <si>
    <t>Pundersand</t>
  </si>
  <si>
    <t>Arena Fina</t>
  </si>
  <si>
    <t>Sabbia Soffice</t>
  </si>
  <si>
    <t>부드러운모래</t>
  </si>
  <si>
    <t>柔軟沙子</t>
  </si>
  <si>
    <t>Hard Stone</t>
  </si>
  <si>
    <t>かたいいし</t>
  </si>
  <si>
    <t>Pierre Dure</t>
  </si>
  <si>
    <t>Granitstein</t>
  </si>
  <si>
    <t>Piedra Dura</t>
  </si>
  <si>
    <t>Pietradura</t>
  </si>
  <si>
    <t>딱딱한돌</t>
  </si>
  <si>
    <t>硬石頭</t>
  </si>
  <si>
    <t>Miracle Seed</t>
  </si>
  <si>
    <t>きせきのタネ</t>
  </si>
  <si>
    <t>Graine Miracle</t>
  </si>
  <si>
    <t>Wundersaat</t>
  </si>
  <si>
    <t>Semilla Milagro</t>
  </si>
  <si>
    <t>Miracolseme</t>
  </si>
  <si>
    <t>기적의씨</t>
  </si>
  <si>
    <t>奇跡種子</t>
  </si>
  <si>
    <t>Black Glasses</t>
  </si>
  <si>
    <t>くろいメガネ</t>
  </si>
  <si>
    <t>Lunettes Noires</t>
  </si>
  <si>
    <t>Schattenglas</t>
  </si>
  <si>
    <t>Gafas de Sol</t>
  </si>
  <si>
    <t>Occhialineri</t>
  </si>
  <si>
    <t>검은안경</t>
  </si>
  <si>
    <t>黑色眼鏡</t>
  </si>
  <si>
    <t>Black Belt</t>
  </si>
  <si>
    <t>くろおび</t>
  </si>
  <si>
    <t>Ceinture Noire</t>
  </si>
  <si>
    <t>Schwarzgurt</t>
  </si>
  <si>
    <t>Cinturón Negro</t>
  </si>
  <si>
    <t>Cinturanera</t>
  </si>
  <si>
    <t>검은띠</t>
  </si>
  <si>
    <t>黑帶</t>
  </si>
  <si>
    <t>Magnet</t>
  </si>
  <si>
    <t>じしゃく</t>
  </si>
  <si>
    <t>Calamita</t>
  </si>
  <si>
    <t>Mystic Water</t>
  </si>
  <si>
    <t>しんぴのしずく</t>
  </si>
  <si>
    <t>Eau Mystique</t>
  </si>
  <si>
    <t>Zauberwasser</t>
  </si>
  <si>
    <t>Agua Mística</t>
  </si>
  <si>
    <t>Acqua Magica</t>
  </si>
  <si>
    <t>신비의물방울</t>
  </si>
  <si>
    <t>神秘水滴</t>
  </si>
  <si>
    <t>Sharp Beak</t>
  </si>
  <si>
    <t>するどいくちばし</t>
  </si>
  <si>
    <t>Bec Pointu</t>
  </si>
  <si>
    <t>Hackattack</t>
  </si>
  <si>
    <t>Pico Afilado</t>
  </si>
  <si>
    <t>Beccaffilato</t>
  </si>
  <si>
    <t>예리한부리</t>
  </si>
  <si>
    <t>銳利鳥嘴</t>
  </si>
  <si>
    <t>Poison Barb</t>
  </si>
  <si>
    <t>どくバリ</t>
  </si>
  <si>
    <t>Pic Venin</t>
  </si>
  <si>
    <t>Giftstich</t>
  </si>
  <si>
    <t>Flecha Venenosa</t>
  </si>
  <si>
    <t>Velenaculeo</t>
  </si>
  <si>
    <t>독바늘</t>
  </si>
  <si>
    <t>NAME_ITEM_NEVERMELTICE</t>
  </si>
  <si>
    <t>Never-Melt Ice</t>
  </si>
  <si>
    <t>とけないこおり</t>
  </si>
  <si>
    <t>Glace Éternelle</t>
  </si>
  <si>
    <t>Ewiges Eis</t>
  </si>
  <si>
    <t>Antiderretir</t>
  </si>
  <si>
    <t>Gelomai</t>
  </si>
  <si>
    <t>녹지않는얼음</t>
  </si>
  <si>
    <t>不融冰</t>
  </si>
  <si>
    <t>Spell Tag</t>
  </si>
  <si>
    <t>のろいのおふだ</t>
  </si>
  <si>
    <t>Rune Sort</t>
  </si>
  <si>
    <t>Bannsticker</t>
  </si>
  <si>
    <t>Hechizo</t>
  </si>
  <si>
    <t>Spettrotarga</t>
  </si>
  <si>
    <t>저주의부적</t>
  </si>
  <si>
    <t>詛咒之符</t>
  </si>
  <si>
    <t>Twisted Spoon</t>
  </si>
  <si>
    <t>まがったスプーン</t>
  </si>
  <si>
    <t>Cuillère Tordue</t>
  </si>
  <si>
    <t>Krümmlöffel</t>
  </si>
  <si>
    <t>Cuchara Torcida</t>
  </si>
  <si>
    <t>Cucchiaio Torto</t>
  </si>
  <si>
    <t>휘어진스푼</t>
  </si>
  <si>
    <t>彎曲的湯匙</t>
  </si>
  <si>
    <t>Charcoal</t>
  </si>
  <si>
    <t>もくたん</t>
  </si>
  <si>
    <t>Holzkohle</t>
  </si>
  <si>
    <t>Carbonella</t>
  </si>
  <si>
    <t>목탄</t>
  </si>
  <si>
    <t>木炭</t>
  </si>
  <si>
    <t>Dragon Fang</t>
  </si>
  <si>
    <t>りゅうのキバ</t>
  </si>
  <si>
    <t>Croc Dragon</t>
  </si>
  <si>
    <t>Drachenzahn</t>
  </si>
  <si>
    <t>Colmillo Dragón</t>
  </si>
  <si>
    <t>Dentedidrago</t>
  </si>
  <si>
    <t>용의이빨</t>
  </si>
  <si>
    <t>龍之牙</t>
  </si>
  <si>
    <t>Upgrade</t>
  </si>
  <si>
    <t>アップグレード</t>
  </si>
  <si>
    <t>Améliorator</t>
  </si>
  <si>
    <t>Up-Grade</t>
  </si>
  <si>
    <t>Mejora</t>
  </si>
  <si>
    <t>업그레이드</t>
  </si>
  <si>
    <t>升級資料</t>
  </si>
  <si>
    <t>升级数据</t>
  </si>
  <si>
    <t>Lucky Punch</t>
  </si>
  <si>
    <t>ラッキーパンチ</t>
  </si>
  <si>
    <t>Poing Chance</t>
  </si>
  <si>
    <t>Puño Suerte</t>
  </si>
  <si>
    <t>Fortunpugno</t>
  </si>
  <si>
    <t>럭키펀치</t>
  </si>
  <si>
    <t>吉利拳</t>
  </si>
  <si>
    <t>Metal Powder</t>
  </si>
  <si>
    <t>メタルパウダー</t>
  </si>
  <si>
    <t>Poudre Métal</t>
  </si>
  <si>
    <t>Metallstaub</t>
  </si>
  <si>
    <t>Polvo Metálico</t>
  </si>
  <si>
    <t>Metalpolvere</t>
  </si>
  <si>
    <t>금속파우더</t>
  </si>
  <si>
    <t>金屬粉</t>
  </si>
  <si>
    <t>Thick Club</t>
  </si>
  <si>
    <t>ふといホネ</t>
  </si>
  <si>
    <t>Masse Os</t>
  </si>
  <si>
    <t>Kampfknochen</t>
  </si>
  <si>
    <t>Hueso Grueso</t>
  </si>
  <si>
    <t>Ossospesso</t>
  </si>
  <si>
    <t>굵은뼈</t>
  </si>
  <si>
    <t>粗骨頭</t>
  </si>
  <si>
    <t>Leek</t>
  </si>
  <si>
    <t>ながねぎ</t>
  </si>
  <si>
    <t>Poireau</t>
  </si>
  <si>
    <t>Lauchstange</t>
  </si>
  <si>
    <t>Palo</t>
  </si>
  <si>
    <t>Gambo</t>
  </si>
  <si>
    <t>대파</t>
  </si>
  <si>
    <t>大蔥</t>
  </si>
  <si>
    <t>White Herb</t>
  </si>
  <si>
    <t>しろいハーブ</t>
  </si>
  <si>
    <t>Herbe Blanche</t>
  </si>
  <si>
    <t>Schlohkraut</t>
  </si>
  <si>
    <t>Hierba Blanca</t>
  </si>
  <si>
    <t>Erbachiara</t>
  </si>
  <si>
    <t>하양허브</t>
  </si>
  <si>
    <t>白色香草</t>
  </si>
  <si>
    <t>Macho Brace</t>
  </si>
  <si>
    <t>きょうせいギプス</t>
  </si>
  <si>
    <t>Bracelet Macho</t>
  </si>
  <si>
    <t>Machoband</t>
  </si>
  <si>
    <t>Brazal Firme</t>
  </si>
  <si>
    <t>Crescicappa</t>
  </si>
  <si>
    <t>교정깁스</t>
  </si>
  <si>
    <t>強制鍛鍊器</t>
  </si>
  <si>
    <t>Soothe Bell</t>
  </si>
  <si>
    <t>やすらぎのすず</t>
  </si>
  <si>
    <t>Grelot Zen</t>
  </si>
  <si>
    <t>Sanftglocke</t>
  </si>
  <si>
    <t>Campana Alivio</t>
  </si>
  <si>
    <t>Calmanella</t>
  </si>
  <si>
    <t>평온의방울</t>
  </si>
  <si>
    <t>安撫之鈴</t>
  </si>
  <si>
    <t>Mental Herb</t>
  </si>
  <si>
    <t>メンタルハーブ</t>
  </si>
  <si>
    <t>Herbe Mental</t>
  </si>
  <si>
    <t>Mentalkraut</t>
  </si>
  <si>
    <t>Hierba Mental</t>
  </si>
  <si>
    <t>Mentalerba</t>
  </si>
  <si>
    <t>멘탈허브</t>
  </si>
  <si>
    <t>心靈香草</t>
  </si>
  <si>
    <t>Choice Band</t>
  </si>
  <si>
    <t>こだわりハチマキ</t>
  </si>
  <si>
    <t>Bandeau Choix</t>
  </si>
  <si>
    <t>Wahlband</t>
  </si>
  <si>
    <t>Cinta Elegida</t>
  </si>
  <si>
    <t>Bendascelta</t>
  </si>
  <si>
    <t>구애머리띠</t>
  </si>
  <si>
    <t>講究頭帶</t>
  </si>
  <si>
    <t>Soul Dew</t>
  </si>
  <si>
    <t>こころのしずく</t>
  </si>
  <si>
    <t>Rosée Âme</t>
  </si>
  <si>
    <t>Seelentau</t>
  </si>
  <si>
    <t>Rocío Bondad</t>
  </si>
  <si>
    <t>Cuorugiada</t>
  </si>
  <si>
    <t>마음의물방울</t>
  </si>
  <si>
    <t>心之水滴</t>
  </si>
  <si>
    <t>Deep Sea Tooth</t>
  </si>
  <si>
    <t>しんかいのキバ</t>
  </si>
  <si>
    <t>Dent Océan</t>
  </si>
  <si>
    <t>Abysszahn</t>
  </si>
  <si>
    <t>Diente Marino</t>
  </si>
  <si>
    <t>Dente Abissi</t>
  </si>
  <si>
    <t>심해의이빨</t>
  </si>
  <si>
    <t>深海之牙</t>
  </si>
  <si>
    <t>Deep Sea Scale</t>
  </si>
  <si>
    <t>しんかいのウロコ</t>
  </si>
  <si>
    <t>Écaille Océan</t>
  </si>
  <si>
    <t>Abyssplatte</t>
  </si>
  <si>
    <t>Escama Marina</t>
  </si>
  <si>
    <t>Squamaabissi</t>
  </si>
  <si>
    <t>심해의비늘</t>
  </si>
  <si>
    <t>深海鱗片</t>
  </si>
  <si>
    <t>Silk Scarf</t>
  </si>
  <si>
    <t>シルクのスカーフ</t>
  </si>
  <si>
    <t>Mouchoir Soie</t>
  </si>
  <si>
    <t>Seidenschal</t>
  </si>
  <si>
    <t>Pañuelo Seda</t>
  </si>
  <si>
    <t>Sciarpa Seta</t>
  </si>
  <si>
    <t>실크스카프</t>
  </si>
  <si>
    <t>絲綢圍巾</t>
  </si>
  <si>
    <t>Shell Bell</t>
  </si>
  <si>
    <t>かいがらのすず</t>
  </si>
  <si>
    <t>Grelot Coque</t>
  </si>
  <si>
    <t>Seegesang</t>
  </si>
  <si>
    <t>Campana Concha</t>
  </si>
  <si>
    <t>Conchinella</t>
  </si>
  <si>
    <t>조개껍질방울</t>
  </si>
  <si>
    <t>貝殼之鈴</t>
  </si>
  <si>
    <t>Sea Incense</t>
  </si>
  <si>
    <t>うしおのおこう</t>
  </si>
  <si>
    <t>Encens Mer</t>
  </si>
  <si>
    <t>Seerauch</t>
  </si>
  <si>
    <t>Incienso Marino</t>
  </si>
  <si>
    <t>Marearoma</t>
  </si>
  <si>
    <t>바닷물향로</t>
  </si>
  <si>
    <t>海潮薰香</t>
  </si>
  <si>
    <t>Lax Incense</t>
  </si>
  <si>
    <t>のんきのおこう</t>
  </si>
  <si>
    <t>Encens Doux</t>
  </si>
  <si>
    <t>Laxrauch</t>
  </si>
  <si>
    <t>Incienso Suave</t>
  </si>
  <si>
    <t>Distraroma</t>
  </si>
  <si>
    <t>무사태평향로</t>
  </si>
  <si>
    <t>悠閒薰香</t>
  </si>
  <si>
    <t>Red Scarf</t>
  </si>
  <si>
    <t>あかいバンダナ</t>
  </si>
  <si>
    <t>Foulard Rouge</t>
  </si>
  <si>
    <t>Roter Schal</t>
  </si>
  <si>
    <t>Pañuelo Rojo</t>
  </si>
  <si>
    <t>Fascia Rossa</t>
  </si>
  <si>
    <t>빨강밴드</t>
  </si>
  <si>
    <t>紅色頭巾</t>
  </si>
  <si>
    <t>Blue Scarf</t>
  </si>
  <si>
    <t>あおいバンダナ</t>
  </si>
  <si>
    <t>Foulard Bleu</t>
  </si>
  <si>
    <t>Blauer Schal</t>
  </si>
  <si>
    <t>Pañuelo Azul</t>
  </si>
  <si>
    <t>Fascia Blu</t>
  </si>
  <si>
    <t>파랑밴드</t>
  </si>
  <si>
    <t>藍色頭巾</t>
  </si>
  <si>
    <t>Pink Scarf</t>
  </si>
  <si>
    <t>ピンクのバンダナ</t>
  </si>
  <si>
    <t>Foulard Rose</t>
  </si>
  <si>
    <t>Rosa Schal</t>
  </si>
  <si>
    <t>Pañuelo Rosa</t>
  </si>
  <si>
    <t>Fascia Rosa</t>
  </si>
  <si>
    <t>분홍밴드</t>
  </si>
  <si>
    <t>粉紅頭巾</t>
  </si>
  <si>
    <t>Green Scarf</t>
  </si>
  <si>
    <t>みどりのバンダナ</t>
  </si>
  <si>
    <t>Foulard Vert</t>
  </si>
  <si>
    <t>Grüner Schal</t>
  </si>
  <si>
    <t>Pañuelo Verde</t>
  </si>
  <si>
    <t>Fascia Verde</t>
  </si>
  <si>
    <t>초록밴드</t>
  </si>
  <si>
    <t>綠色頭巾</t>
  </si>
  <si>
    <t>Yellow Scarf</t>
  </si>
  <si>
    <t>きいろのバンダナ</t>
  </si>
  <si>
    <t>Foulard Jaune</t>
  </si>
  <si>
    <t>Gelber Schal</t>
  </si>
  <si>
    <t>Pañuelo Amarillo</t>
  </si>
  <si>
    <t>Fascia Gialla</t>
  </si>
  <si>
    <t>노랑밴드</t>
  </si>
  <si>
    <t>黃色頭巾</t>
  </si>
  <si>
    <t>Red Orb</t>
  </si>
  <si>
    <t>べにいろのたま</t>
  </si>
  <si>
    <t>Gemme Rouge</t>
  </si>
  <si>
    <t>Roter Edelstein</t>
  </si>
  <si>
    <t>Prisma Roja</t>
  </si>
  <si>
    <t>Gemma Rossa</t>
  </si>
  <si>
    <t>주홍구슬</t>
  </si>
  <si>
    <t>朱紅色寶珠</t>
  </si>
  <si>
    <t>Blue Orb</t>
  </si>
  <si>
    <t>あいいろのたま</t>
  </si>
  <si>
    <t>Gemme Bleue</t>
  </si>
  <si>
    <t>Blauer Edelstein</t>
  </si>
  <si>
    <t>Prisma Azul</t>
  </si>
  <si>
    <t>Gemma Blu</t>
  </si>
  <si>
    <t>쪽빛구슬</t>
  </si>
  <si>
    <t>靛藍色寶珠</t>
  </si>
  <si>
    <t>Flame Plate</t>
  </si>
  <si>
    <t>Plaque Flamme</t>
  </si>
  <si>
    <t>Feuertafel</t>
  </si>
  <si>
    <t>Tabla Llama</t>
  </si>
  <si>
    <t>Lastrarogo</t>
  </si>
  <si>
    <t>불구슬플레이트</t>
  </si>
  <si>
    <t>火球石板</t>
  </si>
  <si>
    <t>Splash Plate</t>
  </si>
  <si>
    <t>Plaque Hydro</t>
  </si>
  <si>
    <t>Wassertafel</t>
  </si>
  <si>
    <t>Tabla Linfa</t>
  </si>
  <si>
    <t>Lastraidro</t>
  </si>
  <si>
    <t>물방울플레이트</t>
  </si>
  <si>
    <t>水滴石板</t>
  </si>
  <si>
    <t>Zap Plate</t>
  </si>
  <si>
    <t>Plaque Volt</t>
  </si>
  <si>
    <t>Blitztafel</t>
  </si>
  <si>
    <t>Tabla Trueno</t>
  </si>
  <si>
    <t>Lastrasaetta</t>
  </si>
  <si>
    <t>우뢰플레이트</t>
  </si>
  <si>
    <t>雷電石板</t>
  </si>
  <si>
    <t>Meadow Plate</t>
  </si>
  <si>
    <t>Plaque Herbe</t>
  </si>
  <si>
    <t>Weisentafel</t>
  </si>
  <si>
    <t>Tabla Pradal</t>
  </si>
  <si>
    <t>Lastraprato</t>
  </si>
  <si>
    <t>초록플레이트</t>
  </si>
  <si>
    <t>碧綠石板</t>
  </si>
  <si>
    <t>Icicle Plate</t>
  </si>
  <si>
    <t>Plaque Glace</t>
  </si>
  <si>
    <t>Frosttafel</t>
  </si>
  <si>
    <t>Tabla Helada</t>
  </si>
  <si>
    <t>Lastragelo</t>
  </si>
  <si>
    <t>고드름플레이트</t>
  </si>
  <si>
    <t>冰柱石板</t>
  </si>
  <si>
    <t>Fist Plate</t>
  </si>
  <si>
    <t>Plaque Poing</t>
  </si>
  <si>
    <t>Fausttafel</t>
  </si>
  <si>
    <t>Tabla Fuerte</t>
  </si>
  <si>
    <t>Lastrapungo</t>
  </si>
  <si>
    <t>주먹플레이트</t>
  </si>
  <si>
    <t>拳頭石板</t>
  </si>
  <si>
    <t>Toxic Plate</t>
  </si>
  <si>
    <t>Plaque Toxic</t>
  </si>
  <si>
    <t>Gifttafel</t>
  </si>
  <si>
    <t>Tabla Tóxica</t>
  </si>
  <si>
    <t>Lastrafiele</t>
  </si>
  <si>
    <t>맹독플레이트</t>
  </si>
  <si>
    <t>劇毒石板</t>
  </si>
  <si>
    <t>Earth Plate</t>
  </si>
  <si>
    <t>Plaque Terre</t>
  </si>
  <si>
    <t>Erdtafel</t>
  </si>
  <si>
    <t>Tabla Terrax</t>
  </si>
  <si>
    <t>Lastrageo</t>
  </si>
  <si>
    <t>대지플레이트</t>
  </si>
  <si>
    <t>大地石板</t>
  </si>
  <si>
    <t>Sky Plate</t>
  </si>
  <si>
    <t>Plaque Ciel</t>
  </si>
  <si>
    <t>Wolkentafel</t>
  </si>
  <si>
    <t>Tabla Cielo</t>
  </si>
  <si>
    <t>Lastracielo</t>
  </si>
  <si>
    <t>푸른하늘플레이트</t>
  </si>
  <si>
    <t>藍天石板</t>
  </si>
  <si>
    <t>Mind Plate</t>
  </si>
  <si>
    <t>Plaque Esprit</t>
  </si>
  <si>
    <t>Hirntafel</t>
  </si>
  <si>
    <t>Tabla Mental</t>
  </si>
  <si>
    <t>Lastramente</t>
  </si>
  <si>
    <t>이상한플레이트</t>
  </si>
  <si>
    <t>神奇石板</t>
  </si>
  <si>
    <t>Insect Plate</t>
  </si>
  <si>
    <t>Plaque Insecte</t>
  </si>
  <si>
    <t>Käfertafel</t>
  </si>
  <si>
    <t>Tabla Bicho</t>
  </si>
  <si>
    <t>Lastrabaco</t>
  </si>
  <si>
    <t>비단벌레플레이트</t>
  </si>
  <si>
    <t>玉蟲石板</t>
  </si>
  <si>
    <t>Stone Plate</t>
  </si>
  <si>
    <t>Plaque Roc</t>
  </si>
  <si>
    <t>Steintafel</t>
  </si>
  <si>
    <t>Tabla Pétrea</t>
  </si>
  <si>
    <t>Lastrapietra</t>
  </si>
  <si>
    <t>암석플레이트</t>
  </si>
  <si>
    <t>岩石石板</t>
  </si>
  <si>
    <t>Spooky Plate</t>
  </si>
  <si>
    <t>Plaque Fantôme</t>
  </si>
  <si>
    <t>Spuktafel</t>
  </si>
  <si>
    <t>Tabla Terror</t>
  </si>
  <si>
    <t>Lastratetra</t>
  </si>
  <si>
    <t>원령플레이트</t>
  </si>
  <si>
    <t>妖怪石板</t>
  </si>
  <si>
    <t>Draco Plate</t>
  </si>
  <si>
    <t>Plaque Draco</t>
  </si>
  <si>
    <t>Dracotafel</t>
  </si>
  <si>
    <t>Tabla Draco</t>
  </si>
  <si>
    <t>Lastradrakon</t>
  </si>
  <si>
    <t>용의플레이트</t>
  </si>
  <si>
    <t>龍之石板</t>
  </si>
  <si>
    <t>Dread Plate</t>
  </si>
  <si>
    <t>Plaque Ombre</t>
  </si>
  <si>
    <t>Furchttafel</t>
  </si>
  <si>
    <t>Tabla Oscura</t>
  </si>
  <si>
    <t>Lastratimore</t>
  </si>
  <si>
    <t>공포플레이트</t>
  </si>
  <si>
    <t>惡顏石板</t>
  </si>
  <si>
    <t>Iron Plate</t>
  </si>
  <si>
    <t>Plaque Fer</t>
  </si>
  <si>
    <t>Eisentafel</t>
  </si>
  <si>
    <t>Tabla Acero</t>
  </si>
  <si>
    <t>Lastraferro</t>
  </si>
  <si>
    <t>강철플레이트</t>
  </si>
  <si>
    <t>鋼鐵石板</t>
  </si>
  <si>
    <t>Odd Incense</t>
  </si>
  <si>
    <t>おやしいのおこう</t>
  </si>
  <si>
    <t>Encens Bizarre</t>
  </si>
  <si>
    <t>Schrägrauch</t>
  </si>
  <si>
    <t>Incienso Raro</t>
  </si>
  <si>
    <t>Bizzoaroma</t>
  </si>
  <si>
    <t>괴상한향로</t>
  </si>
  <si>
    <t>奇異薰香</t>
  </si>
  <si>
    <t>Rock Incense</t>
  </si>
  <si>
    <t>がんせきのおこう</t>
  </si>
  <si>
    <t>Encens Roc</t>
  </si>
  <si>
    <t>Steinrauch</t>
  </si>
  <si>
    <t>Incienso Roca</t>
  </si>
  <si>
    <t>Roccioaroma</t>
  </si>
  <si>
    <t>암석향로</t>
  </si>
  <si>
    <t>岩石薰香</t>
  </si>
  <si>
    <t>Full Incense</t>
  </si>
  <si>
    <t>まんぷくのおこう</t>
  </si>
  <si>
    <t>Encens Plein</t>
  </si>
  <si>
    <t>Lahmrauch</t>
  </si>
  <si>
    <t>Incienso Lento</t>
  </si>
  <si>
    <t>Gonfioaroma</t>
  </si>
  <si>
    <t>만복향로</t>
  </si>
  <si>
    <t>飽腹薰香</t>
  </si>
  <si>
    <t>Wave Incense</t>
  </si>
  <si>
    <t>さざなみのおこう</t>
  </si>
  <si>
    <t>Encens Vague</t>
  </si>
  <si>
    <t>Wellenrauch</t>
  </si>
  <si>
    <t>Incienso Aqua</t>
  </si>
  <si>
    <t>Ondaroma</t>
  </si>
  <si>
    <t>잔물결향로</t>
  </si>
  <si>
    <t>漣漪薰香</t>
  </si>
  <si>
    <t>Rose Incense</t>
  </si>
  <si>
    <t>おはなのおこう</t>
  </si>
  <si>
    <t>Encens Fleur</t>
  </si>
  <si>
    <t>Rosenrauch</t>
  </si>
  <si>
    <t>Incienso Floral</t>
  </si>
  <si>
    <t>Rosaroma</t>
  </si>
  <si>
    <t>꽃향로</t>
  </si>
  <si>
    <t>花朵薰香</t>
  </si>
  <si>
    <t>Luck Incense</t>
  </si>
  <si>
    <t>こううんのおこう</t>
  </si>
  <si>
    <t>Encens Veine</t>
  </si>
  <si>
    <t>Glücksrauch</t>
  </si>
  <si>
    <t>Incienso Duplo</t>
  </si>
  <si>
    <t>Fortunaroma</t>
  </si>
  <si>
    <t>행운의향로</t>
  </si>
  <si>
    <t>幸運薰香</t>
  </si>
  <si>
    <t>Pure Incense</t>
  </si>
  <si>
    <t>きよめのおこう</t>
  </si>
  <si>
    <t>Encens Pur</t>
  </si>
  <si>
    <t>Scheuchrauch</t>
  </si>
  <si>
    <t>Incienso Puro</t>
  </si>
  <si>
    <t>Puroaroma</t>
  </si>
  <si>
    <t>순결의향로</t>
  </si>
  <si>
    <t>潔淨薰香</t>
  </si>
  <si>
    <t>Protector</t>
  </si>
  <si>
    <t>プロテクター</t>
  </si>
  <si>
    <t>Protecteur</t>
  </si>
  <si>
    <t>Schützer</t>
  </si>
  <si>
    <t>Copertura</t>
  </si>
  <si>
    <t>프로텍터</t>
  </si>
  <si>
    <t>護具</t>
  </si>
  <si>
    <t>Electirizer</t>
  </si>
  <si>
    <t>エレキブースター</t>
  </si>
  <si>
    <t>Électriseur</t>
  </si>
  <si>
    <t>Stromisierer</t>
  </si>
  <si>
    <t>Electrizador</t>
  </si>
  <si>
    <t>Elettritore</t>
  </si>
  <si>
    <t>에레키부스터</t>
  </si>
  <si>
    <t>電力增幅器</t>
  </si>
  <si>
    <t>Magmarizer</t>
  </si>
  <si>
    <t>マグマブースター</t>
  </si>
  <si>
    <t>Magmariseur</t>
  </si>
  <si>
    <t>Magmaisierer</t>
  </si>
  <si>
    <t>Magmatizador</t>
  </si>
  <si>
    <t>Magmatore</t>
  </si>
  <si>
    <t>마그마부스터</t>
  </si>
  <si>
    <t>熔岩增幅器</t>
  </si>
  <si>
    <t>Dubious Disc</t>
  </si>
  <si>
    <t>あやしいパッチ</t>
  </si>
  <si>
    <t>CD Douteux</t>
  </si>
  <si>
    <t>Dubiosdisc</t>
  </si>
  <si>
    <t>Discoxtraño</t>
  </si>
  <si>
    <t>Dubbiodisco</t>
  </si>
  <si>
    <t>괴상한패치</t>
  </si>
  <si>
    <t>可疑補丁</t>
  </si>
  <si>
    <t>Reaper Cloth</t>
  </si>
  <si>
    <t>れいかいのぬの</t>
  </si>
  <si>
    <t>Tissu Fauche</t>
  </si>
  <si>
    <t>Düsterumhang</t>
  </si>
  <si>
    <t>Tela Terrible</t>
  </si>
  <si>
    <t>Terrorpanno</t>
  </si>
  <si>
    <t>영계의천</t>
  </si>
  <si>
    <t>靈界之布</t>
  </si>
  <si>
    <t>Razor Claw</t>
  </si>
  <si>
    <t>するどいツメ</t>
  </si>
  <si>
    <t>Griffe Rasoir</t>
  </si>
  <si>
    <t>Scharfklaue</t>
  </si>
  <si>
    <t>Garra Afilada</t>
  </si>
  <si>
    <t>Affilartigli</t>
  </si>
  <si>
    <t>예리한손톱</t>
  </si>
  <si>
    <t>銳利之爪</t>
  </si>
  <si>
    <t>Razor Fang</t>
  </si>
  <si>
    <t>するどいキバ</t>
  </si>
  <si>
    <t>Croc Rasoir</t>
  </si>
  <si>
    <t>Scharfzahn</t>
  </si>
  <si>
    <t>Colmillo Agudo</t>
  </si>
  <si>
    <t>Affilodente</t>
  </si>
  <si>
    <t>예리한이빨</t>
  </si>
  <si>
    <t>銳利之牙</t>
  </si>
  <si>
    <t>Oval Stone</t>
  </si>
  <si>
    <t>まんまるいし</t>
  </si>
  <si>
    <t>Pierre Ovale</t>
  </si>
  <si>
    <t>Ovaler Stein</t>
  </si>
  <si>
    <t>Piedra Oval</t>
  </si>
  <si>
    <t>Pietraovale</t>
  </si>
  <si>
    <t>동글동글돌</t>
  </si>
  <si>
    <t>渾圓之石</t>
  </si>
  <si>
    <t>Adamant Orb</t>
  </si>
  <si>
    <t>こんごうだま</t>
  </si>
  <si>
    <t>Orbe Adamant</t>
  </si>
  <si>
    <t>Adamant-Orb</t>
  </si>
  <si>
    <t>Diamansfera</t>
  </si>
  <si>
    <t>Adamasfera</t>
  </si>
  <si>
    <t>금강옥</t>
  </si>
  <si>
    <t>金剛寶珠</t>
  </si>
  <si>
    <t>Lustrous Orb</t>
  </si>
  <si>
    <t>しらたま</t>
  </si>
  <si>
    <t>Orbe Perlé</t>
  </si>
  <si>
    <t>Weiß-Orb</t>
  </si>
  <si>
    <t>Lustresfera</t>
  </si>
  <si>
    <t>Splendisfera</t>
  </si>
  <si>
    <t>백옥</t>
  </si>
  <si>
    <t>白玉寶珠</t>
  </si>
  <si>
    <t>Griseous Orb</t>
  </si>
  <si>
    <t>はっきんだま</t>
  </si>
  <si>
    <t>Orbe Platiné</t>
  </si>
  <si>
    <t>Platinum-Orb</t>
  </si>
  <si>
    <t>Griseosfera</t>
  </si>
  <si>
    <t>Grigiosfera</t>
  </si>
  <si>
    <t>백금옥</t>
  </si>
  <si>
    <t>白金寶珠</t>
  </si>
  <si>
    <t>Wide Lens</t>
  </si>
  <si>
    <t>こうかくレンズ</t>
  </si>
  <si>
    <t>Loupe</t>
  </si>
  <si>
    <t>Großlinse</t>
  </si>
  <si>
    <t>Lupa</t>
  </si>
  <si>
    <t>Grandelente</t>
  </si>
  <si>
    <t>광각렌즈</t>
  </si>
  <si>
    <t>廣角鏡</t>
  </si>
  <si>
    <t>Muscle Band</t>
  </si>
  <si>
    <t>ちからのハチマキ</t>
  </si>
  <si>
    <t>Bandeau Muscle</t>
  </si>
  <si>
    <t>Muskelband</t>
  </si>
  <si>
    <t>Cinta Fuerte</t>
  </si>
  <si>
    <t>Muscolbanda</t>
  </si>
  <si>
    <t>힘의머리띠</t>
  </si>
  <si>
    <t>力量頭帶</t>
  </si>
  <si>
    <t>Wise Glasses</t>
  </si>
  <si>
    <t>ものしりメガネ</t>
  </si>
  <si>
    <t>Lunettes Sages</t>
  </si>
  <si>
    <t>Schlauglas</t>
  </si>
  <si>
    <t>Gafas Especiales</t>
  </si>
  <si>
    <t>Saviocchiali</t>
  </si>
  <si>
    <t>박식안경</t>
  </si>
  <si>
    <t>博識眼鏡</t>
  </si>
  <si>
    <t>Expert Belt</t>
  </si>
  <si>
    <t>たつじんのおび</t>
  </si>
  <si>
    <t>Ceinture Pro</t>
  </si>
  <si>
    <t>Expertengurt</t>
  </si>
  <si>
    <t>Cinta Experto</t>
  </si>
  <si>
    <t>Abilcintura</t>
  </si>
  <si>
    <t>달인의띠</t>
  </si>
  <si>
    <t>達人帶</t>
  </si>
  <si>
    <t>Light Clay</t>
  </si>
  <si>
    <t>ひかりのねんど</t>
  </si>
  <si>
    <t>Lumargile</t>
  </si>
  <si>
    <t>Lichtlehm</t>
  </si>
  <si>
    <t>Refleluz</t>
  </si>
  <si>
    <t>Creta Luce</t>
  </si>
  <si>
    <t>빛의점토</t>
  </si>
  <si>
    <t>光之黏土</t>
  </si>
  <si>
    <t>Life Orb</t>
  </si>
  <si>
    <t>いこちのたま</t>
  </si>
  <si>
    <t>Orbe Vie</t>
  </si>
  <si>
    <t>Leben-Orb</t>
  </si>
  <si>
    <t>Vidasfera</t>
  </si>
  <si>
    <t>Assorbisfera</t>
  </si>
  <si>
    <t>생명의구슬</t>
  </si>
  <si>
    <t>生命寶珠</t>
  </si>
  <si>
    <t>Power Herb</t>
  </si>
  <si>
    <t>パワフルハーブ</t>
  </si>
  <si>
    <t>Herbe Pouvoir</t>
  </si>
  <si>
    <t>Energiekraut</t>
  </si>
  <si>
    <t>Hierba Única</t>
  </si>
  <si>
    <t>Vigorerba</t>
  </si>
  <si>
    <t>파워풀허브</t>
  </si>
  <si>
    <t>強力香草</t>
  </si>
  <si>
    <t>Toxic Orb</t>
  </si>
  <si>
    <t>どくどくだま</t>
  </si>
  <si>
    <t>Orbe Toxique</t>
  </si>
  <si>
    <t>Toxik-Orb</t>
  </si>
  <si>
    <t>Toxisfera</t>
  </si>
  <si>
    <t>Tossicsfera</t>
  </si>
  <si>
    <t>맹독구슬</t>
  </si>
  <si>
    <t>劇毒寶珠</t>
  </si>
  <si>
    <t>Flame Orb</t>
  </si>
  <si>
    <t>かえんだま</t>
  </si>
  <si>
    <t>Orbe Flamme</t>
  </si>
  <si>
    <t>Heiß-Orb</t>
  </si>
  <si>
    <t>Llamasfera</t>
  </si>
  <si>
    <t>Fiammosfera</t>
  </si>
  <si>
    <t>화염구슬</t>
  </si>
  <si>
    <t>火焰寶珠</t>
  </si>
  <si>
    <t>Quick Powder</t>
  </si>
  <si>
    <t>スピードパウダー</t>
  </si>
  <si>
    <t>Poudre Vite</t>
  </si>
  <si>
    <t>Flottstaub</t>
  </si>
  <si>
    <t>Polvo Veloz</t>
  </si>
  <si>
    <t>Velopolvere</t>
  </si>
  <si>
    <t>스피드파우더</t>
  </si>
  <si>
    <t>速度粉</t>
  </si>
  <si>
    <t>Focus Sash</t>
  </si>
  <si>
    <t>きあいのタスキ</t>
  </si>
  <si>
    <t>Ceinture Force</t>
  </si>
  <si>
    <t>Fokusgurt</t>
  </si>
  <si>
    <t>Banda Focus</t>
  </si>
  <si>
    <t>Focalnastro</t>
  </si>
  <si>
    <t>기합의띠</t>
  </si>
  <si>
    <t>氣勢披帶</t>
  </si>
  <si>
    <t>Zoom Lens</t>
  </si>
  <si>
    <t>フォーカスレンズ</t>
  </si>
  <si>
    <t>Lentille Zoom</t>
  </si>
  <si>
    <t>Zoomlinse</t>
  </si>
  <si>
    <t>Telescopio</t>
  </si>
  <si>
    <t>Zoomlente</t>
  </si>
  <si>
    <t>포커스렌즈</t>
  </si>
  <si>
    <t>對焦鏡</t>
  </si>
  <si>
    <t>メトロノーム</t>
  </si>
  <si>
    <t>Plessimetro</t>
  </si>
  <si>
    <t>메트로놈</t>
  </si>
  <si>
    <t>節拍器</t>
  </si>
  <si>
    <t>くろいてっきゅう</t>
  </si>
  <si>
    <t>Balle Fer</t>
  </si>
  <si>
    <t>Bola Férrea</t>
  </si>
  <si>
    <t>Ferropalla</t>
  </si>
  <si>
    <t>검은철구</t>
  </si>
  <si>
    <t>黑色鐵球</t>
  </si>
  <si>
    <t>Lagging Tail</t>
  </si>
  <si>
    <t>こうこうのしっぽ</t>
  </si>
  <si>
    <t>Ralentiqueue</t>
  </si>
  <si>
    <t>Schwerschweif</t>
  </si>
  <si>
    <t>Cola Plúmbea</t>
  </si>
  <si>
    <t>Rallentocoda</t>
  </si>
  <si>
    <t>느림보꼬리</t>
  </si>
  <si>
    <t>後攻之尾</t>
  </si>
  <si>
    <t>Destiny Knot</t>
  </si>
  <si>
    <t>あかいいと</t>
  </si>
  <si>
    <t>Nœud Destin</t>
  </si>
  <si>
    <t>Fatumknoten</t>
  </si>
  <si>
    <t>Lazo Destino</t>
  </si>
  <si>
    <t>Destincomune</t>
  </si>
  <si>
    <t>빨간실</t>
  </si>
  <si>
    <t>紅線</t>
  </si>
  <si>
    <t>Black Sludge</t>
  </si>
  <si>
    <t>くろいヘドロ</t>
  </si>
  <si>
    <t>Boue Noire</t>
  </si>
  <si>
    <t>Giftschleim</t>
  </si>
  <si>
    <t>Lodo Negro</t>
  </si>
  <si>
    <t>Fangopece</t>
  </si>
  <si>
    <t>검은진흙</t>
  </si>
  <si>
    <t>黑色污泥</t>
  </si>
  <si>
    <t>Icy Rock</t>
  </si>
  <si>
    <t>つめたいいわ</t>
  </si>
  <si>
    <t>Roche Glace</t>
  </si>
  <si>
    <t>Eisbrocken</t>
  </si>
  <si>
    <t>Roca Helada</t>
  </si>
  <si>
    <t>Rocciafredda</t>
  </si>
  <si>
    <t>차가운바위</t>
  </si>
  <si>
    <t>冰冷岩石</t>
  </si>
  <si>
    <t>Smooth Rock</t>
  </si>
  <si>
    <t>さらさらいわ</t>
  </si>
  <si>
    <t>Roche Lisse</t>
  </si>
  <si>
    <t>Glattbrocken</t>
  </si>
  <si>
    <t>Roca Suave</t>
  </si>
  <si>
    <t>Roccialiscia</t>
  </si>
  <si>
    <t>보송보송바위</t>
  </si>
  <si>
    <t>沙沙岩石</t>
  </si>
  <si>
    <t>Heat Rock</t>
  </si>
  <si>
    <t>あついいわ</t>
  </si>
  <si>
    <t>Roche Chaude</t>
  </si>
  <si>
    <t>Heißbrocken</t>
  </si>
  <si>
    <t>Roca Calor</t>
  </si>
  <si>
    <t>Rocciacalda</t>
  </si>
  <si>
    <t>뜨거운바위</t>
  </si>
  <si>
    <t>熾熱岩石</t>
  </si>
  <si>
    <t>Damp Rock</t>
  </si>
  <si>
    <t>しめったいわ</t>
  </si>
  <si>
    <t>Roche Humide</t>
  </si>
  <si>
    <t>Nassbrocken</t>
  </si>
  <si>
    <t>Roca Lluvia</t>
  </si>
  <si>
    <t>Rocciaumida</t>
  </si>
  <si>
    <t>축축한바위</t>
  </si>
  <si>
    <t>潮濕岩石</t>
  </si>
  <si>
    <t>Grip Claw</t>
  </si>
  <si>
    <t>ねばりのかぎづめ</t>
  </si>
  <si>
    <t>Accro Griffe</t>
  </si>
  <si>
    <t>Griffklaue</t>
  </si>
  <si>
    <t>Garra Garfio</t>
  </si>
  <si>
    <t>Presartigli</t>
  </si>
  <si>
    <t>끈기갈고리손톱</t>
  </si>
  <si>
    <t>緊纏鈎爪</t>
  </si>
  <si>
    <t>Choice Scarf</t>
  </si>
  <si>
    <t>こだわりスカーフ</t>
  </si>
  <si>
    <t>Mouchoir Choix</t>
  </si>
  <si>
    <t>Wahlschal</t>
  </si>
  <si>
    <t>Pañuelo Elegido</t>
  </si>
  <si>
    <t>Stolascelta</t>
  </si>
  <si>
    <t>구애스카프</t>
  </si>
  <si>
    <t>講究圍巾</t>
  </si>
  <si>
    <t>Sticky Barb</t>
  </si>
  <si>
    <t>くっつきバリ</t>
  </si>
  <si>
    <t>Piquants</t>
  </si>
  <si>
    <t>Klettdorn</t>
  </si>
  <si>
    <t>Toxiestrella</t>
  </si>
  <si>
    <t>Vischiopunta</t>
  </si>
  <si>
    <t>끈적끈적바늘</t>
  </si>
  <si>
    <t>附著針</t>
  </si>
  <si>
    <t>Power Bracer</t>
  </si>
  <si>
    <t>パワーリスト</t>
  </si>
  <si>
    <t>Poignée Pouvoir</t>
  </si>
  <si>
    <t>Machtreif</t>
  </si>
  <si>
    <t>Brazal Recio</t>
  </si>
  <si>
    <t>Vigorcerchio</t>
  </si>
  <si>
    <t>파워리스트</t>
  </si>
  <si>
    <t>力量護腕</t>
  </si>
  <si>
    <t>Power Belt</t>
  </si>
  <si>
    <t>パワーベルト</t>
  </si>
  <si>
    <t>Ceinture Pouvoir</t>
  </si>
  <si>
    <t>Machtgurt</t>
  </si>
  <si>
    <t>Cinto Recio</t>
  </si>
  <si>
    <t>Vigorfascia</t>
  </si>
  <si>
    <t>파워벨트</t>
  </si>
  <si>
    <t>力量腰帶</t>
  </si>
  <si>
    <t>Power Lens</t>
  </si>
  <si>
    <t>パワーレンズ</t>
  </si>
  <si>
    <t>Lentille Pouvoir</t>
  </si>
  <si>
    <t>Machtlinse</t>
  </si>
  <si>
    <t>Lente Recia</t>
  </si>
  <si>
    <t>Vigorlente</t>
  </si>
  <si>
    <t>파워렌즈</t>
  </si>
  <si>
    <t>力量鏡</t>
  </si>
  <si>
    <t>Power Band</t>
  </si>
  <si>
    <t>パワーバンド</t>
  </si>
  <si>
    <t>Bandeau Pouvoir</t>
  </si>
  <si>
    <t>Machtband</t>
  </si>
  <si>
    <t>Banda Recia</t>
  </si>
  <si>
    <t>Vigorbanda</t>
  </si>
  <si>
    <t>파워밴드</t>
  </si>
  <si>
    <t>力量束帶</t>
  </si>
  <si>
    <t>Power Anklet</t>
  </si>
  <si>
    <t>パワーアンクル</t>
  </si>
  <si>
    <t>Chaîne Pouvoir</t>
  </si>
  <si>
    <t>Machtkette</t>
  </si>
  <si>
    <t>Franja Recia</t>
  </si>
  <si>
    <t>Vigorgliera</t>
  </si>
  <si>
    <t>파워앵클릿</t>
  </si>
  <si>
    <t>力量護踝</t>
  </si>
  <si>
    <t>Power Weight</t>
  </si>
  <si>
    <t>パワーウエイト</t>
  </si>
  <si>
    <t>Poids Pouvoir</t>
  </si>
  <si>
    <t>Machtgewicht</t>
  </si>
  <si>
    <t>Pesa Recia</t>
  </si>
  <si>
    <t>Vigorpeso</t>
  </si>
  <si>
    <t>파워웨이트</t>
  </si>
  <si>
    <t>力量負重</t>
  </si>
  <si>
    <t>Shed Shell</t>
  </si>
  <si>
    <t>きれいなぬけがら</t>
  </si>
  <si>
    <t>Carapace Mue</t>
  </si>
  <si>
    <t>Wechselhülle</t>
  </si>
  <si>
    <t>Muda Concha</t>
  </si>
  <si>
    <t>Disfoguscio</t>
  </si>
  <si>
    <t>아름다운허물</t>
  </si>
  <si>
    <t>美麗空殼</t>
  </si>
  <si>
    <t>Big Root</t>
  </si>
  <si>
    <t>おおきなねっこ</t>
  </si>
  <si>
    <t>Grosse Racine</t>
  </si>
  <si>
    <t>Großwurzel</t>
  </si>
  <si>
    <t>Raíz Grande</t>
  </si>
  <si>
    <t>Granradice</t>
  </si>
  <si>
    <t>큰뿌리</t>
  </si>
  <si>
    <t>大根莖</t>
  </si>
  <si>
    <t>Choice Specs</t>
  </si>
  <si>
    <t>こだわりメガネ</t>
  </si>
  <si>
    <t>Lunettes Choix</t>
  </si>
  <si>
    <t>Wahlglas</t>
  </si>
  <si>
    <t>Gafas Elegid</t>
  </si>
  <si>
    <t>Lentiscelta</t>
  </si>
  <si>
    <t>구애안경</t>
  </si>
  <si>
    <t>講究眼鏡</t>
  </si>
  <si>
    <t>Douse Drive</t>
  </si>
  <si>
    <t>アクアカセット</t>
  </si>
  <si>
    <t>Module Aqua</t>
  </si>
  <si>
    <t>Aquamodul</t>
  </si>
  <si>
    <t>HidroROM</t>
  </si>
  <si>
    <t>Idromodulo</t>
  </si>
  <si>
    <t>아쿠아카세트</t>
  </si>
  <si>
    <t>水流卡帶</t>
  </si>
  <si>
    <t>Shock Drive</t>
  </si>
  <si>
    <t>イナズマカセット</t>
  </si>
  <si>
    <t>Module Choc</t>
  </si>
  <si>
    <t>Blitzmodul</t>
  </si>
  <si>
    <t>FulgoROM</t>
  </si>
  <si>
    <t>Voltmodulo</t>
  </si>
  <si>
    <t>번개카세트</t>
  </si>
  <si>
    <t>閃電卡帶</t>
  </si>
  <si>
    <t>Burn Drive</t>
  </si>
  <si>
    <t>ブレイズカセット</t>
  </si>
  <si>
    <t>Module Pyro</t>
  </si>
  <si>
    <t>Flammenmodul</t>
  </si>
  <si>
    <t>PiroROM</t>
  </si>
  <si>
    <t>Piromodulo</t>
  </si>
  <si>
    <t>블레이즈카세트</t>
  </si>
  <si>
    <t>火焰卡帶</t>
  </si>
  <si>
    <t>Chill Drive</t>
  </si>
  <si>
    <t>フリーズカセット</t>
  </si>
  <si>
    <t>Module Cryo</t>
  </si>
  <si>
    <t>Gefriermodul</t>
  </si>
  <si>
    <t>CrioROM</t>
  </si>
  <si>
    <t>Gelomodulo</t>
  </si>
  <si>
    <t>프리즈카세트</t>
  </si>
  <si>
    <t>冰凍卡帶</t>
  </si>
  <si>
    <t>Prism Scale</t>
  </si>
  <si>
    <t>きれいなウロコ</t>
  </si>
  <si>
    <t>Bel'Écaille</t>
  </si>
  <si>
    <t>Schönschuppe</t>
  </si>
  <si>
    <t>Escama Bella</t>
  </si>
  <si>
    <t>Squama Bella</t>
  </si>
  <si>
    <t>고운비늘</t>
  </si>
  <si>
    <t>美麗鱗片</t>
  </si>
  <si>
    <t>Eviolite</t>
  </si>
  <si>
    <t>しんかのきせき</t>
  </si>
  <si>
    <t>Évoluroc</t>
  </si>
  <si>
    <t>Evolith</t>
  </si>
  <si>
    <t>Mineral Evol</t>
  </si>
  <si>
    <t>Evolcondensa</t>
  </si>
  <si>
    <t>진화의 휘석</t>
  </si>
  <si>
    <t>進化奇石</t>
  </si>
  <si>
    <t>Float Stone</t>
  </si>
  <si>
    <t>かるいし</t>
  </si>
  <si>
    <t>Pierrallégée</t>
  </si>
  <si>
    <t>Leichtstein</t>
  </si>
  <si>
    <t>Piedra Pómez</t>
  </si>
  <si>
    <t>Pietralieve</t>
  </si>
  <si>
    <t>가벼운돌</t>
  </si>
  <si>
    <t>輕石</t>
  </si>
  <si>
    <t>Rocky Helmet</t>
  </si>
  <si>
    <t>ゲツゲツメット</t>
  </si>
  <si>
    <t>Casque Brut</t>
  </si>
  <si>
    <t>Beulenhelm</t>
  </si>
  <si>
    <t>Casco Dentado</t>
  </si>
  <si>
    <t>Bitorzolelmo</t>
  </si>
  <si>
    <t>울퉁불퉁멧</t>
  </si>
  <si>
    <t>凸凸頭盔</t>
  </si>
  <si>
    <t>Air Balloon</t>
  </si>
  <si>
    <t>Luftballoon</t>
  </si>
  <si>
    <t>Globo Helio</t>
  </si>
  <si>
    <t>Palloncino</t>
  </si>
  <si>
    <t>Red Card</t>
  </si>
  <si>
    <t>レッドカード</t>
  </si>
  <si>
    <t>Carton Rouge</t>
  </si>
  <si>
    <t>Rote Karte</t>
  </si>
  <si>
    <t>Tarjeta Roja</t>
  </si>
  <si>
    <t>Cartelrosso</t>
  </si>
  <si>
    <t>레드카드</t>
  </si>
  <si>
    <t>紅牌</t>
  </si>
  <si>
    <t>Ring Target</t>
  </si>
  <si>
    <t>ねらいのまと</t>
  </si>
  <si>
    <t>Point de Mire</t>
  </si>
  <si>
    <t>Zielscheibe</t>
  </si>
  <si>
    <t>Blanco</t>
  </si>
  <si>
    <t>Facilsaglio</t>
  </si>
  <si>
    <t>겨냥표적</t>
  </si>
  <si>
    <t>標靶</t>
  </si>
  <si>
    <t>Binding Band</t>
  </si>
  <si>
    <t>しめつけバンド</t>
  </si>
  <si>
    <t>Bande Étreinte</t>
  </si>
  <si>
    <t>Klammerband</t>
  </si>
  <si>
    <t>Banda Atadura</t>
  </si>
  <si>
    <t>Legafascia</t>
  </si>
  <si>
    <t>조임밴드</t>
  </si>
  <si>
    <t>緊綁束帶</t>
  </si>
  <si>
    <t>Absorb Bulb</t>
  </si>
  <si>
    <t>きゅうこん</t>
  </si>
  <si>
    <t>Bulbe</t>
  </si>
  <si>
    <t>Knolle</t>
  </si>
  <si>
    <t>Tubérculo</t>
  </si>
  <si>
    <t>구근</t>
  </si>
  <si>
    <t>球根</t>
  </si>
  <si>
    <t>Cell Battery</t>
  </si>
  <si>
    <t>じゅうでんち</t>
  </si>
  <si>
    <t>Pile</t>
  </si>
  <si>
    <t>Akku</t>
  </si>
  <si>
    <t>Pila</t>
  </si>
  <si>
    <t>Ricaripila</t>
  </si>
  <si>
    <t>충전지</t>
  </si>
  <si>
    <t>充電電池</t>
  </si>
  <si>
    <t>Eject Button</t>
  </si>
  <si>
    <t>だっしゅつボダン</t>
  </si>
  <si>
    <t>Bouton Futie</t>
  </si>
  <si>
    <t>Fluchtknopf</t>
  </si>
  <si>
    <t>Botón Escape</t>
  </si>
  <si>
    <t>Pulsantefuga</t>
  </si>
  <si>
    <t>탈출버튼</t>
  </si>
  <si>
    <t>逃脫按鍵</t>
  </si>
  <si>
    <t>Fire Gem</t>
  </si>
  <si>
    <t>Joyau Feu</t>
  </si>
  <si>
    <t>Water Gem</t>
  </si>
  <si>
    <t>Joyau Eau</t>
  </si>
  <si>
    <t>Electric Gem</t>
  </si>
  <si>
    <t>Joyau Électrik</t>
  </si>
  <si>
    <t>Grass Gem</t>
  </si>
  <si>
    <t>Joyau Plante</t>
  </si>
  <si>
    <t>Ice Gem</t>
  </si>
  <si>
    <t>Joyau Glace</t>
  </si>
  <si>
    <t>Fighting Gem</t>
  </si>
  <si>
    <t>Joyau Combat</t>
  </si>
  <si>
    <t>Poison Gem</t>
  </si>
  <si>
    <t>Joyau Poison</t>
  </si>
  <si>
    <t>Ground Gem</t>
  </si>
  <si>
    <t>Joyau Sol</t>
  </si>
  <si>
    <t>Flying Gem</t>
  </si>
  <si>
    <t>Joyau Vol</t>
  </si>
  <si>
    <t>Psychic Gem</t>
  </si>
  <si>
    <t>Joyau Psy</t>
  </si>
  <si>
    <t>Bug Gem</t>
  </si>
  <si>
    <t>Joyau Insecte</t>
  </si>
  <si>
    <t>Rock Gem</t>
  </si>
  <si>
    <t>Joyau Roche</t>
  </si>
  <si>
    <t>Ghost Gem</t>
  </si>
  <si>
    <t>Joyau Spectre</t>
  </si>
  <si>
    <t>Dragon Gem</t>
  </si>
  <si>
    <t>Joyau Dragon</t>
  </si>
  <si>
    <t>Dark Gem</t>
  </si>
  <si>
    <t>Joyau Ténèbres</t>
  </si>
  <si>
    <t>Steel Gem</t>
  </si>
  <si>
    <t>Joyau Acier</t>
  </si>
  <si>
    <t>Normal Gem</t>
  </si>
  <si>
    <t>Joyau Normal</t>
  </si>
  <si>
    <t>Fairy Gem</t>
  </si>
  <si>
    <t>Joyau Fée</t>
  </si>
  <si>
    <t>Weakness Policy</t>
  </si>
  <si>
    <t>じゃくてんほけん</t>
  </si>
  <si>
    <t>Vulné-Assurance</t>
  </si>
  <si>
    <t>Schwächenschutz</t>
  </si>
  <si>
    <t>Seguro Debilidad</t>
  </si>
  <si>
    <t>Vulneropolizza</t>
  </si>
  <si>
    <t>약점보험</t>
  </si>
  <si>
    <t>弱點保險</t>
  </si>
  <si>
    <t>Assault Vest</t>
  </si>
  <si>
    <t>とつげきチョッキ</t>
  </si>
  <si>
    <t>Veste de Combat</t>
  </si>
  <si>
    <t>Offensivweste</t>
  </si>
  <si>
    <t>Chaleco Asalto</t>
  </si>
  <si>
    <t>Corpetto Assalto</t>
  </si>
  <si>
    <t>돌격조끼</t>
  </si>
  <si>
    <t>突擊背心</t>
  </si>
  <si>
    <t>Pixie Plate</t>
  </si>
  <si>
    <t>せいれいプレート</t>
  </si>
  <si>
    <t>Plaque Pixie</t>
  </si>
  <si>
    <t>Feentafel</t>
  </si>
  <si>
    <t>Tabla Duende</t>
  </si>
  <si>
    <t>Lastraspiritello</t>
  </si>
  <si>
    <t>정령플레이트</t>
  </si>
  <si>
    <t>妖精石板</t>
  </si>
  <si>
    <t>Whipped Dream</t>
  </si>
  <si>
    <t>ホイップポップ</t>
  </si>
  <si>
    <t>Chantibonbon</t>
  </si>
  <si>
    <t>Sahnehäubchen</t>
  </si>
  <si>
    <t>Dulce de Nata</t>
  </si>
  <si>
    <t>Dolcespuma</t>
  </si>
  <si>
    <t>휘핑팝</t>
  </si>
  <si>
    <t>Sachet</t>
  </si>
  <si>
    <t>においぶくろ</t>
  </si>
  <si>
    <t>Sachet Senteur</t>
  </si>
  <si>
    <t>Duftbeutel</t>
  </si>
  <si>
    <t>Saquito Fragante</t>
  </si>
  <si>
    <t>Bustina Aromi</t>
  </si>
  <si>
    <t>향기주머니</t>
  </si>
  <si>
    <t>香袋</t>
  </si>
  <si>
    <t>Luminous Moss</t>
  </si>
  <si>
    <t>ひかりごけ</t>
  </si>
  <si>
    <t>Lichen Lumineux</t>
  </si>
  <si>
    <t>Leuchtmoos</t>
  </si>
  <si>
    <t>Musgo Brilliante</t>
  </si>
  <si>
    <t>Muschioluce</t>
  </si>
  <si>
    <t>빛이끼</t>
  </si>
  <si>
    <t>光苔</t>
  </si>
  <si>
    <t>Snowball</t>
  </si>
  <si>
    <t>ゆきだま</t>
  </si>
  <si>
    <t>Boule de Neige</t>
  </si>
  <si>
    <t>Schneeball</t>
  </si>
  <si>
    <t>Bola de Nieve</t>
  </si>
  <si>
    <t>Palla di Neve</t>
  </si>
  <si>
    <t>눈덩이</t>
  </si>
  <si>
    <t>雪球</t>
  </si>
  <si>
    <t>Safety Goggles</t>
  </si>
  <si>
    <t>ぼうじんゴーグル</t>
  </si>
  <si>
    <t>Lunettes Filtre</t>
  </si>
  <si>
    <t>Schutzbrille</t>
  </si>
  <si>
    <t>Gafa Protectora</t>
  </si>
  <si>
    <t>Visierantisabbia</t>
  </si>
  <si>
    <t>방진고글</t>
  </si>
  <si>
    <t>防塵護目鏡</t>
  </si>
  <si>
    <t>Gengarite</t>
  </si>
  <si>
    <t>Ectoplasmite</t>
  </si>
  <si>
    <t>Gengarnit</t>
  </si>
  <si>
    <t>Gardevoirite</t>
  </si>
  <si>
    <t>Guardevoirnit</t>
  </si>
  <si>
    <t>Ampharosite</t>
  </si>
  <si>
    <t>Pharampite</t>
  </si>
  <si>
    <t>Ampharosnit</t>
  </si>
  <si>
    <t>Venusaurite</t>
  </si>
  <si>
    <t>Florizarrite</t>
  </si>
  <si>
    <t>Bisaflornit</t>
  </si>
  <si>
    <t>Charizardite X</t>
  </si>
  <si>
    <t>Dracaufite X</t>
  </si>
  <si>
    <t>Gluraknit X</t>
  </si>
  <si>
    <t>Blastoisinite</t>
  </si>
  <si>
    <t>Tortankite</t>
  </si>
  <si>
    <t>Turtoknit</t>
  </si>
  <si>
    <t>Blastoisite</t>
  </si>
  <si>
    <t>Mewtwonite X</t>
  </si>
  <si>
    <t>Mewtwoïte X</t>
  </si>
  <si>
    <t>Mewtunit X</t>
  </si>
  <si>
    <t>Mewtwoite X</t>
  </si>
  <si>
    <t>Mewtwonite Y</t>
  </si>
  <si>
    <t>Mewtwoïte Y</t>
  </si>
  <si>
    <t>Mewtunit Y</t>
  </si>
  <si>
    <t>Mewtwoite Y</t>
  </si>
  <si>
    <t>Blazikenite</t>
  </si>
  <si>
    <t>Braségalite</t>
  </si>
  <si>
    <t>Lohgocknit</t>
  </si>
  <si>
    <t>Medichamite</t>
  </si>
  <si>
    <t>Charminite</t>
  </si>
  <si>
    <t>Meditalisnit</t>
  </si>
  <si>
    <t>Houndoominite</t>
  </si>
  <si>
    <t>Démolossite</t>
  </si>
  <si>
    <t>Hundemonit</t>
  </si>
  <si>
    <t>Houndoomite</t>
  </si>
  <si>
    <t>Aggronite</t>
  </si>
  <si>
    <t>Galekingite</t>
  </si>
  <si>
    <t>Stollossnit</t>
  </si>
  <si>
    <t>Banettite</t>
  </si>
  <si>
    <t>Branettite</t>
  </si>
  <si>
    <t>Banetteonit</t>
  </si>
  <si>
    <t>Tyranitarite</t>
  </si>
  <si>
    <t>Tyranocivite</t>
  </si>
  <si>
    <t>Despotarnit</t>
  </si>
  <si>
    <t>Scizorite</t>
  </si>
  <si>
    <t>Cizayoxite</t>
  </si>
  <si>
    <t>Scheroxnit</t>
  </si>
  <si>
    <t>Pinisirite</t>
  </si>
  <si>
    <t>Scarabrutite</t>
  </si>
  <si>
    <t>Pinisirnit</t>
  </si>
  <si>
    <t>Aerodactylite</t>
  </si>
  <si>
    <t>Ptéraïte</t>
  </si>
  <si>
    <t>Aerodactylonit</t>
  </si>
  <si>
    <t>Lucarionite</t>
  </si>
  <si>
    <t>Lucarite</t>
  </si>
  <si>
    <t>Lucarionit</t>
  </si>
  <si>
    <t>Abomasite</t>
  </si>
  <si>
    <t>Blizzarite</t>
  </si>
  <si>
    <t>Rexblisarnit</t>
  </si>
  <si>
    <t>Abomasnowite</t>
  </si>
  <si>
    <t>Kangaskhanite</t>
  </si>
  <si>
    <t>Kangourexite</t>
  </si>
  <si>
    <t>Kangamanit</t>
  </si>
  <si>
    <t>Gyradosnite</t>
  </si>
  <si>
    <t>Léviatorite</t>
  </si>
  <si>
    <t>Garadosnit</t>
  </si>
  <si>
    <t>Absolite</t>
  </si>
  <si>
    <t>Absolnit</t>
  </si>
  <si>
    <t>Charizardite Y</t>
  </si>
  <si>
    <t>Dracaufite Y</t>
  </si>
  <si>
    <t>Gluraknit Y</t>
  </si>
  <si>
    <t>Alakazite</t>
  </si>
  <si>
    <t>Alakazamite</t>
  </si>
  <si>
    <t>Simsalanit</t>
  </si>
  <si>
    <t>Hercronite</t>
  </si>
  <si>
    <t>Scarhinoïte</t>
  </si>
  <si>
    <t>Skarabornit</t>
  </si>
  <si>
    <t>Heracrossite</t>
  </si>
  <si>
    <t>Mawilite</t>
  </si>
  <si>
    <t>Mysdibulite</t>
  </si>
  <si>
    <t>Flunkifernit</t>
  </si>
  <si>
    <t>Manectite</t>
  </si>
  <si>
    <t>Élecsprintite</t>
  </si>
  <si>
    <t>Voltensonit</t>
  </si>
  <si>
    <t>Manectricite</t>
  </si>
  <si>
    <t>Garchompite</t>
  </si>
  <si>
    <t>Carchacrokite</t>
  </si>
  <si>
    <t>Knakracknit</t>
  </si>
  <si>
    <t>Latiasite</t>
  </si>
  <si>
    <t>Latiasnit</t>
  </si>
  <si>
    <t>Latiosite</t>
  </si>
  <si>
    <t>Latiosnit</t>
  </si>
  <si>
    <t>Swarmpertite</t>
  </si>
  <si>
    <t>Laggronite</t>
  </si>
  <si>
    <t>Sumpexnit</t>
  </si>
  <si>
    <t>Sceptilite</t>
  </si>
  <si>
    <t>Jungkite</t>
  </si>
  <si>
    <t>Gewaldronit</t>
  </si>
  <si>
    <t>Sablenite</t>
  </si>
  <si>
    <t>Ténéfixite</t>
  </si>
  <si>
    <t>Zobirisnit</t>
  </si>
  <si>
    <t>Sableyite</t>
  </si>
  <si>
    <t>Altarianite</t>
  </si>
  <si>
    <t>Altarite</t>
  </si>
  <si>
    <t>Altarianit</t>
  </si>
  <si>
    <t>Galladite</t>
  </si>
  <si>
    <t>Gallamite</t>
  </si>
  <si>
    <t>Galagladinit</t>
  </si>
  <si>
    <t>Audinite</t>
  </si>
  <si>
    <t>Nanméouïte</t>
  </si>
  <si>
    <t>Ohrdochnit</t>
  </si>
  <si>
    <t>Metagrossite</t>
  </si>
  <si>
    <t>Métalossite</t>
  </si>
  <si>
    <t>Metagrossnit</t>
  </si>
  <si>
    <t>Sharpedonite</t>
  </si>
  <si>
    <t>Sharpedite</t>
  </si>
  <si>
    <t>Tohaidonit</t>
  </si>
  <si>
    <t>Slowbronite</t>
  </si>
  <si>
    <t>Flagadossite</t>
  </si>
  <si>
    <t>Lahmusnit</t>
  </si>
  <si>
    <t>Slowbroite</t>
  </si>
  <si>
    <t>Steelixite</t>
  </si>
  <si>
    <t>Stahlosnit</t>
  </si>
  <si>
    <t>Pidgeotite</t>
  </si>
  <si>
    <t>Roucarnagite</t>
  </si>
  <si>
    <t>Taubossnit</t>
  </si>
  <si>
    <t>Glalitite</t>
  </si>
  <si>
    <t>Oniglalite</t>
  </si>
  <si>
    <t>Firnontornit</t>
  </si>
  <si>
    <t>Glalite</t>
  </si>
  <si>
    <t>Diancite</t>
  </si>
  <si>
    <t>Diancienit</t>
  </si>
  <si>
    <t>Cameruptite</t>
  </si>
  <si>
    <t>Caméruptite</t>
  </si>
  <si>
    <t>Cameruptnit</t>
  </si>
  <si>
    <t>Loppunite</t>
  </si>
  <si>
    <t>Lockpinite</t>
  </si>
  <si>
    <t>Schlapornit</t>
  </si>
  <si>
    <t>Salamencite</t>
  </si>
  <si>
    <t>Drattakite</t>
  </si>
  <si>
    <t>Brutalandanit</t>
  </si>
  <si>
    <t>Beedrillite</t>
  </si>
  <si>
    <t>Dardargnite</t>
  </si>
  <si>
    <t>Bibornit</t>
  </si>
  <si>
    <t>Normalium Z</t>
  </si>
  <si>
    <t>Normazélite</t>
  </si>
  <si>
    <t>Normium Z</t>
  </si>
  <si>
    <t>Normastal Z</t>
  </si>
  <si>
    <t>Firium Z</t>
  </si>
  <si>
    <t>Pyrozélite</t>
  </si>
  <si>
    <t>Pyrium Z</t>
  </si>
  <si>
    <t>Pirostal Z</t>
  </si>
  <si>
    <t>Pirium Z</t>
  </si>
  <si>
    <t>Waterium Z</t>
  </si>
  <si>
    <t>Aquazélite</t>
  </si>
  <si>
    <t>Aquium Z</t>
  </si>
  <si>
    <t>Hidrostal Z</t>
  </si>
  <si>
    <t>Idrium Z</t>
  </si>
  <si>
    <t>Electrium Z</t>
  </si>
  <si>
    <t>Voltazélite</t>
  </si>
  <si>
    <t>Voltium Z</t>
  </si>
  <si>
    <t>Electrostal Z</t>
  </si>
  <si>
    <t>Grassium Z</t>
  </si>
  <si>
    <t>Florazélite</t>
  </si>
  <si>
    <t>Botanium Z</t>
  </si>
  <si>
    <t>Fitostal Z</t>
  </si>
  <si>
    <t>Herbium Z</t>
  </si>
  <si>
    <t>Icium Z</t>
  </si>
  <si>
    <t>Cryozélite</t>
  </si>
  <si>
    <t>Glacium Z</t>
  </si>
  <si>
    <t>Criostal Z</t>
  </si>
  <si>
    <t>Fightinium Z</t>
  </si>
  <si>
    <t>Combazélite</t>
  </si>
  <si>
    <t>Battalium Z</t>
  </si>
  <si>
    <t>Lizastal Z</t>
  </si>
  <si>
    <t>Luctium Z</t>
  </si>
  <si>
    <t>Poisonium Z</t>
  </si>
  <si>
    <t>Toxizélite</t>
  </si>
  <si>
    <t>Toxium Z</t>
  </si>
  <si>
    <t>Toxistal Z</t>
  </si>
  <si>
    <t>Venenium Z</t>
  </si>
  <si>
    <t>Groundium Z</t>
  </si>
  <si>
    <t>Terrazélite</t>
  </si>
  <si>
    <t>Terrium Z</t>
  </si>
  <si>
    <t>Geostal Z</t>
  </si>
  <si>
    <t>Flyinium Z</t>
  </si>
  <si>
    <t>Aérozélite</t>
  </si>
  <si>
    <t>Aerium Z</t>
  </si>
  <si>
    <t>Aerostal Z</t>
  </si>
  <si>
    <t>Volantium Z</t>
  </si>
  <si>
    <t>Psychium Z</t>
  </si>
  <si>
    <t>Psychézélite</t>
  </si>
  <si>
    <t>Psium Z</t>
  </si>
  <si>
    <t>Psicostal Z</t>
  </si>
  <si>
    <t>Psichium Z</t>
  </si>
  <si>
    <t>Buginium Z</t>
  </si>
  <si>
    <t>Insectozélite</t>
  </si>
  <si>
    <t>Insectium Z</t>
  </si>
  <si>
    <t>Insectostal Z</t>
  </si>
  <si>
    <t>Rockium Z</t>
  </si>
  <si>
    <t>Rocazélite</t>
  </si>
  <si>
    <t>Petrium Z</t>
  </si>
  <si>
    <t>Litostal Z</t>
  </si>
  <si>
    <t>Ghostium Z</t>
  </si>
  <si>
    <t>Spectrozélite</t>
  </si>
  <si>
    <t>Phantomium Z</t>
  </si>
  <si>
    <t>Espectrostal Z</t>
  </si>
  <si>
    <t>Spectrium Z</t>
  </si>
  <si>
    <t>Dragonium Z</t>
  </si>
  <si>
    <t>Dracozélite</t>
  </si>
  <si>
    <t>Dracium Z</t>
  </si>
  <si>
    <t>Dracostal Z</t>
  </si>
  <si>
    <t>Draconium Z</t>
  </si>
  <si>
    <t>Darkinium Z</t>
  </si>
  <si>
    <t>Ténébrozélite</t>
  </si>
  <si>
    <t>Noctium Z</t>
  </si>
  <si>
    <t>Nictostal Z</t>
  </si>
  <si>
    <t>Obscurium Z</t>
  </si>
  <si>
    <t>Steelium Z</t>
  </si>
  <si>
    <t>Métalozélite</t>
  </si>
  <si>
    <t>Metallium Z</t>
  </si>
  <si>
    <t>Metalostal Z</t>
  </si>
  <si>
    <t>Fairium Z</t>
  </si>
  <si>
    <t>Nymphézélite</t>
  </si>
  <si>
    <t>Sylphium Z</t>
  </si>
  <si>
    <t>Feeristal Z</t>
  </si>
  <si>
    <t>Follectium Z</t>
  </si>
  <si>
    <t>Pikanium Z</t>
  </si>
  <si>
    <t>Pikazélite</t>
  </si>
  <si>
    <t>Pikachium Z</t>
  </si>
  <si>
    <t>Pikastal Z</t>
  </si>
  <si>
    <t>Pikacium Z</t>
  </si>
  <si>
    <t>Decidium Z</t>
  </si>
  <si>
    <t>Archézélite</t>
  </si>
  <si>
    <t>Silvarronium Z</t>
  </si>
  <si>
    <t>Dueyestal Z</t>
  </si>
  <si>
    <t>Deciduenium Z</t>
  </si>
  <si>
    <t>Incinium Z</t>
  </si>
  <si>
    <t>Félinozélite</t>
  </si>
  <si>
    <t>Fuegronium Z</t>
  </si>
  <si>
    <t>Incinostal Z</t>
  </si>
  <si>
    <t>Incineronium Z</t>
  </si>
  <si>
    <t>Primarium Z</t>
  </si>
  <si>
    <t>Oratozélite</t>
  </si>
  <si>
    <t>Primarenium Z</t>
  </si>
  <si>
    <t>Primastal Z</t>
  </si>
  <si>
    <t>Primarinium Z</t>
  </si>
  <si>
    <t>Tapunium Z</t>
  </si>
  <si>
    <t>Tokozélite</t>
  </si>
  <si>
    <t>Kapium Z</t>
  </si>
  <si>
    <t>Tapistal Z</t>
  </si>
  <si>
    <t>Tapium Z</t>
  </si>
  <si>
    <t>카푸Ｚ</t>
  </si>
  <si>
    <t>卡璞Ｚ</t>
  </si>
  <si>
    <t>Marshadium Z</t>
  </si>
  <si>
    <t>Marshadozélite</t>
  </si>
  <si>
    <t>Marshadownium Z</t>
  </si>
  <si>
    <t>Marshastal Z</t>
  </si>
  <si>
    <t>Aloraichium Z</t>
  </si>
  <si>
    <t>Aloraïzélite</t>
  </si>
  <si>
    <t>A-Raichunium Z</t>
  </si>
  <si>
    <t>Alo-Raistal Z</t>
  </si>
  <si>
    <t>Aloraicium Z</t>
  </si>
  <si>
    <t>알로라이Ｚ</t>
  </si>
  <si>
    <t>阿罗雷Ｚ</t>
  </si>
  <si>
    <t>Snorlium Z</t>
  </si>
  <si>
    <t>Ronflézélite</t>
  </si>
  <si>
    <t>Relaxonium Z</t>
  </si>
  <si>
    <t>Snorlastal Z</t>
  </si>
  <si>
    <t>Snorlactium Z</t>
  </si>
  <si>
    <t>Eevium Z</t>
  </si>
  <si>
    <t>Évolizélite</t>
  </si>
  <si>
    <t>Evolium Z</t>
  </si>
  <si>
    <t>Eeveestal Z</t>
  </si>
  <si>
    <t>Mewnium Z</t>
  </si>
  <si>
    <t>Mewzélite</t>
  </si>
  <si>
    <t>Mewstal Z</t>
  </si>
  <si>
    <t>Pikashunium Z</t>
  </si>
  <si>
    <t>Pikachazélite</t>
  </si>
  <si>
    <t>Ashpikacium Z</t>
  </si>
  <si>
    <t>지우피카Ｚ</t>
  </si>
  <si>
    <t>智皮卡Ｚ</t>
  </si>
  <si>
    <t>Adrenaline Orb</t>
  </si>
  <si>
    <t>ビビリだま</t>
  </si>
  <si>
    <t>Orbe Frousse</t>
  </si>
  <si>
    <t>Zitterorb</t>
  </si>
  <si>
    <t>Nerviosfera</t>
  </si>
  <si>
    <t>Fifasfera</t>
  </si>
  <si>
    <t>주눅구슬</t>
  </si>
  <si>
    <t>膽怯球</t>
  </si>
  <si>
    <t>Terrain Extender</t>
  </si>
  <si>
    <t>グランドコート</t>
  </si>
  <si>
    <t>Champ'Duit</t>
  </si>
  <si>
    <t>Feldbeschichtung</t>
  </si>
  <si>
    <t>Cubresuelos</t>
  </si>
  <si>
    <t>Fissacampo</t>
  </si>
  <si>
    <t>그라운드코트</t>
  </si>
  <si>
    <t>大地膜</t>
  </si>
  <si>
    <t>Protective Pads</t>
  </si>
  <si>
    <t>ぼうごパッド</t>
  </si>
  <si>
    <t>Pare-Effet</t>
  </si>
  <si>
    <t>Schutzpolster</t>
  </si>
  <si>
    <t>Paracontacto</t>
  </si>
  <si>
    <t>Smorzaurti</t>
  </si>
  <si>
    <t>방호패드</t>
  </si>
  <si>
    <t>部位護具</t>
  </si>
  <si>
    <t>Electric Seed</t>
  </si>
  <si>
    <t>エレキシード</t>
  </si>
  <si>
    <t>Graine Électrik</t>
  </si>
  <si>
    <t>Elektro-Samen</t>
  </si>
  <si>
    <t>Semilla Electro</t>
  </si>
  <si>
    <t>Elettroseme</t>
  </si>
  <si>
    <t>일렉트릭시드</t>
  </si>
  <si>
    <t>電氣種子</t>
  </si>
  <si>
    <t>Psychic Seed</t>
  </si>
  <si>
    <t>サイコシード</t>
  </si>
  <si>
    <t>Graine Psychique</t>
  </si>
  <si>
    <t>Psycho-Samen</t>
  </si>
  <si>
    <t>Semilla Psique</t>
  </si>
  <si>
    <t>Psicoseme</t>
  </si>
  <si>
    <t>사이코시드</t>
  </si>
  <si>
    <t>精神種子</t>
  </si>
  <si>
    <t>Misty Seed</t>
  </si>
  <si>
    <t>ミストシード</t>
  </si>
  <si>
    <t>Graine Brume</t>
  </si>
  <si>
    <t>Nebel-Samen</t>
  </si>
  <si>
    <t>Semilla Bruma</t>
  </si>
  <si>
    <t>Nebbiaseme</t>
  </si>
  <si>
    <t>미스트시드</t>
  </si>
  <si>
    <t>薄霧種子</t>
  </si>
  <si>
    <t>Grassy Seed</t>
  </si>
  <si>
    <t>グラスシード</t>
  </si>
  <si>
    <t>Graine Herbe</t>
  </si>
  <si>
    <t>Gras-Samen</t>
  </si>
  <si>
    <t>Semilla Hierba</t>
  </si>
  <si>
    <t>Erbaseme</t>
  </si>
  <si>
    <t>그래스시드</t>
  </si>
  <si>
    <t>青草種子</t>
  </si>
  <si>
    <t>ファイトメモリ</t>
  </si>
  <si>
    <t>파이팅메모리</t>
  </si>
  <si>
    <t>フライングメモリ</t>
  </si>
  <si>
    <t>플라잉메모리</t>
  </si>
  <si>
    <t>飞翔存储碟</t>
  </si>
  <si>
    <t>ポイズンメモリ</t>
  </si>
  <si>
    <t>포이즌메모리</t>
  </si>
  <si>
    <t>グラウンドメモリ</t>
  </si>
  <si>
    <t>그라운드메모리</t>
  </si>
  <si>
    <t>大地存储碟</t>
  </si>
  <si>
    <t>ロックメモリ</t>
  </si>
  <si>
    <t>락메모리</t>
  </si>
  <si>
    <t>バグメモリ</t>
  </si>
  <si>
    <t>버그메모리</t>
  </si>
  <si>
    <t>虫子存储碟</t>
  </si>
  <si>
    <t>ゴーストメモリ</t>
  </si>
  <si>
    <t>スチールメモリ</t>
  </si>
  <si>
    <t>스틸메모리</t>
  </si>
  <si>
    <t>钢铁存储碟</t>
  </si>
  <si>
    <t>ファイヤーメモリ</t>
  </si>
  <si>
    <t>파이어메모리</t>
  </si>
  <si>
    <t>火焰存储碟</t>
  </si>
  <si>
    <t>ウォーターメモリ</t>
  </si>
  <si>
    <t>워터메모리</t>
  </si>
  <si>
    <t>グラスメモリ</t>
  </si>
  <si>
    <t>그래스메모리</t>
  </si>
  <si>
    <t>イレクトロメモリ</t>
  </si>
  <si>
    <t>일렉트릭메모리</t>
  </si>
  <si>
    <t>サイキックメモリ</t>
  </si>
  <si>
    <t>사이킥메모리</t>
  </si>
  <si>
    <t>精神存储碟</t>
  </si>
  <si>
    <t>アイスメモリ</t>
  </si>
  <si>
    <t>아이스메모리</t>
  </si>
  <si>
    <t>ドラゴンメモリ</t>
  </si>
  <si>
    <t>ダークメモリ</t>
  </si>
  <si>
    <t>다크메모리</t>
  </si>
  <si>
    <t>黑暗存储碟</t>
  </si>
  <si>
    <t>フェアリーメモリ</t>
  </si>
  <si>
    <t>Solganium Z</t>
  </si>
  <si>
    <t>Solgazélite</t>
  </si>
  <si>
    <t>Solgalium Z</t>
  </si>
  <si>
    <t>Solgaleostal Z</t>
  </si>
  <si>
    <t>Solgaleium Z</t>
  </si>
  <si>
    <t>Lunalium Z</t>
  </si>
  <si>
    <t>Lunazélite</t>
  </si>
  <si>
    <t>Lunalastal Z</t>
  </si>
  <si>
    <t>Ultranecrozium Z</t>
  </si>
  <si>
    <t>Ultranécrozélite</t>
  </si>
  <si>
    <t>Ultranecrostal Z</t>
  </si>
  <si>
    <t>울트라네크로Ｚ</t>
  </si>
  <si>
    <t>极奈克洛Ｚ</t>
  </si>
  <si>
    <t>Mimikium Z</t>
  </si>
  <si>
    <t>Mimiquizélite</t>
  </si>
  <si>
    <t>Mimigmium Z</t>
  </si>
  <si>
    <t>Mimikyustal Z</t>
  </si>
  <si>
    <t>Mimikyum Z</t>
  </si>
  <si>
    <t>Lycanium Z</t>
  </si>
  <si>
    <t>Lougarozélite</t>
  </si>
  <si>
    <t>Wolwerockium Z</t>
  </si>
  <si>
    <t>Lycanrostal Z</t>
  </si>
  <si>
    <t>Lycanrochium Z</t>
  </si>
  <si>
    <t>Kommonium Z</t>
  </si>
  <si>
    <t>Ékaïzélite</t>
  </si>
  <si>
    <t>Grandirasium Z</t>
  </si>
  <si>
    <t>Kommostal Z</t>
  </si>
  <si>
    <t>Rusted Sword</t>
  </si>
  <si>
    <t>くちたけん</t>
  </si>
  <si>
    <t>Épée Rouillée</t>
  </si>
  <si>
    <t>Rostiges Schwert</t>
  </si>
  <si>
    <t>Espada Oxidada</t>
  </si>
  <si>
    <t>Spada rovinata</t>
  </si>
  <si>
    <t>녹슨검</t>
  </si>
  <si>
    <t>腐朽的劍</t>
  </si>
  <si>
    <t>Rusted Shield</t>
  </si>
  <si>
    <t>くちたたて</t>
  </si>
  <si>
    <t>Bouclier Rouilé</t>
  </si>
  <si>
    <t>Rostiges Schild</t>
  </si>
  <si>
    <t>Escudo Oxidada</t>
  </si>
  <si>
    <t>Scudo rovinata</t>
  </si>
  <si>
    <t>녹슨방패</t>
  </si>
  <si>
    <t>腐朽的盾</t>
  </si>
  <si>
    <t>Strawberry Sweet</t>
  </si>
  <si>
    <t>いちごアメざいく</t>
  </si>
  <si>
    <t>Fraise en Sucre</t>
  </si>
  <si>
    <t>Zucker-Erdbeere</t>
  </si>
  <si>
    <t>Confite Fresa</t>
  </si>
  <si>
    <t>Bonbonfragola</t>
  </si>
  <si>
    <t>딸기사탕공예</t>
  </si>
  <si>
    <t>草莓糖飾</t>
  </si>
  <si>
    <t>Love Sweet</t>
  </si>
  <si>
    <t>ハートアメざいく</t>
  </si>
  <si>
    <t>Cœur en Sucre</t>
  </si>
  <si>
    <t>Zucker-Herz</t>
  </si>
  <si>
    <t>Confite Corazón</t>
  </si>
  <si>
    <t>Bonboncuore</t>
  </si>
  <si>
    <t>하트사탕공예</t>
  </si>
  <si>
    <t>愛心糖飾</t>
  </si>
  <si>
    <t>Berry Sweet</t>
  </si>
  <si>
    <t>ベリーアメざいく</t>
  </si>
  <si>
    <t>Baie en Sucre</t>
  </si>
  <si>
    <t>Zucker-Beere</t>
  </si>
  <si>
    <t>Confite Fruto</t>
  </si>
  <si>
    <t>Bonbonbosco</t>
  </si>
  <si>
    <t>베리사탕공예</t>
  </si>
  <si>
    <t>野莓糖飾</t>
  </si>
  <si>
    <t>Clover Sweet</t>
  </si>
  <si>
    <t>よつばアメざいく</t>
  </si>
  <si>
    <t>Trèfle en Sucre</t>
  </si>
  <si>
    <t>Zucker-Kleeblatt</t>
  </si>
  <si>
    <t>Confite Trébol</t>
  </si>
  <si>
    <t>Bonbonfoglio</t>
  </si>
  <si>
    <t>네잎사탕공예</t>
  </si>
  <si>
    <t>幸運草糖飾</t>
  </si>
  <si>
    <t>Flower Sweet</t>
  </si>
  <si>
    <t>おはなアメざいく</t>
  </si>
  <si>
    <t>Fleur en Sucre</t>
  </si>
  <si>
    <t>Zucker-Blume</t>
  </si>
  <si>
    <t>Confite Flor</t>
  </si>
  <si>
    <t>Bonbonfiore</t>
  </si>
  <si>
    <t>꽃사탕공예</t>
  </si>
  <si>
    <t>花朵糖飾</t>
  </si>
  <si>
    <t>Star Sweet</t>
  </si>
  <si>
    <t>スターアメざいく</t>
  </si>
  <si>
    <t>Étoile en Sucre</t>
  </si>
  <si>
    <t>Zucker-Stern</t>
  </si>
  <si>
    <t>Confite Estella</t>
  </si>
  <si>
    <t>Bonbonstella</t>
  </si>
  <si>
    <t>스타사탕공예</t>
  </si>
  <si>
    <t>星星糖飾</t>
  </si>
  <si>
    <t>Ribbon Sweet</t>
  </si>
  <si>
    <t>リボンアメざいく</t>
  </si>
  <si>
    <t>Ruban en Sucre</t>
  </si>
  <si>
    <t>Zucker-Schleife</t>
  </si>
  <si>
    <t>Confite Lazo</t>
  </si>
  <si>
    <t>Bonbonfiocco</t>
  </si>
  <si>
    <t>리본사탕공예</t>
  </si>
  <si>
    <t>蝴蝶結糖飾</t>
  </si>
  <si>
    <t>Throat Spray</t>
  </si>
  <si>
    <t>のどスプレー</t>
  </si>
  <si>
    <t>Spray Gorge</t>
  </si>
  <si>
    <t>Halsspray</t>
  </si>
  <si>
    <t>Espray Bucal</t>
  </si>
  <si>
    <t>Spray gola</t>
  </si>
  <si>
    <t>목스프레이</t>
  </si>
  <si>
    <t>爽喉噴霧</t>
  </si>
  <si>
    <t>Eject Pack</t>
  </si>
  <si>
    <t>だっしゅつパック</t>
  </si>
  <si>
    <t>Sac Fuite</t>
  </si>
  <si>
    <t>Fluchttasche</t>
  </si>
  <si>
    <t>Mochila Escape</t>
  </si>
  <si>
    <t>Zainofuga</t>
  </si>
  <si>
    <t>탈출팩</t>
  </si>
  <si>
    <t>避難背包</t>
  </si>
  <si>
    <t>NAME_ITEM_HEAVYDUTYBOOTS</t>
  </si>
  <si>
    <t>Heavy-Duty Boots</t>
  </si>
  <si>
    <t>あつぞこブーツ</t>
  </si>
  <si>
    <t>Grosses Bottes</t>
  </si>
  <si>
    <t>Plateauschuhe</t>
  </si>
  <si>
    <t>Botas Gruesas</t>
  </si>
  <si>
    <t>Scarponi robusti</t>
  </si>
  <si>
    <t>통굽부츠</t>
  </si>
  <si>
    <t>厚底靴</t>
  </si>
  <si>
    <t>Blunder Policy</t>
  </si>
  <si>
    <t>からぶりほけん</t>
  </si>
  <si>
    <t>Assurance Échec</t>
  </si>
  <si>
    <t>Fehlschlagschutz</t>
  </si>
  <si>
    <t>Seguro Fallo</t>
  </si>
  <si>
    <t>Fiascopolizza</t>
  </si>
  <si>
    <t>허탕보험</t>
  </si>
  <si>
    <t>打空保險</t>
  </si>
  <si>
    <t>Room Service</t>
  </si>
  <si>
    <t>ルームサービス</t>
  </si>
  <si>
    <t>Chariot Distordu</t>
  </si>
  <si>
    <t>Bizarroservice</t>
  </si>
  <si>
    <t>Servicio Raro</t>
  </si>
  <si>
    <t>Distorservizio</t>
  </si>
  <si>
    <t>룸서비스</t>
  </si>
  <si>
    <t>客房服務</t>
  </si>
  <si>
    <t>Utility Umbrella</t>
  </si>
  <si>
    <t>ばんのうがさ</t>
  </si>
  <si>
    <t>Parapluie Solide</t>
  </si>
  <si>
    <t>Allzweckschirm</t>
  </si>
  <si>
    <t>Parasol Multiuso</t>
  </si>
  <si>
    <t>Superombrello</t>
  </si>
  <si>
    <t>만능우산</t>
  </si>
  <si>
    <t>萬能傘</t>
  </si>
  <si>
    <t>Adamant Crystal</t>
  </si>
  <si>
    <t>Globe Adamant</t>
  </si>
  <si>
    <t>Adamasferoide</t>
  </si>
  <si>
    <t>Lustrous Globe</t>
  </si>
  <si>
    <t>Globe Perlé</t>
  </si>
  <si>
    <t>Weißkristall</t>
  </si>
  <si>
    <t>Splendisferoide</t>
  </si>
  <si>
    <t>大白寶玉</t>
  </si>
  <si>
    <t>Griseous Core</t>
  </si>
  <si>
    <t>Globe Platiné</t>
  </si>
  <si>
    <t>Platinumkristall</t>
  </si>
  <si>
    <t>Grigiosferoide</t>
  </si>
  <si>
    <t>大白金寶玉</t>
  </si>
  <si>
    <t>Booster Energy</t>
  </si>
  <si>
    <t>ブーストエナジー</t>
  </si>
  <si>
    <t>Énergie Booster</t>
  </si>
  <si>
    <t>Energiekapsel</t>
  </si>
  <si>
    <t>Energía Potenciadora</t>
  </si>
  <si>
    <t>Capsula Energetica</t>
  </si>
  <si>
    <t>부스트에너지</t>
  </si>
  <si>
    <t>驅勁能量</t>
  </si>
  <si>
    <t>Ability Shield</t>
  </si>
  <si>
    <t>とくせいガード</t>
  </si>
  <si>
    <t>Garde-Talent</t>
  </si>
  <si>
    <t>Fähigkeitenschild</t>
  </si>
  <si>
    <t>Escudo Habilidad</t>
  </si>
  <si>
    <t>Scudo abilità</t>
  </si>
  <si>
    <t>특성가드</t>
  </si>
  <si>
    <t>特性護具</t>
  </si>
  <si>
    <t>Clear Amulet</t>
  </si>
  <si>
    <t>クリアチャーム</t>
  </si>
  <si>
    <t>Talisman Sain</t>
  </si>
  <si>
    <t>Neutralschmuck</t>
  </si>
  <si>
    <t>Amuleto Puro</t>
  </si>
  <si>
    <t>Ciondolochiaro</t>
  </si>
  <si>
    <t>클리어참</t>
  </si>
  <si>
    <t>清淨墜飾</t>
  </si>
  <si>
    <t>Mirror Herb</t>
  </si>
  <si>
    <t>ものまねハーブ</t>
  </si>
  <si>
    <t>Feuille Copieuse</t>
  </si>
  <si>
    <t>Kopierkraut</t>
  </si>
  <si>
    <t>Hierba Copia</t>
  </si>
  <si>
    <t>Foglia carbone</t>
  </si>
  <si>
    <t>흉내허브</t>
  </si>
  <si>
    <t>模仿香草</t>
  </si>
  <si>
    <t>Punching Glove</t>
  </si>
  <si>
    <t>パンチグローブ</t>
  </si>
  <si>
    <t>Gant de Boxe</t>
  </si>
  <si>
    <t>Boxhandschuh</t>
  </si>
  <si>
    <t>Guante de Boxeo</t>
  </si>
  <si>
    <t>Guantone</t>
  </si>
  <si>
    <t>펀치글러브</t>
  </si>
  <si>
    <t>拳擊手套</t>
  </si>
  <si>
    <t>Covert Cloak</t>
  </si>
  <si>
    <t>おんみつマント</t>
  </si>
  <si>
    <t>Cape Obscure</t>
  </si>
  <si>
    <t>Tarnumhang</t>
  </si>
  <si>
    <t>Capa Furtiva</t>
  </si>
  <si>
    <t>Anonimanto</t>
  </si>
  <si>
    <t>은밀망토</t>
  </si>
  <si>
    <t>密探斗篷</t>
  </si>
  <si>
    <t>Loaded Dice</t>
  </si>
  <si>
    <t>いかさまダイス</t>
  </si>
  <si>
    <t>Dé Pipé</t>
  </si>
  <si>
    <t>Gezinkter Würfel</t>
  </si>
  <si>
    <t>Dado Trucato</t>
  </si>
  <si>
    <t>Dado Truccato</t>
  </si>
  <si>
    <t>속임수주사위</t>
  </si>
  <si>
    <t>老千骰子</t>
  </si>
  <si>
    <t>机变骰子</t>
  </si>
  <si>
    <t>NAME_ITEM_LEADERSCREST</t>
  </si>
  <si>
    <t>Leader's Crest</t>
  </si>
  <si>
    <t>かしらのしるし</t>
  </si>
  <si>
    <t>Emblème du Général</t>
  </si>
  <si>
    <t>Anführersymbol</t>
  </si>
  <si>
    <t>Distintivo de Líder</t>
  </si>
  <si>
    <t>Simbolo del Capo</t>
  </si>
  <si>
    <t>대장의징표</t>
  </si>
  <si>
    <t>头领凭证</t>
  </si>
  <si>
    <t>Fairy Feather</t>
  </si>
  <si>
    <t>ようけいのハネ</t>
  </si>
  <si>
    <t>Plume Enchantée</t>
  </si>
  <si>
    <t>Feendaune</t>
  </si>
  <si>
    <t>Pluma Feérica</t>
  </si>
  <si>
    <t>Pluma Fatata</t>
  </si>
  <si>
    <t>요정의깃털</t>
  </si>
  <si>
    <t>妖精之羽</t>
  </si>
  <si>
    <t>Red Apricorn</t>
  </si>
  <si>
    <t>あかぼんぐり</t>
  </si>
  <si>
    <t>Noigrume Rouge</t>
  </si>
  <si>
    <t>Aprikoko Rot</t>
  </si>
  <si>
    <t>Bonguri Rojo</t>
  </si>
  <si>
    <t>Ghicocca Rossa</t>
  </si>
  <si>
    <t>빨간규토리</t>
  </si>
  <si>
    <t>紅球果</t>
  </si>
  <si>
    <t>Blue Apricorn</t>
  </si>
  <si>
    <t>あおぼんぐり</t>
  </si>
  <si>
    <t>Noigrume Bleu</t>
  </si>
  <si>
    <t>Aprikoko Blau</t>
  </si>
  <si>
    <t>Bonguri Azul</t>
  </si>
  <si>
    <t>Ghicocca Blu</t>
  </si>
  <si>
    <t>파란규토리</t>
  </si>
  <si>
    <t>藍球果</t>
  </si>
  <si>
    <t>Yellow Apricorn</t>
  </si>
  <si>
    <t>きぼんぐり</t>
  </si>
  <si>
    <t>Noigrume Jaune</t>
  </si>
  <si>
    <t>Aprikoko Gelb</t>
  </si>
  <si>
    <t>Bonguri Amarillo</t>
  </si>
  <si>
    <t>Ghicocca Gialla</t>
  </si>
  <si>
    <t>노랑규토리</t>
  </si>
  <si>
    <t>黃球果</t>
  </si>
  <si>
    <t>Green Apricorn</t>
  </si>
  <si>
    <t>みどぼんぐり</t>
  </si>
  <si>
    <t>Noigrume Vert</t>
  </si>
  <si>
    <t>Aprikoko Grün</t>
  </si>
  <si>
    <t>Bonguri Verde</t>
  </si>
  <si>
    <t>Ghicocca Verde</t>
  </si>
  <si>
    <t>초록규토리</t>
  </si>
  <si>
    <t>綠球果</t>
  </si>
  <si>
    <t>Pink Apricorn</t>
  </si>
  <si>
    <t>ももぼんぐり</t>
  </si>
  <si>
    <t>Noigrume Rose</t>
  </si>
  <si>
    <t>Aprikoko Pink</t>
  </si>
  <si>
    <t>Bonguri Rosa</t>
  </si>
  <si>
    <t>Ghicocca Rosa</t>
  </si>
  <si>
    <t>담홍규토리</t>
  </si>
  <si>
    <t>粉球果</t>
  </si>
  <si>
    <t>White Apricorn</t>
  </si>
  <si>
    <t>しろぼんぐり</t>
  </si>
  <si>
    <t>Noigrume Blanc</t>
  </si>
  <si>
    <t>Aprikoko Weiß</t>
  </si>
  <si>
    <t>Bonguri Blanco</t>
  </si>
  <si>
    <t>Ghicocca Bianca</t>
  </si>
  <si>
    <t>하얀규토리</t>
  </si>
  <si>
    <t>白球果</t>
  </si>
  <si>
    <t>Black Apricorn</t>
  </si>
  <si>
    <t>くろぼんぐり</t>
  </si>
  <si>
    <t>Noigrume Noir</t>
  </si>
  <si>
    <t>Aprikoko Schwarz</t>
  </si>
  <si>
    <t>Bonguri Negro</t>
  </si>
  <si>
    <t>Ghicocca Nera</t>
  </si>
  <si>
    <t>검은규토리</t>
  </si>
  <si>
    <t>黑球果</t>
  </si>
  <si>
    <t>Nugget</t>
  </si>
  <si>
    <t>きんのたま</t>
  </si>
  <si>
    <t>Pépite</t>
  </si>
  <si>
    <t>Pepita</t>
  </si>
  <si>
    <t>금구슬</t>
  </si>
  <si>
    <t>金珠</t>
  </si>
  <si>
    <t>Tiny Mushroom</t>
  </si>
  <si>
    <t>ちいさなキノコ</t>
  </si>
  <si>
    <t>Petit Champi</t>
  </si>
  <si>
    <t>Minipilz</t>
  </si>
  <si>
    <t>Miniseta</t>
  </si>
  <si>
    <t>Minifungo</t>
  </si>
  <si>
    <t>작은버섯</t>
  </si>
  <si>
    <t>小蘑菇</t>
  </si>
  <si>
    <t>Big Mushroom</t>
  </si>
  <si>
    <t>おおきなキノコ</t>
  </si>
  <si>
    <t>Gros Champi</t>
  </si>
  <si>
    <t>Riesenpilz</t>
  </si>
  <si>
    <t>Seta Grande</t>
  </si>
  <si>
    <t>Grande Fungo</t>
  </si>
  <si>
    <t>큰버섯</t>
  </si>
  <si>
    <t>大蘑菇</t>
  </si>
  <si>
    <t>Pearl</t>
  </si>
  <si>
    <t>しんじゅ</t>
  </si>
  <si>
    <t>Perle</t>
  </si>
  <si>
    <t>Perla</t>
  </si>
  <si>
    <t>진주</t>
  </si>
  <si>
    <t>珍珠</t>
  </si>
  <si>
    <t>Big Pearl</t>
  </si>
  <si>
    <t>おおきなしんじゅ</t>
  </si>
  <si>
    <t>Grande Perle</t>
  </si>
  <si>
    <t>Riesenperle</t>
  </si>
  <si>
    <t>Perla Grande</t>
  </si>
  <si>
    <t>Grande Perla</t>
  </si>
  <si>
    <t>큰진주</t>
  </si>
  <si>
    <t>大珍珠</t>
  </si>
  <si>
    <t>Stardust</t>
  </si>
  <si>
    <t>ほしのすな</t>
  </si>
  <si>
    <t>Poussière d'Étoile</t>
  </si>
  <si>
    <t>Sternenstaub</t>
  </si>
  <si>
    <t>Polvo Estelar</t>
  </si>
  <si>
    <t>Polvostella</t>
  </si>
  <si>
    <t>별의모래</t>
  </si>
  <si>
    <t>星星沙子</t>
  </si>
  <si>
    <t>Star Piece</t>
  </si>
  <si>
    <t>ほしのかけら</t>
  </si>
  <si>
    <t>Morceau d'Étoile</t>
  </si>
  <si>
    <t>Sternenstück</t>
  </si>
  <si>
    <t>Trozo Estrellar</t>
  </si>
  <si>
    <t>Pezzo Stella</t>
  </si>
  <si>
    <t>별의조각</t>
  </si>
  <si>
    <t>星星碎片</t>
  </si>
  <si>
    <t>Honey</t>
  </si>
  <si>
    <t>あまいミツ</t>
  </si>
  <si>
    <t>Miel</t>
  </si>
  <si>
    <t>Honig</t>
  </si>
  <si>
    <t>달콤한꿀</t>
  </si>
  <si>
    <t>甜甜蜜</t>
  </si>
  <si>
    <t>Bottle Cap</t>
  </si>
  <si>
    <t>ぎんのおうかん</t>
  </si>
  <si>
    <t>Capsule d'Argent</t>
  </si>
  <si>
    <t>Silberkronkorken</t>
  </si>
  <si>
    <t>Chapa Plateada</t>
  </si>
  <si>
    <t>Tappo d'argento</t>
  </si>
  <si>
    <t>은왕관</t>
  </si>
  <si>
    <t>银色王冠</t>
  </si>
  <si>
    <t>きんのおうかん</t>
  </si>
  <si>
    <t>Capsule d'Or</t>
  </si>
  <si>
    <t>Goldkronkorken</t>
  </si>
  <si>
    <t>Chapa Dorada</t>
  </si>
  <si>
    <t>Tappo d'oro</t>
  </si>
  <si>
    <t>금왕관</t>
  </si>
  <si>
    <t>金色王冠</t>
  </si>
  <si>
    <t>Bicycle</t>
  </si>
  <si>
    <t>じてんしゃ</t>
  </si>
  <si>
    <t>Bicyclette</t>
  </si>
  <si>
    <t>Fahrrad</t>
  </si>
  <si>
    <t>Bici</t>
  </si>
  <si>
    <t>Bicicletta</t>
  </si>
  <si>
    <t>타운맵</t>
  </si>
  <si>
    <t>自行車</t>
  </si>
  <si>
    <t>Town Map</t>
  </si>
  <si>
    <t>タウンマップ</t>
  </si>
  <si>
    <t>Carte</t>
  </si>
  <si>
    <t>Karte</t>
  </si>
  <si>
    <t>Mapa</t>
  </si>
  <si>
    <t>Mappa città</t>
  </si>
  <si>
    <t>동전케이스</t>
  </si>
  <si>
    <t>城鎮地圖</t>
  </si>
  <si>
    <t>Old Rod</t>
  </si>
  <si>
    <t>ボロのつりざお</t>
  </si>
  <si>
    <t>Vieille Canne</t>
  </si>
  <si>
    <t>Angel</t>
  </si>
  <si>
    <t>Caña Vieja</t>
  </si>
  <si>
    <t>Amo Vecchio</t>
  </si>
  <si>
    <t>낡은낚싯대</t>
  </si>
  <si>
    <t>破舊釣竿</t>
  </si>
  <si>
    <t>Good Rod</t>
  </si>
  <si>
    <t>いいつりざお</t>
  </si>
  <si>
    <t>Super Canne</t>
  </si>
  <si>
    <t>Profiangel</t>
  </si>
  <si>
    <t>Caña Buena</t>
  </si>
  <si>
    <t>Amo Buono</t>
  </si>
  <si>
    <t>좋은낚싯대</t>
  </si>
  <si>
    <t>好釣竿</t>
  </si>
  <si>
    <t>Super Rod</t>
  </si>
  <si>
    <t>すごいつりざお</t>
  </si>
  <si>
    <t>Méga Canne</t>
  </si>
  <si>
    <t>Superangel</t>
  </si>
  <si>
    <t>Supercaña</t>
  </si>
  <si>
    <t>Super Amo</t>
  </si>
  <si>
    <t>대단한낚싯대</t>
  </si>
  <si>
    <t>厲害釣竿</t>
  </si>
  <si>
    <t>Dowsing Machine</t>
  </si>
  <si>
    <t>ダウジングマシン</t>
  </si>
  <si>
    <t>Cherch'Objet</t>
  </si>
  <si>
    <t>Itemradar</t>
  </si>
  <si>
    <t>Zahori</t>
  </si>
  <si>
    <t>Ricerca strum</t>
  </si>
  <si>
    <t>다우징머신</t>
  </si>
  <si>
    <t>探寶器</t>
  </si>
  <si>
    <t>Squirt Bottle</t>
  </si>
  <si>
    <t>ゼニガメじょうろ</t>
  </si>
  <si>
    <t>Carapuce à O</t>
  </si>
  <si>
    <t>Schiggykanne</t>
  </si>
  <si>
    <t>Regadera</t>
  </si>
  <si>
    <t>Annaffiatoio</t>
  </si>
  <si>
    <t>꼬부기물뿌리개</t>
  </si>
  <si>
    <t>傑尼龜噴壺</t>
  </si>
  <si>
    <t>Vs. Seeker</t>
  </si>
  <si>
    <t>バトルサーチャー</t>
  </si>
  <si>
    <t>Cherche VS</t>
  </si>
  <si>
    <t>Kampffahnder</t>
  </si>
  <si>
    <t>Buscapelea</t>
  </si>
  <si>
    <t>Cercasfide</t>
  </si>
  <si>
    <t>배틀서처</t>
  </si>
  <si>
    <t>對戰搜尋器</t>
  </si>
  <si>
    <t>Meteorit</t>
  </si>
  <si>
    <t>운석</t>
  </si>
  <si>
    <t>Gracidea</t>
  </si>
  <si>
    <t>グラシデアのはな</t>
  </si>
  <si>
    <t>Gracidée</t>
  </si>
  <si>
    <t>Gracídea</t>
  </si>
  <si>
    <t>그라시데아꽃</t>
  </si>
  <si>
    <t>葛拉西蒂亞花</t>
  </si>
  <si>
    <t>DNA Splicers</t>
  </si>
  <si>
    <t>いでんしのくさび</t>
  </si>
  <si>
    <t>Pointeau ADN</t>
  </si>
  <si>
    <t>DNS-Keil</t>
  </si>
  <si>
    <t>Punta ADN</t>
  </si>
  <si>
    <t>Cueno DNA</t>
  </si>
  <si>
    <t>유전자쐐기</t>
  </si>
  <si>
    <t>基因之楔</t>
  </si>
  <si>
    <t>Oval Charm</t>
  </si>
  <si>
    <t>まるいおまもり</t>
  </si>
  <si>
    <t>Charme Oval</t>
  </si>
  <si>
    <t>Ovalpin</t>
  </si>
  <si>
    <t>Amuleto Oval</t>
  </si>
  <si>
    <t>Ovamuleto</t>
  </si>
  <si>
    <t>둥근부적</t>
  </si>
  <si>
    <t>圓形護符</t>
  </si>
  <si>
    <t>Shiny Charm</t>
  </si>
  <si>
    <t>ひひかるおまもり</t>
  </si>
  <si>
    <t>Charme Chroma</t>
  </si>
  <si>
    <t>Schillerpin</t>
  </si>
  <si>
    <t>Amuleto Iris</t>
  </si>
  <si>
    <t>Cromamuleto</t>
  </si>
  <si>
    <t>빚나는부적</t>
  </si>
  <si>
    <t>閃耀護符</t>
  </si>
  <si>
    <t>Reveal Glass</t>
  </si>
  <si>
    <t>うつしかがみ</t>
  </si>
  <si>
    <t>Miroir Sacré</t>
  </si>
  <si>
    <t>Wahrspiegel</t>
  </si>
  <si>
    <t>Espejo Veraz</t>
  </si>
  <si>
    <t>Verispecchio</t>
  </si>
  <si>
    <t>비추는거울</t>
  </si>
  <si>
    <t>現形鏡</t>
  </si>
  <si>
    <t>Prison Bottle</t>
  </si>
  <si>
    <t>いましめのつぼ</t>
  </si>
  <si>
    <t>Vase Scellé</t>
  </si>
  <si>
    <t>Banngefäß</t>
  </si>
  <si>
    <t>Vasija Castigo</t>
  </si>
  <si>
    <t>Vaso del vincolo</t>
  </si>
  <si>
    <t>굴레의항아리</t>
  </si>
  <si>
    <t>懲戒之壺</t>
  </si>
  <si>
    <t>Key Stone</t>
  </si>
  <si>
    <t>キーストーン</t>
  </si>
  <si>
    <t>Gemme Sésame</t>
  </si>
  <si>
    <t>Schlüssel-Stein</t>
  </si>
  <si>
    <t>Piedra Activadora</t>
  </si>
  <si>
    <t>Pietrachiave</t>
  </si>
  <si>
    <t>키스톤</t>
  </si>
  <si>
    <t>鑰石</t>
  </si>
  <si>
    <t>NAME_ITEM_ZPOWERRING</t>
  </si>
  <si>
    <t>Z-Power Ring</t>
  </si>
  <si>
    <t>Ｚパワーリング</t>
  </si>
  <si>
    <t>Super Bracelet Z</t>
  </si>
  <si>
    <t>Z-Kraftring</t>
  </si>
  <si>
    <t>Superpulsera Z</t>
  </si>
  <si>
    <t>Supercerchio Z</t>
  </si>
  <si>
    <t>Ｚ링</t>
  </si>
  <si>
    <t>Ｚ手環</t>
  </si>
  <si>
    <t>Zygarde Cube</t>
  </si>
  <si>
    <t>ジガルデキューブ</t>
  </si>
  <si>
    <t>Boîte Zygarde</t>
  </si>
  <si>
    <t>Zygarde-Würfel</t>
  </si>
  <si>
    <t>Arca de Zygarde</t>
  </si>
  <si>
    <t>Teca Zygarde</t>
  </si>
  <si>
    <t>지가르데큐브</t>
  </si>
  <si>
    <t>基格爾德多面體</t>
  </si>
  <si>
    <t>NAME_ITEM_NSOLARIZER</t>
  </si>
  <si>
    <t>N-Solarizer</t>
  </si>
  <si>
    <t>ネクロプラスソル</t>
  </si>
  <si>
    <t>Necrosol</t>
  </si>
  <si>
    <t>네크로플러스솔</t>
  </si>
  <si>
    <t>奈克洛索爾合體器</t>
  </si>
  <si>
    <t>NAME_ITEM_NLUNARIZER</t>
  </si>
  <si>
    <t>N-Lunarizer</t>
  </si>
  <si>
    <t>ネクロプラスルナ</t>
  </si>
  <si>
    <t>Necroluna</t>
  </si>
  <si>
    <t>Necrolun</t>
  </si>
  <si>
    <t>네크로플러스루나</t>
  </si>
  <si>
    <t>奈克洛露奈合體器</t>
  </si>
  <si>
    <t>Dynamax Band</t>
  </si>
  <si>
    <t>ダイマックスＢ</t>
  </si>
  <si>
    <t>Poignet Dynamax</t>
  </si>
  <si>
    <t>Dynamax-Band</t>
  </si>
  <si>
    <t>Maximuñequera</t>
  </si>
  <si>
    <t>Polsino Dynamax</t>
  </si>
  <si>
    <t>다이맥스 밴드</t>
  </si>
  <si>
    <t>極巨腕帶</t>
  </si>
  <si>
    <t>Catching Charm</t>
  </si>
  <si>
    <t>ゆれないおまもり</t>
  </si>
  <si>
    <t>Charme Stabilité</t>
  </si>
  <si>
    <t>Superfangpin</t>
  </si>
  <si>
    <t>Amuleto Captula</t>
  </si>
  <si>
    <t>Catturamuleto</t>
  </si>
  <si>
    <t>흔들림없는부적</t>
  </si>
  <si>
    <t>防晃護符</t>
  </si>
  <si>
    <t>Rotom Catalog</t>
  </si>
  <si>
    <t>ロトムのカタログ</t>
  </si>
  <si>
    <t>Moti-Catalogue</t>
  </si>
  <si>
    <t>Rotom-Katalog</t>
  </si>
  <si>
    <t>Catálogo Rotom</t>
  </si>
  <si>
    <t>Catalogo Rotom</t>
  </si>
  <si>
    <t>로토무카탈로그</t>
  </si>
  <si>
    <t>洛托姆型錄</t>
  </si>
  <si>
    <t>Exp. Charm</t>
  </si>
  <si>
    <t>けいけんおまもり</t>
  </si>
  <si>
    <t>Charme Exp</t>
  </si>
  <si>
    <t>EP-Pin</t>
  </si>
  <si>
    <t>Amuleto Exp</t>
  </si>
  <si>
    <t>Esperienzamuleto</t>
  </si>
  <si>
    <t>경험부적</t>
  </si>
  <si>
    <t>經驗護符</t>
  </si>
  <si>
    <t>Reins of Unity</t>
  </si>
  <si>
    <t>キズナのタジナ</t>
  </si>
  <si>
    <t>Rênes de l’Unité</t>
  </si>
  <si>
    <t>Zügel des Bundes</t>
  </si>
  <si>
    <t>Riendas Unión</t>
  </si>
  <si>
    <t>Briglie legame</t>
  </si>
  <si>
    <t>유대의고삐</t>
  </si>
  <si>
    <t>牽絆韁繩</t>
  </si>
  <si>
    <t>Tera Orb</t>
  </si>
  <si>
    <t>テラスタルオーブ</t>
  </si>
  <si>
    <t>Orbe Téracristal</t>
  </si>
  <si>
    <t>Terakristall-Orb</t>
  </si>
  <si>
    <t>Orbe Teracristal</t>
  </si>
  <si>
    <t>Terasfera</t>
  </si>
  <si>
    <t>테라스탈오브</t>
  </si>
  <si>
    <t>太晶珠</t>
  </si>
  <si>
    <t>Glimmering Charm</t>
  </si>
  <si>
    <t>きらめくおまもり</t>
  </si>
  <si>
    <t>Charme Éclatant</t>
  </si>
  <si>
    <t>Glitzerpin</t>
  </si>
  <si>
    <t>Amuleto Cristalino</t>
  </si>
  <si>
    <t>Brillamuleto</t>
  </si>
  <si>
    <t>반짝이는부적</t>
  </si>
  <si>
    <t>晶耀護符</t>
  </si>
  <si>
    <t>NAME_TC_ACETRAINER-M</t>
  </si>
  <si>
    <t>Ace Trainer</t>
  </si>
  <si>
    <t>エリートトレーナー</t>
  </si>
  <si>
    <t>Topdresseur</t>
  </si>
  <si>
    <t>Ass-Trainer</t>
  </si>
  <si>
    <t>Entrenador guay</t>
  </si>
  <si>
    <t>Fantallenatore</t>
  </si>
  <si>
    <t>엘리트트레이너</t>
  </si>
  <si>
    <t>精英訓練家</t>
  </si>
  <si>
    <t>NAME_TC_ACETRAINER-F</t>
  </si>
  <si>
    <t>Entrenadora guay</t>
  </si>
  <si>
    <t>Fantallenatrice</t>
  </si>
  <si>
    <t>Beauty</t>
  </si>
  <si>
    <t>おとなのおねえさん</t>
  </si>
  <si>
    <t>Schönheit</t>
  </si>
  <si>
    <t>Modelo</t>
  </si>
  <si>
    <t>Bellezza</t>
  </si>
  <si>
    <t>아가씨</t>
  </si>
  <si>
    <t>大姐姐</t>
  </si>
  <si>
    <t>Biker</t>
  </si>
  <si>
    <t>ぼうそうぞく</t>
  </si>
  <si>
    <t>Motard</t>
  </si>
  <si>
    <t>Rowdy</t>
  </si>
  <si>
    <t>Motorista</t>
  </si>
  <si>
    <t>Centauro</t>
  </si>
  <si>
    <t>폭주족</t>
  </si>
  <si>
    <t>暴走族</t>
  </si>
  <si>
    <t>NAME_TC_BIRDKEEPER-M</t>
  </si>
  <si>
    <t>Bird Keeper</t>
  </si>
  <si>
    <t>とりつかい</t>
  </si>
  <si>
    <t>Ornithologue</t>
  </si>
  <si>
    <t>Vogel-Profi</t>
  </si>
  <si>
    <t>Ornitólogo</t>
  </si>
  <si>
    <t>Avicoltore</t>
  </si>
  <si>
    <t>새 조련사</t>
  </si>
  <si>
    <t>養鳥人</t>
  </si>
  <si>
    <t>NAME_TC_BIRDKEEPER-F</t>
  </si>
  <si>
    <t>Ornitóloga</t>
  </si>
  <si>
    <t>Avicoltrice</t>
  </si>
  <si>
    <t>カラテおう</t>
  </si>
  <si>
    <t>Judoka</t>
  </si>
  <si>
    <t>Karateka</t>
  </si>
  <si>
    <t>Citura Nera</t>
  </si>
  <si>
    <t>태권왕</t>
  </si>
  <si>
    <t>空手道王</t>
  </si>
  <si>
    <t>むしとりしょうねん</t>
  </si>
  <si>
    <t>Käfersammler</t>
  </si>
  <si>
    <t>Cazabichos</t>
  </si>
  <si>
    <t>Pigliamosche</t>
  </si>
  <si>
    <t>곤충채집소년</t>
  </si>
  <si>
    <t>捕蟲少年</t>
  </si>
  <si>
    <t>Burglar</t>
  </si>
  <si>
    <t>かじばどろぼう</t>
  </si>
  <si>
    <t>Voleur</t>
  </si>
  <si>
    <t>Dieb</t>
  </si>
  <si>
    <t>Scassinatore</t>
  </si>
  <si>
    <t>불난집 전문털이범</t>
  </si>
  <si>
    <t>趁火打劫者</t>
  </si>
  <si>
    <t>Camper</t>
  </si>
  <si>
    <t>キャンプボーイ</t>
  </si>
  <si>
    <t>Campeur</t>
  </si>
  <si>
    <t>Campista</t>
  </si>
  <si>
    <t>Campeggiatore</t>
  </si>
  <si>
    <t>캠프보이</t>
  </si>
  <si>
    <t>露營少年</t>
  </si>
  <si>
    <t>NAME_TC_CHAMPION-M</t>
  </si>
  <si>
    <t>チャンピオン</t>
  </si>
  <si>
    <t>Maître</t>
  </si>
  <si>
    <t>Champ</t>
  </si>
  <si>
    <t>Campeón</t>
  </si>
  <si>
    <t>챔피언</t>
  </si>
  <si>
    <t>冠軍</t>
  </si>
  <si>
    <t>NAME_TC_CHAMPION-F</t>
  </si>
  <si>
    <t>Campeona</t>
  </si>
  <si>
    <t>Channeler</t>
  </si>
  <si>
    <t>きとうし</t>
  </si>
  <si>
    <t>Exorciste</t>
  </si>
  <si>
    <t>Exorzistin</t>
  </si>
  <si>
    <t>Exorcista</t>
  </si>
  <si>
    <t>주술사</t>
  </si>
  <si>
    <t>祈禱師</t>
  </si>
  <si>
    <t>Elite Four</t>
  </si>
  <si>
    <t>してんのう</t>
  </si>
  <si>
    <t>Conseil 4</t>
  </si>
  <si>
    <t>Top Vier</t>
  </si>
  <si>
    <t>Alto Mando</t>
  </si>
  <si>
    <t>Superquattro</t>
  </si>
  <si>
    <t>사천왕</t>
  </si>
  <si>
    <t>四天王</t>
  </si>
  <si>
    <t>Engineer</t>
  </si>
  <si>
    <t>でんきやのオヤジ</t>
  </si>
  <si>
    <t>Mécano</t>
  </si>
  <si>
    <t>Elektriker</t>
  </si>
  <si>
    <t>Mecánico</t>
  </si>
  <si>
    <t>Meccanico</t>
  </si>
  <si>
    <t>전기 작업원</t>
  </si>
  <si>
    <t>電工大叔</t>
  </si>
  <si>
    <t>Fisherman</t>
  </si>
  <si>
    <t>つりびと</t>
  </si>
  <si>
    <t>Pêcheur</t>
  </si>
  <si>
    <t>Pescador</t>
  </si>
  <si>
    <t>낚시꾼</t>
  </si>
  <si>
    <t>釣魚者</t>
  </si>
  <si>
    <t>垂钓者</t>
  </si>
  <si>
    <t>Gambler</t>
  </si>
  <si>
    <t>ギャンブラー</t>
  </si>
  <si>
    <t>Croupier</t>
  </si>
  <si>
    <t>Rollenspieler</t>
  </si>
  <si>
    <t>Jugón</t>
  </si>
  <si>
    <t>Rischiatutto</t>
  </si>
  <si>
    <t>갬블러</t>
  </si>
  <si>
    <t>賭徒</t>
  </si>
  <si>
    <t>Gentleman</t>
  </si>
  <si>
    <t>ジェントルマン</t>
  </si>
  <si>
    <t>Aristócrata</t>
  </si>
  <si>
    <t>Gentiluomo</t>
  </si>
  <si>
    <t>신사</t>
  </si>
  <si>
    <t>紳士</t>
  </si>
  <si>
    <t>NAME_TC_GYMLEADER-M</t>
  </si>
  <si>
    <t>Gym Leader</t>
  </si>
  <si>
    <t>ジムリーダー</t>
  </si>
  <si>
    <t>Champion d'Arène</t>
  </si>
  <si>
    <t>Arenaleiter</t>
  </si>
  <si>
    <t>Líder de gimnasio</t>
  </si>
  <si>
    <t>Capopalestra</t>
  </si>
  <si>
    <t>체육관 관장</t>
  </si>
  <si>
    <t>道館館主</t>
  </si>
  <si>
    <t>NAME_TC_GYMLEADER-F</t>
  </si>
  <si>
    <t>Championne d'Arène</t>
  </si>
  <si>
    <t>Hiker</t>
  </si>
  <si>
    <t>やまおとこ</t>
  </si>
  <si>
    <t>Montagnard</t>
  </si>
  <si>
    <t>Wanderer</t>
  </si>
  <si>
    <t>Montañero</t>
  </si>
  <si>
    <t>Montanaro</t>
  </si>
  <si>
    <t>등산가</t>
  </si>
  <si>
    <t>登山男</t>
  </si>
  <si>
    <t>Juggler</t>
  </si>
  <si>
    <t>ジャグラー</t>
  </si>
  <si>
    <t>Jongleur</t>
  </si>
  <si>
    <t>Malabarista</t>
  </si>
  <si>
    <t>Giocoliere</t>
  </si>
  <si>
    <t>저글러</t>
  </si>
  <si>
    <t>雜耍藝人</t>
  </si>
  <si>
    <t>Lass</t>
  </si>
  <si>
    <t>ミニスカート</t>
  </si>
  <si>
    <t>Fillette</t>
  </si>
  <si>
    <t>Göre</t>
  </si>
  <si>
    <t>Chica</t>
  </si>
  <si>
    <t>Teenager</t>
  </si>
  <si>
    <t>짧은 치마</t>
  </si>
  <si>
    <t>迷你裙</t>
  </si>
  <si>
    <t>Picnicker</t>
  </si>
  <si>
    <t>ピクニックガール</t>
  </si>
  <si>
    <t>Pique-Nique</t>
  </si>
  <si>
    <t>Dominguera</t>
  </si>
  <si>
    <t>피크닉걸</t>
  </si>
  <si>
    <t>野餐女孩</t>
  </si>
  <si>
    <t>NAME_TC_POKEMANIAC</t>
  </si>
  <si>
    <t>Poke Maniac</t>
  </si>
  <si>
    <t>かいじゅうマニア</t>
  </si>
  <si>
    <t>Pokemaniac</t>
  </si>
  <si>
    <t>Pokemaníaco</t>
  </si>
  <si>
    <t>Pokefanatico</t>
  </si>
  <si>
    <t>포켓몬 매니아</t>
  </si>
  <si>
    <t>怪獸狂</t>
  </si>
  <si>
    <t>NAME_TC_PSYCHIC-M</t>
  </si>
  <si>
    <t>サイキッカー</t>
  </si>
  <si>
    <t>Kinésiste</t>
  </si>
  <si>
    <t>Médium</t>
  </si>
  <si>
    <t>Sensitivo</t>
  </si>
  <si>
    <t>초능력자</t>
  </si>
  <si>
    <t>超能力者</t>
  </si>
  <si>
    <t>NAME_TC_PSYCHIC-F</t>
  </si>
  <si>
    <t>Rival</t>
  </si>
  <si>
    <t>ライバル</t>
  </si>
  <si>
    <t xml:space="preserve">Rivale </t>
  </si>
  <si>
    <t>라이벌</t>
  </si>
  <si>
    <t>勁敵</t>
  </si>
  <si>
    <t>Rocker</t>
  </si>
  <si>
    <t>でんきグループ</t>
  </si>
  <si>
    <t>Électricien</t>
  </si>
  <si>
    <t>Elektro-Musiker</t>
  </si>
  <si>
    <t>Técnico</t>
  </si>
  <si>
    <t>Tecnico del suono</t>
  </si>
  <si>
    <t>전기그룹</t>
  </si>
  <si>
    <t>電氣搖滾團</t>
  </si>
  <si>
    <t>Roughneck</t>
  </si>
  <si>
    <t>スキンヘッズ</t>
  </si>
  <si>
    <t>Loubard</t>
  </si>
  <si>
    <t>Raufbold</t>
  </si>
  <si>
    <t>Calvo</t>
  </si>
  <si>
    <t>Zuccapelata</t>
  </si>
  <si>
    <t>빡빡이</t>
  </si>
  <si>
    <t>光頭男</t>
  </si>
  <si>
    <t>Sailor</t>
  </si>
  <si>
    <t>ふなのり</t>
  </si>
  <si>
    <t>Marin</t>
  </si>
  <si>
    <t>Matrose</t>
  </si>
  <si>
    <t>Marinero</t>
  </si>
  <si>
    <t>Marinaio</t>
  </si>
  <si>
    <t>선원</t>
  </si>
  <si>
    <t>水手</t>
  </si>
  <si>
    <t>NAME_TC_SCIENTIST-M</t>
  </si>
  <si>
    <t>Scientist</t>
  </si>
  <si>
    <t>けんきゅういん</t>
  </si>
  <si>
    <t>Scientifique</t>
  </si>
  <si>
    <t>Forscher</t>
  </si>
  <si>
    <t>Científico</t>
  </si>
  <si>
    <t>Scienziato</t>
  </si>
  <si>
    <t>연구원</t>
  </si>
  <si>
    <t>研究員</t>
  </si>
  <si>
    <t>NAME_TC_SCIENTIST-F</t>
  </si>
  <si>
    <t>Científica</t>
  </si>
  <si>
    <t>Scienziata</t>
  </si>
  <si>
    <t>Super Nerd</t>
  </si>
  <si>
    <t>りかけいのおとこ</t>
  </si>
  <si>
    <t>Intello</t>
  </si>
  <si>
    <t>Streber</t>
  </si>
  <si>
    <t>Cerebrito</t>
  </si>
  <si>
    <t>Cervellone</t>
  </si>
  <si>
    <t>이과계의 남자</t>
  </si>
  <si>
    <t>理科男</t>
  </si>
  <si>
    <t>NAME_TC_SWIMMER-M</t>
  </si>
  <si>
    <t>Swimmer</t>
  </si>
  <si>
    <t>かいパンやろう</t>
  </si>
  <si>
    <t>Nageur</t>
  </si>
  <si>
    <t>Schwimmer</t>
  </si>
  <si>
    <t>Nadador</t>
  </si>
  <si>
    <t xml:space="preserve">Nuotatore </t>
  </si>
  <si>
    <t>수영팬티 소년</t>
  </si>
  <si>
    <t>泳褲小伙子</t>
  </si>
  <si>
    <t>NAME_TC_SWIMMER-F</t>
  </si>
  <si>
    <t>ビキニのおねえさん</t>
  </si>
  <si>
    <t>Nageuse</t>
  </si>
  <si>
    <t>Schwimmerin</t>
  </si>
  <si>
    <t>Nadadora</t>
  </si>
  <si>
    <t xml:space="preserve">Nuotatrice </t>
  </si>
  <si>
    <t>비키니 아가씨</t>
  </si>
  <si>
    <t>比基尼姐姐</t>
  </si>
  <si>
    <t>Tamer</t>
  </si>
  <si>
    <t>もうじゅうつかい</t>
  </si>
  <si>
    <t>Dompteur</t>
  </si>
  <si>
    <t>Domador</t>
  </si>
  <si>
    <t>Domatore</t>
  </si>
  <si>
    <t>맹수 조련사</t>
  </si>
  <si>
    <t>馴獸師</t>
  </si>
  <si>
    <t>Youngster</t>
  </si>
  <si>
    <t>たんぱんこぞう</t>
  </si>
  <si>
    <t>Gamin</t>
  </si>
  <si>
    <t>Knirps</t>
  </si>
  <si>
    <t>Joven</t>
  </si>
  <si>
    <t>Marmocchio</t>
  </si>
  <si>
    <t>반바지 꼬마</t>
  </si>
  <si>
    <t>短褲小子</t>
  </si>
  <si>
    <t>Boarder</t>
  </si>
  <si>
    <t>ボーダー</t>
  </si>
  <si>
    <t>Surfer</t>
  </si>
  <si>
    <t>Snowboarder</t>
  </si>
  <si>
    <t>Snow-boarder</t>
  </si>
  <si>
    <t>보더</t>
  </si>
  <si>
    <t>单板玩家</t>
  </si>
  <si>
    <t>Firebreather</t>
  </si>
  <si>
    <t>ひふきやろう</t>
  </si>
  <si>
    <t>Feuerspucker</t>
  </si>
  <si>
    <t>Comefuego</t>
  </si>
  <si>
    <t>Mangiafuoco</t>
  </si>
  <si>
    <t>불놀이꾼</t>
  </si>
  <si>
    <t>喷火者</t>
  </si>
  <si>
    <t>NAME_TC_GUITARIST-M</t>
  </si>
  <si>
    <t>Guitarist</t>
  </si>
  <si>
    <t>ギタリスト</t>
  </si>
  <si>
    <t>Guitariste</t>
  </si>
  <si>
    <t>Gitarrist</t>
  </si>
  <si>
    <t>Guitarrista</t>
  </si>
  <si>
    <t>Chitarrista</t>
  </si>
  <si>
    <t>기타리스트</t>
  </si>
  <si>
    <t>吉他手</t>
  </si>
  <si>
    <t>NAME_TC_GUITARIST-F</t>
  </si>
  <si>
    <t>吉她手</t>
  </si>
  <si>
    <t>Kimono Girl</t>
  </si>
  <si>
    <t>まいこはん</t>
  </si>
  <si>
    <t>Kimono</t>
  </si>
  <si>
    <t>Kimono-Girl</t>
  </si>
  <si>
    <t>Chica Kimono</t>
  </si>
  <si>
    <t>전통무용수</t>
  </si>
  <si>
    <t>和服女孩</t>
  </si>
  <si>
    <t>Medium</t>
  </si>
  <si>
    <t>イタコ</t>
  </si>
  <si>
    <t>Mentalista</t>
  </si>
  <si>
    <t>Sensitiva</t>
  </si>
  <si>
    <t>무당</t>
  </si>
  <si>
    <t>神婆</t>
  </si>
  <si>
    <t>NAME_TC_POKEFAN</t>
  </si>
  <si>
    <t>Pokefan</t>
  </si>
  <si>
    <t>だいすきクラブ</t>
  </si>
  <si>
    <t>애호가클럽</t>
  </si>
  <si>
    <t>發燒友俱樂部</t>
  </si>
  <si>
    <t>NAME_TC_PkMnTRAINER-M</t>
  </si>
  <si>
    <t>Pokemon Trainer</t>
  </si>
  <si>
    <t>ポケモントレーナー</t>
  </si>
  <si>
    <t>Dresseur de Pokemon</t>
  </si>
  <si>
    <t>Pokemon-Trainer</t>
  </si>
  <si>
    <t>Entrenador Pokemon</t>
  </si>
  <si>
    <t>Allenatore di Pokemon</t>
  </si>
  <si>
    <t>포켓몬 트레이너</t>
  </si>
  <si>
    <t>寶可夢訓練家</t>
  </si>
  <si>
    <t>NAME_TC_PkMnTRAINER-F</t>
  </si>
  <si>
    <t>Entrenadora Pokemon</t>
  </si>
  <si>
    <t>Allenatrice di Pokemon</t>
  </si>
  <si>
    <t>Police Officer</t>
  </si>
  <si>
    <t>あまわりさん</t>
  </si>
  <si>
    <t>Policier</t>
  </si>
  <si>
    <t>Polizist</t>
  </si>
  <si>
    <t>Policía</t>
  </si>
  <si>
    <t>Guardia</t>
  </si>
  <si>
    <t>경찰관</t>
  </si>
  <si>
    <t>警察先生</t>
  </si>
  <si>
    <t>ぼうず</t>
  </si>
  <si>
    <t>Weiser</t>
  </si>
  <si>
    <t>Pensador</t>
  </si>
  <si>
    <t>수행자</t>
  </si>
  <si>
    <t>和尚</t>
  </si>
  <si>
    <t>Schoolboy</t>
  </si>
  <si>
    <t>スクールボーイ</t>
  </si>
  <si>
    <t>Écolier</t>
  </si>
  <si>
    <t>Schüler</t>
  </si>
  <si>
    <t>Escolar</t>
  </si>
  <si>
    <t>Studende</t>
  </si>
  <si>
    <t>스쿨보이</t>
  </si>
  <si>
    <t>男學生</t>
  </si>
  <si>
    <t>NAME_TC_SKIER-M</t>
  </si>
  <si>
    <t>Skier</t>
  </si>
  <si>
    <t>スキーヤー</t>
  </si>
  <si>
    <t>Skieur</t>
  </si>
  <si>
    <t>Skifahrer</t>
  </si>
  <si>
    <t>Esquiador</t>
  </si>
  <si>
    <t>Sciatore</t>
  </si>
  <si>
    <t>스키선수</t>
  </si>
  <si>
    <t>滑雪者</t>
  </si>
  <si>
    <t>NAME_TC_SKIER-F</t>
  </si>
  <si>
    <t>Skieuse</t>
  </si>
  <si>
    <t>Esquiadora</t>
  </si>
  <si>
    <t>Sciatrice</t>
  </si>
  <si>
    <t>Teacher</t>
  </si>
  <si>
    <t>せんせい</t>
  </si>
  <si>
    <t>Prof.</t>
  </si>
  <si>
    <t>Lehrerin</t>
  </si>
  <si>
    <t>Profesora</t>
  </si>
  <si>
    <t>Insegnante</t>
  </si>
  <si>
    <t>선생님</t>
  </si>
  <si>
    <t>老師</t>
  </si>
  <si>
    <t>Twins</t>
  </si>
  <si>
    <t>ふたごちゃん</t>
  </si>
  <si>
    <t>Jumelles</t>
  </si>
  <si>
    <t>Zwillinge</t>
  </si>
  <si>
    <t>Gemelas</t>
  </si>
  <si>
    <t>Gemelle</t>
  </si>
  <si>
    <t>쌍둥이</t>
  </si>
  <si>
    <t>雙胞胎</t>
  </si>
  <si>
    <t>Mystery Man</t>
  </si>
  <si>
    <t>なぞのせいねん</t>
  </si>
  <si>
    <t>Mec Mystère</t>
  </si>
  <si>
    <t>Mystiker</t>
  </si>
  <si>
    <t>Enigmático</t>
  </si>
  <si>
    <t>수수께끼 청년</t>
  </si>
  <si>
    <t>謎之少年</t>
  </si>
  <si>
    <t>Aroma Lady</t>
  </si>
  <si>
    <t>アロマなおねえちゃん</t>
  </si>
  <si>
    <t>Aromathérapeute</t>
  </si>
  <si>
    <t>Aromalady</t>
  </si>
  <si>
    <t>Señorita aroma</t>
  </si>
  <si>
    <t>Profumina</t>
  </si>
  <si>
    <t>아로마 아가씨</t>
  </si>
  <si>
    <t>香氛姐姐</t>
  </si>
  <si>
    <t>Battle Girl</t>
  </si>
  <si>
    <t>バトルガール</t>
  </si>
  <si>
    <t>Combattante</t>
  </si>
  <si>
    <t>Kämpferin</t>
  </si>
  <si>
    <t>Luchadora</t>
  </si>
  <si>
    <t>Combat Girl</t>
  </si>
  <si>
    <t>배틀걸</t>
  </si>
  <si>
    <t>對戰少女</t>
  </si>
  <si>
    <t>Bug Maniac</t>
  </si>
  <si>
    <t>こんちゅうマニア</t>
  </si>
  <si>
    <t>Entomomaniac</t>
  </si>
  <si>
    <t>Käfermaniac</t>
  </si>
  <si>
    <t>Bichomaníaco</t>
  </si>
  <si>
    <t>Insettologo</t>
  </si>
  <si>
    <t>곤충마니아</t>
  </si>
  <si>
    <t>昆蟲狂</t>
  </si>
  <si>
    <t>Collector</t>
  </si>
  <si>
    <t>ポケモンコレクター</t>
  </si>
  <si>
    <t>Collectionneur</t>
  </si>
  <si>
    <t>Pokemon-Sammler</t>
  </si>
  <si>
    <t>Pokecolector</t>
  </si>
  <si>
    <t>CercaPokemon</t>
  </si>
  <si>
    <t>포켓몬 컬렉터</t>
  </si>
  <si>
    <t>寶可夢收藏家</t>
  </si>
  <si>
    <t>Dragon Tamer</t>
  </si>
  <si>
    <t>ドラゴンつかい</t>
  </si>
  <si>
    <t>Dracologue</t>
  </si>
  <si>
    <t>Drachenprofi</t>
  </si>
  <si>
    <t>Domadragón</t>
  </si>
  <si>
    <t>Domadraghi</t>
  </si>
  <si>
    <t>드래곤 조련사</t>
  </si>
  <si>
    <t>馴龍師</t>
  </si>
  <si>
    <t>NAME_TC_EXPERT-M</t>
  </si>
  <si>
    <t>Expert</t>
  </si>
  <si>
    <t>たつじん</t>
  </si>
  <si>
    <t>Pokeabu</t>
  </si>
  <si>
    <t>Specialista</t>
  </si>
  <si>
    <t>달인</t>
  </si>
  <si>
    <t>達人</t>
  </si>
  <si>
    <t>NAME_TC_EXPERT-F</t>
  </si>
  <si>
    <t>Hex Maniac</t>
  </si>
  <si>
    <t>オカルトマニア</t>
  </si>
  <si>
    <t>Mystimaniac</t>
  </si>
  <si>
    <t>Hexe</t>
  </si>
  <si>
    <t>Bruja</t>
  </si>
  <si>
    <t>Streghetta</t>
  </si>
  <si>
    <t>오컬트마니아</t>
  </si>
  <si>
    <t>靈異迷</t>
  </si>
  <si>
    <t>Interviewers</t>
  </si>
  <si>
    <t>インタビュアー</t>
  </si>
  <si>
    <t>Journalistes</t>
  </si>
  <si>
    <t>Interviewer</t>
  </si>
  <si>
    <t>Periodistas</t>
  </si>
  <si>
    <t>Reporter</t>
  </si>
  <si>
    <t>인터뷰어</t>
  </si>
  <si>
    <t>採訪者</t>
  </si>
  <si>
    <t>Kindler</t>
  </si>
  <si>
    <t>キャンプファイヤー</t>
  </si>
  <si>
    <t>Saltimbanque</t>
  </si>
  <si>
    <t>Hitzkopf</t>
  </si>
  <si>
    <t>Prendefuegos</t>
  </si>
  <si>
    <t>Brandifuoco</t>
  </si>
  <si>
    <t>캠프파이어</t>
  </si>
  <si>
    <t>營火專家</t>
  </si>
  <si>
    <t>Lady</t>
  </si>
  <si>
    <t>おじょうさま</t>
  </si>
  <si>
    <t>Mademoiselle</t>
  </si>
  <si>
    <t>Damisela</t>
  </si>
  <si>
    <t>아기씨</t>
  </si>
  <si>
    <t>千金小姐</t>
  </si>
  <si>
    <t>Ninja Boy</t>
  </si>
  <si>
    <t>ニンジャごっこ</t>
  </si>
  <si>
    <t>Ninja Amateur</t>
  </si>
  <si>
    <t>Ninjajunge</t>
  </si>
  <si>
    <t>Chico ninja</t>
  </si>
  <si>
    <t>닌자놀이</t>
  </si>
  <si>
    <t>忍者小子</t>
  </si>
  <si>
    <t>Old Couple</t>
  </si>
  <si>
    <t>きんこんしき</t>
  </si>
  <si>
    <t>Vieux Couple</t>
  </si>
  <si>
    <t>Altes Paar</t>
  </si>
  <si>
    <t>Pareja mayor</t>
  </si>
  <si>
    <t>Coppiarzilla</t>
  </si>
  <si>
    <t>금혼식부부</t>
  </si>
  <si>
    <t>金婚夫妻</t>
  </si>
  <si>
    <t>Parasol Lady</t>
  </si>
  <si>
    <t>パラソルおねえさん</t>
  </si>
  <si>
    <t>Sœur Parasol</t>
  </si>
  <si>
    <t>Schirmdame</t>
  </si>
  <si>
    <t>Dama parasol</t>
  </si>
  <si>
    <t>Ombrellina</t>
  </si>
  <si>
    <t>파라솔아가씨</t>
  </si>
  <si>
    <t>陽傘姐姐</t>
  </si>
  <si>
    <t>NAME_TC_PkMnBREEDER-M</t>
  </si>
  <si>
    <t>Pokemon Breeder</t>
  </si>
  <si>
    <t>ポケモンブリーダー</t>
  </si>
  <si>
    <t>Éleveur</t>
  </si>
  <si>
    <t>Pokemon-Züchter</t>
  </si>
  <si>
    <t>CriaPokemon</t>
  </si>
  <si>
    <t>AllevaPokemon</t>
  </si>
  <si>
    <t>포켓몬 브리더</t>
  </si>
  <si>
    <t>寶可夢培育家</t>
  </si>
  <si>
    <t>NAME_TC_PkMnBREEDER-F</t>
  </si>
  <si>
    <t>Éleveuse</t>
  </si>
  <si>
    <t>NAME_TC_PkMnRANGER</t>
  </si>
  <si>
    <t>Pokemon Ranger</t>
  </si>
  <si>
    <t>ポケモンレンジャー</t>
  </si>
  <si>
    <t>Pokemon-Ranger</t>
  </si>
  <si>
    <t>포켓몬 레인저</t>
  </si>
  <si>
    <t>寶可夢巡護員</t>
  </si>
  <si>
    <t>Rich Boy</t>
  </si>
  <si>
    <t>おぼっちゃま</t>
  </si>
  <si>
    <t>Richard</t>
  </si>
  <si>
    <t>Schnösel</t>
  </si>
  <si>
    <t>Niño bien</t>
  </si>
  <si>
    <t>Elegantone</t>
  </si>
  <si>
    <t>도련님</t>
  </si>
  <si>
    <t>富家少爺</t>
  </si>
  <si>
    <t>Ruin Maniac</t>
  </si>
  <si>
    <t>いせきマニア</t>
  </si>
  <si>
    <t>Ruinemaniac</t>
  </si>
  <si>
    <t>Ruinenmaniac</t>
  </si>
  <si>
    <t>Ruinamaníaco</t>
  </si>
  <si>
    <t>Scoprirovine</t>
  </si>
  <si>
    <t>유적마니아</t>
  </si>
  <si>
    <t>遺跡迷</t>
  </si>
  <si>
    <t>Sis &amp; Bro</t>
  </si>
  <si>
    <t>うみきょうだい</t>
  </si>
  <si>
    <t>Frère et Sœur</t>
  </si>
  <si>
    <t>Geschwister</t>
  </si>
  <si>
    <t>Hermanos</t>
  </si>
  <si>
    <t>Fratellini</t>
  </si>
  <si>
    <t>바다남매</t>
  </si>
  <si>
    <t>海上姐弟</t>
  </si>
  <si>
    <t>Teammates</t>
  </si>
  <si>
    <t>センパイとコウハイ</t>
  </si>
  <si>
    <t>Senior et Junior</t>
  </si>
  <si>
    <t>Estudiantes</t>
  </si>
  <si>
    <t>Senior &amp; Junior</t>
  </si>
  <si>
    <t>선배&amp;후배</t>
  </si>
  <si>
    <t>學姊與學妹</t>
  </si>
  <si>
    <t>Triathlete</t>
  </si>
  <si>
    <t>トライアスリート</t>
  </si>
  <si>
    <t>Triathlète</t>
  </si>
  <si>
    <t>Triathlet</t>
  </si>
  <si>
    <t>Triatleta</t>
  </si>
  <si>
    <t>트라이애슬리트</t>
  </si>
  <si>
    <t>鐵人三項運動員</t>
  </si>
  <si>
    <t>NAME_TC_TUBER-M</t>
  </si>
  <si>
    <t>Tuber</t>
  </si>
  <si>
    <t>うきわボーイ</t>
  </si>
  <si>
    <t>Garçon à la Bouée</t>
  </si>
  <si>
    <t>Planscher</t>
  </si>
  <si>
    <t>Playero</t>
  </si>
  <si>
    <t>Ciambellino</t>
  </si>
  <si>
    <t>튜브보이</t>
  </si>
  <si>
    <t>泳圈男孩</t>
  </si>
  <si>
    <t>NAME_TC_TUBER-F</t>
  </si>
  <si>
    <t>うきわガール</t>
  </si>
  <si>
    <t>Fille à la Bouée</t>
  </si>
  <si>
    <t>Playera</t>
  </si>
  <si>
    <t>Ciambellina</t>
  </si>
  <si>
    <t>튜브걸</t>
  </si>
  <si>
    <t>泳圈女孩</t>
  </si>
  <si>
    <t>NAME_TC_WORKER-M</t>
  </si>
  <si>
    <t>Worker</t>
  </si>
  <si>
    <t>さぎょういん</t>
  </si>
  <si>
    <t>Ouvrier</t>
  </si>
  <si>
    <t>Arbeiter</t>
  </si>
  <si>
    <t>Operario</t>
  </si>
  <si>
    <t>Lavoratore</t>
  </si>
  <si>
    <t>작업원</t>
  </si>
  <si>
    <t>工人</t>
  </si>
  <si>
    <t>NAME_TC_WORKER-F</t>
  </si>
  <si>
    <t>Ouvrière</t>
  </si>
  <si>
    <t>Arbeiterin</t>
  </si>
  <si>
    <t>Operaria</t>
  </si>
  <si>
    <t>Lavoratrice</t>
  </si>
  <si>
    <t>Young Couple</t>
  </si>
  <si>
    <t>ラブラブカップル</t>
  </si>
  <si>
    <t>Jeune Couple</t>
  </si>
  <si>
    <t>Junges Glück</t>
  </si>
  <si>
    <t>Pareja joven</t>
  </si>
  <si>
    <t>Coppietta</t>
  </si>
  <si>
    <t>러브러브커플</t>
  </si>
  <si>
    <t>熱戀情侶</t>
  </si>
  <si>
    <t>Crush Kin</t>
  </si>
  <si>
    <t>かくとうきょうだい</t>
  </si>
  <si>
    <t>Duo Baston</t>
  </si>
  <si>
    <t>Mühlensippe</t>
  </si>
  <si>
    <t>Dúo fuerte</t>
  </si>
  <si>
    <t>Duo Lotta</t>
  </si>
  <si>
    <t>격투남매</t>
  </si>
  <si>
    <t>格斗姐弟</t>
  </si>
  <si>
    <t>NAME_TC_FRONTIERBRAIN</t>
  </si>
  <si>
    <t>Frontier Brain</t>
  </si>
  <si>
    <t>フロンティアブレーン</t>
  </si>
  <si>
    <t>Meneur de Zone</t>
  </si>
  <si>
    <t>Kampfkoryphäen</t>
  </si>
  <si>
    <t>As del Frente Batalla</t>
  </si>
  <si>
    <t>Asso Lotta</t>
  </si>
  <si>
    <t>프런티어 브레인</t>
  </si>
  <si>
    <t>開拓之腦</t>
  </si>
  <si>
    <t>Ace Duo</t>
  </si>
  <si>
    <t>エリートコンビ</t>
  </si>
  <si>
    <t>Top Duo</t>
  </si>
  <si>
    <t>Ass-Duo</t>
  </si>
  <si>
    <t>Dúo guay</t>
  </si>
  <si>
    <t>Fantaduo</t>
  </si>
  <si>
    <t>엘리트콤비</t>
  </si>
  <si>
    <t>精英組合</t>
  </si>
  <si>
    <t>NAME_TC_ARTIST-M</t>
  </si>
  <si>
    <t>Artist</t>
  </si>
  <si>
    <t>げいじゅつか</t>
  </si>
  <si>
    <t>Künstler</t>
  </si>
  <si>
    <t>예술가</t>
  </si>
  <si>
    <t>藝術家</t>
  </si>
  <si>
    <t>NAME_TC_ARTIST-F</t>
  </si>
  <si>
    <t>NAME_TC_BELLEANDPA</t>
  </si>
  <si>
    <t>Belle &amp; Pa</t>
  </si>
  <si>
    <t>ぼくじょうおやこ</t>
  </si>
  <si>
    <t>Fille &amp; Père</t>
  </si>
  <si>
    <t>Mädel und Papa</t>
  </si>
  <si>
    <t>Padre e hija</t>
  </si>
  <si>
    <t>Ranch Family</t>
  </si>
  <si>
    <t>Cameraman</t>
  </si>
  <si>
    <t>カメラマン</t>
  </si>
  <si>
    <t>Caméraman</t>
  </si>
  <si>
    <t>Kameramann</t>
  </si>
  <si>
    <t>Cámara</t>
  </si>
  <si>
    <t>카메라맨</t>
  </si>
  <si>
    <t>攝影師</t>
  </si>
  <si>
    <t>Cowgirl</t>
  </si>
  <si>
    <t>カウガール</t>
  </si>
  <si>
    <t>Vaquera</t>
  </si>
  <si>
    <t>카우걸</t>
  </si>
  <si>
    <t>牛仔女孩</t>
  </si>
  <si>
    <t>NAME_TC_CLOWN</t>
  </si>
  <si>
    <t>Clown</t>
  </si>
  <si>
    <t>ピエロ</t>
  </si>
  <si>
    <t>Arlequin</t>
  </si>
  <si>
    <t>Payaso</t>
  </si>
  <si>
    <t>피에로</t>
  </si>
  <si>
    <t>小丑</t>
  </si>
  <si>
    <t>NAME_TC_CYCLIST-M</t>
  </si>
  <si>
    <t>Cyclist</t>
  </si>
  <si>
    <t>サイクリング</t>
  </si>
  <si>
    <t>Ciclista</t>
  </si>
  <si>
    <t>사이클링</t>
  </si>
  <si>
    <t>自行車手</t>
  </si>
  <si>
    <t>NAME_TC_CYCLIST-F</t>
  </si>
  <si>
    <t>Idol</t>
  </si>
  <si>
    <t>Idole</t>
  </si>
  <si>
    <t>Famosa</t>
  </si>
  <si>
    <t>偶像明星</t>
  </si>
  <si>
    <t>Jogger</t>
  </si>
  <si>
    <t>ジョギング</t>
  </si>
  <si>
    <t>Joggeur</t>
  </si>
  <si>
    <t>Corredor</t>
  </si>
  <si>
    <t>Podista</t>
  </si>
  <si>
    <t>조깅</t>
  </si>
  <si>
    <t>慢跑者</t>
  </si>
  <si>
    <t>Madame</t>
  </si>
  <si>
    <t>マダム</t>
  </si>
  <si>
    <t>Mondaine</t>
  </si>
  <si>
    <t>Dame</t>
  </si>
  <si>
    <t>마담</t>
  </si>
  <si>
    <t>女士</t>
  </si>
  <si>
    <t>NAME_TC_POKEKID-M</t>
  </si>
  <si>
    <t>Poke Kid</t>
  </si>
  <si>
    <t>ポケモンごっこ</t>
  </si>
  <si>
    <t>Poke Enfant</t>
  </si>
  <si>
    <t>Poke-Kind</t>
  </si>
  <si>
    <t>Pokechico</t>
  </si>
  <si>
    <t>Poke Bimbo</t>
  </si>
  <si>
    <t>포켓몬놀이</t>
  </si>
  <si>
    <t>寶可夢小朋友</t>
  </si>
  <si>
    <t>NAME_TC_POKEKID-F</t>
  </si>
  <si>
    <t>Pokechica</t>
  </si>
  <si>
    <t>Poke Bimba</t>
  </si>
  <si>
    <t>Rancher</t>
  </si>
  <si>
    <t>ぼくじょうおじさん</t>
  </si>
  <si>
    <t>Fermier</t>
  </si>
  <si>
    <t>Farmer</t>
  </si>
  <si>
    <t>Ranchero</t>
  </si>
  <si>
    <t>Fattore</t>
  </si>
  <si>
    <t>목장아저씨</t>
  </si>
  <si>
    <t>牧場大叔</t>
  </si>
  <si>
    <t>NAME_TC_RANCHERS</t>
  </si>
  <si>
    <t>Ranchers</t>
  </si>
  <si>
    <t>Fermiers en famille</t>
  </si>
  <si>
    <t>Farmer &amp; Tochter</t>
  </si>
  <si>
    <t>Rancheros</t>
  </si>
  <si>
    <t>목장가족</t>
  </si>
  <si>
    <t>牧場父女</t>
  </si>
  <si>
    <t>レポーター</t>
  </si>
  <si>
    <t>Reportera</t>
  </si>
  <si>
    <t>Inviata</t>
  </si>
  <si>
    <t>리포터</t>
  </si>
  <si>
    <t>記者</t>
  </si>
  <si>
    <t>NAME_TC_VETERAN-M</t>
  </si>
  <si>
    <t>Veteran</t>
  </si>
  <si>
    <t>ベテラントレーナー</t>
  </si>
  <si>
    <t>Vétéran</t>
  </si>
  <si>
    <t>Veterano</t>
  </si>
  <si>
    <t>베테랑 트레이너</t>
  </si>
  <si>
    <t>資深訓練家</t>
  </si>
  <si>
    <t>NAME_TC_VETERAN-F</t>
  </si>
  <si>
    <t>Veterana</t>
  </si>
  <si>
    <t>Waiter</t>
  </si>
  <si>
    <t>ウエーター</t>
  </si>
  <si>
    <t>Serveur</t>
  </si>
  <si>
    <t>Serverer</t>
  </si>
  <si>
    <t>Camarero</t>
  </si>
  <si>
    <t>Cameriere</t>
  </si>
  <si>
    <t>웨이터</t>
  </si>
  <si>
    <t>服務生</t>
  </si>
  <si>
    <t>Waitress</t>
  </si>
  <si>
    <t>ウエートレス</t>
  </si>
  <si>
    <t>Serveuse</t>
  </si>
  <si>
    <t>Camarera</t>
  </si>
  <si>
    <t>Cameriera</t>
  </si>
  <si>
    <t>웨이트리스</t>
  </si>
  <si>
    <t>女服務生</t>
  </si>
  <si>
    <t>Maid</t>
  </si>
  <si>
    <t>メイド</t>
  </si>
  <si>
    <t>Gouvernante</t>
  </si>
  <si>
    <t>Zofe</t>
  </si>
  <si>
    <t>Criada</t>
  </si>
  <si>
    <t>Domestica</t>
  </si>
  <si>
    <t>메이드</t>
  </si>
  <si>
    <t>女仆</t>
  </si>
  <si>
    <t>Elder</t>
  </si>
  <si>
    <t>コウセイ</t>
  </si>
  <si>
    <t>Ancien</t>
  </si>
  <si>
    <t>Weisester</t>
  </si>
  <si>
    <t>Anciano</t>
  </si>
  <si>
    <t>Anziano</t>
  </si>
  <si>
    <t>장로</t>
  </si>
  <si>
    <t>长老</t>
  </si>
  <si>
    <t>NAME_TC_BACKERS-M</t>
  </si>
  <si>
    <t>Backers</t>
  </si>
  <si>
    <t>ファンクラブ</t>
  </si>
  <si>
    <t>Supporters</t>
  </si>
  <si>
    <t>Anhänger</t>
  </si>
  <si>
    <t>Hinchas</t>
  </si>
  <si>
    <t>Fan</t>
  </si>
  <si>
    <t>팬클럽</t>
  </si>
  <si>
    <t>啦啦队</t>
  </si>
  <si>
    <t>NAME_TC_BACKERS-F</t>
  </si>
  <si>
    <t>Pom-Pom Girls</t>
  </si>
  <si>
    <t>Animadoras</t>
  </si>
  <si>
    <t>NAME_TC_BACKPACKER-M</t>
  </si>
  <si>
    <t>Backpacker</t>
  </si>
  <si>
    <t>バックパッカー</t>
  </si>
  <si>
    <t>Randonneur</t>
  </si>
  <si>
    <t>Mochilero</t>
  </si>
  <si>
    <t>Giramondo</t>
  </si>
  <si>
    <t>백팩커</t>
  </si>
  <si>
    <t>背包客</t>
  </si>
  <si>
    <t>NAME_TC_BACKPACKER-F</t>
  </si>
  <si>
    <t>Randonneuse</t>
  </si>
  <si>
    <t>Mochilera</t>
  </si>
  <si>
    <t>Baker</t>
  </si>
  <si>
    <t>ベーカリー</t>
  </si>
  <si>
    <t>Boulangère</t>
  </si>
  <si>
    <t>Bäckerin</t>
  </si>
  <si>
    <t>Pastelera</t>
  </si>
  <si>
    <t>Panettiera</t>
  </si>
  <si>
    <t>제빵사</t>
  </si>
  <si>
    <t>面包师傅</t>
  </si>
  <si>
    <t>NAME_TC_CLERK-M</t>
  </si>
  <si>
    <t>Clerk</t>
  </si>
  <si>
    <t>ビジネスマン</t>
  </si>
  <si>
    <t>Employé</t>
  </si>
  <si>
    <t>Empresario</t>
  </si>
  <si>
    <t>Affarista</t>
  </si>
  <si>
    <t>비즈니스맨</t>
  </si>
  <si>
    <t>商務人士</t>
  </si>
  <si>
    <t>NAME_TC_CLERK-F</t>
  </si>
  <si>
    <t>ＯＬ</t>
  </si>
  <si>
    <t>Employée</t>
  </si>
  <si>
    <t>Angestellte</t>
  </si>
  <si>
    <t>Oficinista</t>
  </si>
  <si>
    <t>Donna in carriera</t>
  </si>
  <si>
    <t>여사원</t>
  </si>
  <si>
    <t>NAME_TC_DANCER-M</t>
  </si>
  <si>
    <t>ダンサー</t>
  </si>
  <si>
    <t>Breakdancer</t>
  </si>
  <si>
    <t>NAME_TC_DANCER-F</t>
  </si>
  <si>
    <t>Bailarina</t>
  </si>
  <si>
    <t>Ballerina</t>
  </si>
  <si>
    <t>NAME_TC_DOCTOR-M</t>
  </si>
  <si>
    <t>Doctor</t>
  </si>
  <si>
    <t>ドクター</t>
  </si>
  <si>
    <t>Docteur</t>
  </si>
  <si>
    <t>Artz</t>
  </si>
  <si>
    <t>Medico</t>
  </si>
  <si>
    <t>의사</t>
  </si>
  <si>
    <t>醫生</t>
  </si>
  <si>
    <t>NAME_TC_DOCTOR-F</t>
  </si>
  <si>
    <t>Docteure</t>
  </si>
  <si>
    <t>Ärztin</t>
  </si>
  <si>
    <t>Doctora</t>
  </si>
  <si>
    <t>Harlequin</t>
  </si>
  <si>
    <t>クラウン</t>
  </si>
  <si>
    <t>Kasper</t>
  </si>
  <si>
    <t>Arlequín</t>
  </si>
  <si>
    <t>어릿광대</t>
  </si>
  <si>
    <t>滑稽演员</t>
  </si>
  <si>
    <t>Hooligans</t>
  </si>
  <si>
    <t>バードチーム</t>
  </si>
  <si>
    <t>Loubards</t>
  </si>
  <si>
    <t>Rabauken</t>
  </si>
  <si>
    <t>Pandilleros</t>
  </si>
  <si>
    <t>Teppisti</t>
  </si>
  <si>
    <t>배드팀</t>
  </si>
  <si>
    <t>暴走组合</t>
  </si>
  <si>
    <t>NAME_TC_HOOPSTER</t>
  </si>
  <si>
    <t>Hoopster</t>
  </si>
  <si>
    <t>バスケせんしゅ</t>
  </si>
  <si>
    <t>Basketteur</t>
  </si>
  <si>
    <t>Basketballer</t>
  </si>
  <si>
    <t>Pívot</t>
  </si>
  <si>
    <t>Cestista</t>
  </si>
  <si>
    <t>농구선수</t>
  </si>
  <si>
    <t>篮球选手</t>
  </si>
  <si>
    <t>Infielder</t>
  </si>
  <si>
    <t>やきゅうせんしゅ</t>
  </si>
  <si>
    <t>Baseballeur</t>
  </si>
  <si>
    <t>Baseballer</t>
  </si>
  <si>
    <t>Pitcher</t>
  </si>
  <si>
    <t>Battitore</t>
  </si>
  <si>
    <t>야구선수</t>
  </si>
  <si>
    <t>棒球選手</t>
  </si>
  <si>
    <t>Janitor</t>
  </si>
  <si>
    <t>せいそういん</t>
  </si>
  <si>
    <t>Nettoyeur</t>
  </si>
  <si>
    <t>Hausmeister</t>
  </si>
  <si>
    <t>Limpiador</t>
  </si>
  <si>
    <t>Netturbino</t>
  </si>
  <si>
    <t>청소부</t>
  </si>
  <si>
    <t>清潔員</t>
  </si>
  <si>
    <t>NAME_TC_LINEBACKER</t>
  </si>
  <si>
    <t>Linebacker</t>
  </si>
  <si>
    <t>フットボーラー</t>
  </si>
  <si>
    <t>Quaterback</t>
  </si>
  <si>
    <t>Footballer</t>
  </si>
  <si>
    <t>Quarterback</t>
  </si>
  <si>
    <t>미식축구선수</t>
  </si>
  <si>
    <t>橄榄球选手</t>
  </si>
  <si>
    <t>Musician</t>
  </si>
  <si>
    <t>ミュージシャン</t>
  </si>
  <si>
    <t>Musicien</t>
  </si>
  <si>
    <t>Musiker</t>
  </si>
  <si>
    <t>Cantautor</t>
  </si>
  <si>
    <t>Musicista</t>
  </si>
  <si>
    <t>뮤지션</t>
  </si>
  <si>
    <t>音樂家</t>
  </si>
  <si>
    <t>Nurse</t>
  </si>
  <si>
    <t>ナース</t>
  </si>
  <si>
    <t>Infirmière</t>
  </si>
  <si>
    <t>Pflegerin</t>
  </si>
  <si>
    <t>Enfermera</t>
  </si>
  <si>
    <t>Infermiera</t>
  </si>
  <si>
    <t>간호사</t>
  </si>
  <si>
    <t>护士</t>
  </si>
  <si>
    <t>Nursery Aide</t>
  </si>
  <si>
    <t>ほいくし</t>
  </si>
  <si>
    <t>Maîtresse</t>
  </si>
  <si>
    <t>Erzieherin</t>
  </si>
  <si>
    <t>Seño</t>
  </si>
  <si>
    <t>Maestrina</t>
  </si>
  <si>
    <t>보육사</t>
  </si>
  <si>
    <t>幼儿园老师</t>
  </si>
  <si>
    <t>Pilot</t>
  </si>
  <si>
    <t>パイロット</t>
  </si>
  <si>
    <t>Pilote</t>
  </si>
  <si>
    <t>Piloto</t>
  </si>
  <si>
    <t>파일럿</t>
  </si>
  <si>
    <t>飛行員</t>
  </si>
  <si>
    <t>NAME_TC_PRESCHOOLER-M</t>
  </si>
  <si>
    <t>Preschooler</t>
  </si>
  <si>
    <t>えんじ</t>
  </si>
  <si>
    <t>Petit</t>
  </si>
  <si>
    <t>Vorschüler</t>
  </si>
  <si>
    <t>Preescolar</t>
  </si>
  <si>
    <t>Bimbo</t>
  </si>
  <si>
    <t>보육원아</t>
  </si>
  <si>
    <t>幼稚園小朋友</t>
  </si>
  <si>
    <t>NAME_TC_PRESCHOOLER-F</t>
  </si>
  <si>
    <t>Petite</t>
  </si>
  <si>
    <t>Bimba</t>
  </si>
  <si>
    <t>Rail Staff</t>
  </si>
  <si>
    <t>てつどういん</t>
  </si>
  <si>
    <t>Contrôleur</t>
  </si>
  <si>
    <t>Bahnangestellter</t>
  </si>
  <si>
    <t>Ferroviario</t>
  </si>
  <si>
    <t>Ferroviere</t>
  </si>
  <si>
    <t>역무원 철도원</t>
  </si>
  <si>
    <t>鐵路員工</t>
  </si>
  <si>
    <t>NAME_TC_SMASHER</t>
  </si>
  <si>
    <t>Smasher</t>
  </si>
  <si>
    <t>テニスプレイヤー</t>
  </si>
  <si>
    <t>Tenniswoman</t>
  </si>
  <si>
    <t>Tennis-Ass</t>
  </si>
  <si>
    <t>Tenista</t>
  </si>
  <si>
    <t>Tennista</t>
  </si>
  <si>
    <t>테니스선수</t>
  </si>
  <si>
    <t>网球选手</t>
  </si>
  <si>
    <t>NAME_TC_STRIKER</t>
  </si>
  <si>
    <t>Footballeur</t>
  </si>
  <si>
    <t>Fußballer</t>
  </si>
  <si>
    <t>Calciatore</t>
  </si>
  <si>
    <t>축구선수</t>
  </si>
  <si>
    <t>足球选手</t>
  </si>
  <si>
    <t>Brains &amp; Brawn</t>
  </si>
  <si>
    <t>ブレイン＆パワーズ</t>
  </si>
  <si>
    <t>Cerveau et Muscles</t>
  </si>
  <si>
    <t>Grips&amp;Muckis</t>
  </si>
  <si>
    <t>Cuerpo y mente</t>
  </si>
  <si>
    <t>Duo Braccio e Mente</t>
  </si>
  <si>
    <t>브레인＆파워즈</t>
  </si>
  <si>
    <t>智者＆強者</t>
  </si>
  <si>
    <t>Butler</t>
  </si>
  <si>
    <t>しつじ</t>
  </si>
  <si>
    <t>Majordome</t>
  </si>
  <si>
    <t>Mayordomo leal</t>
  </si>
  <si>
    <t>집사</t>
  </si>
  <si>
    <t>管家</t>
  </si>
  <si>
    <t>Chef</t>
  </si>
  <si>
    <t>りょうりにん</t>
  </si>
  <si>
    <t>Cuisinier</t>
  </si>
  <si>
    <t>Koch</t>
  </si>
  <si>
    <t>Cocinero</t>
  </si>
  <si>
    <t>요리사</t>
  </si>
  <si>
    <t>主廚</t>
  </si>
  <si>
    <t>NAME_TC_DELINQUENT</t>
  </si>
  <si>
    <t>Delinquent</t>
  </si>
  <si>
    <t>こわいおねえさん</t>
  </si>
  <si>
    <t>Terreur</t>
  </si>
  <si>
    <t>Halbstarke</t>
  </si>
  <si>
    <t>Macarra</t>
  </si>
  <si>
    <t>Tipaccia</t>
  </si>
  <si>
    <t>무서운 아가씨</t>
  </si>
  <si>
    <t>大姐頭</t>
  </si>
  <si>
    <t>Driver</t>
  </si>
  <si>
    <t>ドライバー</t>
  </si>
  <si>
    <t>Chauffeur</t>
  </si>
  <si>
    <t>Fahrer</t>
  </si>
  <si>
    <t>Conductor</t>
  </si>
  <si>
    <t>Autista</t>
  </si>
  <si>
    <t>드라이버</t>
  </si>
  <si>
    <t>司機</t>
  </si>
  <si>
    <t>Fairy Tale Girl</t>
  </si>
  <si>
    <t>メルヘンしょうじょ</t>
  </si>
  <si>
    <t>Fillette de Conte</t>
  </si>
  <si>
    <t>Träumerin</t>
  </si>
  <si>
    <t>Niña soñadora</t>
  </si>
  <si>
    <t>Ragazza delle fiabe</t>
  </si>
  <si>
    <t>메르헨소녀</t>
  </si>
  <si>
    <t>童話少女</t>
  </si>
  <si>
    <t>Furisode Girl</t>
  </si>
  <si>
    <t>ふりそで</t>
  </si>
  <si>
    <t>Fille en Kimono</t>
  </si>
  <si>
    <t>Kimono-Trägerin</t>
  </si>
  <si>
    <t>Jovencita con kimono</t>
  </si>
  <si>
    <t>Ragazza in kimono</t>
  </si>
  <si>
    <t>기모노드레스</t>
  </si>
  <si>
    <t>和服少女</t>
  </si>
  <si>
    <t>Gardener</t>
  </si>
  <si>
    <t>にわし</t>
  </si>
  <si>
    <t>Jardinier</t>
  </si>
  <si>
    <t>Gärtner</t>
  </si>
  <si>
    <t>Jardinero</t>
  </si>
  <si>
    <t>Giardiniere</t>
  </si>
  <si>
    <t>정원사</t>
  </si>
  <si>
    <t>園藝家</t>
  </si>
  <si>
    <t>Honeymooners</t>
  </si>
  <si>
    <t>ハネムーン</t>
  </si>
  <si>
    <t>Jeunes Tourtereaux</t>
  </si>
  <si>
    <t>Hochzeitsreisende</t>
  </si>
  <si>
    <t>Recién casados</t>
  </si>
  <si>
    <t>Sposini</t>
  </si>
  <si>
    <t>허니문</t>
  </si>
  <si>
    <t>蜜月夫婦</t>
  </si>
  <si>
    <t>Mysterious Sisters</t>
  </si>
  <si>
    <t>フシギしまい</t>
  </si>
  <si>
    <t>Sœurs Étranges</t>
  </si>
  <si>
    <t>Schräge Schwestern</t>
  </si>
  <si>
    <t>Hermanas misteriosas</t>
  </si>
  <si>
    <t>Sorelle Mistero</t>
  </si>
  <si>
    <t>이상한자매</t>
  </si>
  <si>
    <t>不可思議姐妹</t>
  </si>
  <si>
    <t>NAME_TC_OWNER</t>
  </si>
  <si>
    <t>Owner</t>
  </si>
  <si>
    <t>オーナー</t>
  </si>
  <si>
    <t>Propriétaire</t>
  </si>
  <si>
    <t>Gastronom</t>
  </si>
  <si>
    <t>Proprietario</t>
  </si>
  <si>
    <t>오너</t>
  </si>
  <si>
    <t>店主</t>
  </si>
  <si>
    <t>NAME_TC_POKEFANFAMILY</t>
  </si>
  <si>
    <t>だいすきふうふ</t>
  </si>
  <si>
    <t>Couple de Pokefans</t>
  </si>
  <si>
    <t>Pokefan-Pärchen</t>
  </si>
  <si>
    <t>Pareja de Pokefans</t>
  </si>
  <si>
    <t>애호가부부</t>
  </si>
  <si>
    <t>同好夫婦</t>
  </si>
  <si>
    <t>NAME_TC_PkMnPROFESSOR</t>
  </si>
  <si>
    <t>Pokemon Professor</t>
  </si>
  <si>
    <t>ポケモンはかせ</t>
  </si>
  <si>
    <t>Professeur Pokemon</t>
  </si>
  <si>
    <t>Pokemon-Professor</t>
  </si>
  <si>
    <t>Profesor Pokemon</t>
  </si>
  <si>
    <t>Professore Pokemon</t>
  </si>
  <si>
    <t>포켓몬 박사</t>
  </si>
  <si>
    <t>寶可夢博士</t>
  </si>
  <si>
    <t>Punk Girl</t>
  </si>
  <si>
    <t>バッドガール</t>
  </si>
  <si>
    <t>Vaurienne</t>
  </si>
  <si>
    <t>Chica mala</t>
  </si>
  <si>
    <t>배드걸</t>
  </si>
  <si>
    <t>壞女孩</t>
  </si>
  <si>
    <t>Punk Guy</t>
  </si>
  <si>
    <t>バッドガイ</t>
  </si>
  <si>
    <t>Vaurien</t>
  </si>
  <si>
    <t>Punker</t>
  </si>
  <si>
    <t>Chico malo</t>
  </si>
  <si>
    <t>배드가이</t>
  </si>
  <si>
    <t>壞男孩</t>
  </si>
  <si>
    <t>Rangers</t>
  </si>
  <si>
    <t>レンジャーズ</t>
  </si>
  <si>
    <t>Duo de Rangers</t>
  </si>
  <si>
    <t>Ranger</t>
  </si>
  <si>
    <t>레인저스</t>
  </si>
  <si>
    <t>雙巡護員</t>
  </si>
  <si>
    <t>NAME_TC_ROLLERSKATER-M</t>
  </si>
  <si>
    <t>Roller Skater</t>
  </si>
  <si>
    <t>ローラースケート</t>
  </si>
  <si>
    <t>Roller Skateur</t>
  </si>
  <si>
    <t>Rollerskater</t>
  </si>
  <si>
    <t>Patinador</t>
  </si>
  <si>
    <t>Pattinatore</t>
  </si>
  <si>
    <t>롤러스케이트</t>
  </si>
  <si>
    <t>溜冰手</t>
  </si>
  <si>
    <t>NAME_TC_ROLLERSKATER-F</t>
  </si>
  <si>
    <t>Roller Skateuse</t>
  </si>
  <si>
    <t>Patinadora</t>
  </si>
  <si>
    <t>Pattinatrice</t>
  </si>
  <si>
    <t>NAME_TC_RISINGSTAR-M</t>
  </si>
  <si>
    <t>Rising Star</t>
  </si>
  <si>
    <t>ホープトレーナー</t>
  </si>
  <si>
    <t>Dresseur en Herbe</t>
  </si>
  <si>
    <t>Trainerhoffnung</t>
  </si>
  <si>
    <t>Entrenador promesa</t>
  </si>
  <si>
    <t>Giovane speranza</t>
  </si>
  <si>
    <t>호프 트레이너</t>
  </si>
  <si>
    <t>新星訓練家</t>
  </si>
  <si>
    <t>NAME_TC_RISINGSTAR-F</t>
  </si>
  <si>
    <t>Dresseuse en Herbe</t>
  </si>
  <si>
    <t>Entrenadora promesa</t>
  </si>
  <si>
    <t>Schoolgirl</t>
  </si>
  <si>
    <t>スクールガール</t>
  </si>
  <si>
    <t>Écolière</t>
  </si>
  <si>
    <t>스쿨걸</t>
  </si>
  <si>
    <t>女學生</t>
  </si>
  <si>
    <t>NAME_TC_SKYTRAINER-M</t>
  </si>
  <si>
    <t>Sky Trainer</t>
  </si>
  <si>
    <t>スカイトレーナー</t>
  </si>
  <si>
    <t>Dresseur Aérien</t>
  </si>
  <si>
    <t>Himmelstrainer</t>
  </si>
  <si>
    <t>Entrenador Aéreo</t>
  </si>
  <si>
    <t>Aeroallenatore</t>
  </si>
  <si>
    <t>스카이 트레이너</t>
  </si>
  <si>
    <t>空中訓練員</t>
  </si>
  <si>
    <t>NAME_TC_SKYTRAINER-F</t>
  </si>
  <si>
    <t>Entrenadora Aérea</t>
  </si>
  <si>
    <t>Aeroallenatrice</t>
  </si>
  <si>
    <t>NAME_TC_STREETTHUG</t>
  </si>
  <si>
    <t>Street Thug</t>
  </si>
  <si>
    <t>こわいおじさん</t>
  </si>
  <si>
    <t>Raubein</t>
  </si>
  <si>
    <t>Tipaccio</t>
  </si>
  <si>
    <t>무서운 아저씨</t>
  </si>
  <si>
    <t>可怕的大叔</t>
  </si>
  <si>
    <t>NAME_TC_TOURIST-M</t>
  </si>
  <si>
    <t>Tourist</t>
  </si>
  <si>
    <t>ツアーきゃく</t>
  </si>
  <si>
    <t>Touriste</t>
  </si>
  <si>
    <t>Turista</t>
  </si>
  <si>
    <t>투어객</t>
  </si>
  <si>
    <t>旅游者</t>
  </si>
  <si>
    <t>NAME_TC_TOURIST-F</t>
  </si>
  <si>
    <t>Free Diver</t>
  </si>
  <si>
    <t>あめさん</t>
  </si>
  <si>
    <t>Pêcheuse de Perles</t>
  </si>
  <si>
    <t>Taucherin</t>
  </si>
  <si>
    <t>Buceadora</t>
  </si>
  <si>
    <t>Pescatrice di Perle</t>
  </si>
  <si>
    <t>해녀</t>
  </si>
  <si>
    <t>海女</t>
  </si>
  <si>
    <t>NAME_TC_SCUBADIVER-M</t>
  </si>
  <si>
    <t>Scuba Diver</t>
  </si>
  <si>
    <t>ダイバー</t>
  </si>
  <si>
    <t>Plongeur</t>
  </si>
  <si>
    <t>Buceador</t>
  </si>
  <si>
    <t>다이버</t>
  </si>
  <si>
    <t>潜水员</t>
  </si>
  <si>
    <t>Bellhop</t>
  </si>
  <si>
    <t>ベルボーイ</t>
  </si>
  <si>
    <t>Groom</t>
  </si>
  <si>
    <t>Hotelpage</t>
  </si>
  <si>
    <t>Botones</t>
  </si>
  <si>
    <t>Facchino</t>
  </si>
  <si>
    <t>벨보이</t>
  </si>
  <si>
    <t>行李員</t>
  </si>
  <si>
    <t>Cook</t>
  </si>
  <si>
    <t>コック</t>
  </si>
  <si>
    <t>Küchenchef</t>
  </si>
  <si>
    <t>Cuoco</t>
  </si>
  <si>
    <t>쿡</t>
  </si>
  <si>
    <t>西餐廚師</t>
  </si>
  <si>
    <t>Firefighter</t>
  </si>
  <si>
    <t>ファイヤーマン</t>
  </si>
  <si>
    <t>Pompier</t>
  </si>
  <si>
    <t>Feuerwehrmann</t>
  </si>
  <si>
    <t>Bombero</t>
  </si>
  <si>
    <t>Pompiere</t>
  </si>
  <si>
    <t>파이어맨</t>
  </si>
  <si>
    <t>消防員</t>
  </si>
  <si>
    <t>NAME_TC_ISLANDKAHUNA-M</t>
  </si>
  <si>
    <t>Island Kahuna</t>
  </si>
  <si>
    <t>しまキング</t>
  </si>
  <si>
    <t>Doyen</t>
  </si>
  <si>
    <t>Inselkönig</t>
  </si>
  <si>
    <t>Kahuna</t>
  </si>
  <si>
    <t>섬의 왕</t>
  </si>
  <si>
    <t>島嶼之王</t>
  </si>
  <si>
    <t>NAME_TC_ISLANDKAHUNA-F</t>
  </si>
  <si>
    <t>しまクイーン</t>
  </si>
  <si>
    <t>섬의 여왕</t>
  </si>
  <si>
    <t>島嶼女王</t>
  </si>
  <si>
    <t>NAME_TC_KARTENVOY</t>
  </si>
  <si>
    <t>Kartenvoy</t>
  </si>
  <si>
    <t>かみつかい</t>
  </si>
  <si>
    <t>Kata-Sensei</t>
  </si>
  <si>
    <t>Katagami-Ass</t>
  </si>
  <si>
    <t>Kartanista</t>
  </si>
  <si>
    <t>Mastro Karta</t>
  </si>
  <si>
    <t>종이 전문가</t>
  </si>
  <si>
    <t>神紙使</t>
  </si>
  <si>
    <t>NAME_TC_MASTER&amp;APPRENTICE</t>
  </si>
  <si>
    <t>Master &amp; Apprentice</t>
  </si>
  <si>
    <t>バトルしてい</t>
  </si>
  <si>
    <t>Dresseurs d'Élite</t>
  </si>
  <si>
    <t>Meister &amp; Schüler</t>
  </si>
  <si>
    <t>Luchadores de Élite</t>
  </si>
  <si>
    <t>Maestro e discepolo</t>
  </si>
  <si>
    <t>배틀사제</t>
  </si>
  <si>
    <t>對戰師徒</t>
  </si>
  <si>
    <t>Punk Pair</t>
  </si>
  <si>
    <t>バードカップル</t>
  </si>
  <si>
    <t>Vauriens</t>
  </si>
  <si>
    <t>Punker-Duo</t>
  </si>
  <si>
    <t>Pareja rebelde</t>
  </si>
  <si>
    <t>Duo Ribelle</t>
  </si>
  <si>
    <t>배드커플</t>
  </si>
  <si>
    <t>壞情侶</t>
  </si>
  <si>
    <t>Swimmers</t>
  </si>
  <si>
    <t>みずきカップル</t>
  </si>
  <si>
    <t>Couple de Nageurs</t>
  </si>
  <si>
    <t>Schwimmerpaar</t>
  </si>
  <si>
    <t>Nadadores</t>
  </si>
  <si>
    <t>Coppia di bagnanti</t>
  </si>
  <si>
    <t>수영복커플</t>
  </si>
  <si>
    <t>泳裝情侶</t>
  </si>
  <si>
    <t>Swimmer Girls</t>
  </si>
  <si>
    <t>ビキニガールズ</t>
  </si>
  <si>
    <t>Nageuses</t>
  </si>
  <si>
    <t>Schwimmerinnen</t>
  </si>
  <si>
    <t>Duo Nuotatrici</t>
  </si>
  <si>
    <t>비키니걸즈</t>
  </si>
  <si>
    <t>比基尼辣妹組合</t>
  </si>
  <si>
    <t>NAME_TC_TRIALCAPTAIN-M</t>
  </si>
  <si>
    <t>Trial Captain</t>
  </si>
  <si>
    <t>キャプテン</t>
  </si>
  <si>
    <t>Capitaine d'Épreuve</t>
  </si>
  <si>
    <t>Captain</t>
  </si>
  <si>
    <t>Capitán de prueba</t>
  </si>
  <si>
    <t>Capitano</t>
  </si>
  <si>
    <t>캡틴</t>
  </si>
  <si>
    <t>隊長</t>
  </si>
  <si>
    <t>NAME_TC_TRIALCAPTAIN-F</t>
  </si>
  <si>
    <t>Capitana de prueba</t>
  </si>
  <si>
    <t>Veteran Duo</t>
  </si>
  <si>
    <t>ベテランコンビ</t>
  </si>
  <si>
    <t>Vénérables</t>
  </si>
  <si>
    <t>Veteranen</t>
  </si>
  <si>
    <t>Dúo veterano</t>
  </si>
  <si>
    <t>Duo Veterani</t>
  </si>
  <si>
    <t>베테랑콤비</t>
  </si>
  <si>
    <t>資深組合</t>
  </si>
  <si>
    <t>NAME_TC_YOUTHATHLETE-M</t>
  </si>
  <si>
    <t>Youth Athlete</t>
  </si>
  <si>
    <t>スポーツしょうねん</t>
  </si>
  <si>
    <t>Petit Sportif</t>
  </si>
  <si>
    <t>Sportskanone</t>
  </si>
  <si>
    <t>Alevín</t>
  </si>
  <si>
    <t>Sportivo</t>
  </si>
  <si>
    <t>스포츠소년</t>
  </si>
  <si>
    <t>運動少年</t>
  </si>
  <si>
    <t>NAME_TC_YOUTHATHLETE-F</t>
  </si>
  <si>
    <t>Jeune Sportive</t>
  </si>
  <si>
    <t>Sportiva</t>
  </si>
  <si>
    <t>스포츠소녀</t>
  </si>
  <si>
    <t>運動少女</t>
  </si>
  <si>
    <t>Cabbie</t>
  </si>
  <si>
    <t>タクシードライバー</t>
  </si>
  <si>
    <t>Chauffeur de Taxi</t>
  </si>
  <si>
    <t>Taxipilot</t>
  </si>
  <si>
    <t>Aerotaxista</t>
  </si>
  <si>
    <t>Tassista</t>
  </si>
  <si>
    <t>택시 드라이버</t>
  </si>
  <si>
    <t>計程車司機</t>
  </si>
  <si>
    <t>出租车司机</t>
  </si>
  <si>
    <t>NAME_TC_CAFEMASTER</t>
  </si>
  <si>
    <t>Café Master</t>
  </si>
  <si>
    <t>マスター</t>
  </si>
  <si>
    <t>Barista</t>
  </si>
  <si>
    <t>마스터</t>
  </si>
  <si>
    <t>老闆</t>
  </si>
  <si>
    <t>Daring Couple</t>
  </si>
  <si>
    <t>きもだめしカップル</t>
  </si>
  <si>
    <t>Intrépides</t>
  </si>
  <si>
    <t>Mutproben-Pärchen</t>
  </si>
  <si>
    <t>Pareja intrépida</t>
  </si>
  <si>
    <t>Coppia intrepida</t>
  </si>
  <si>
    <t>담력시험커플</t>
  </si>
  <si>
    <t>試膽情侶</t>
  </si>
  <si>
    <t>Medical Team</t>
  </si>
  <si>
    <t>いりょうチーム</t>
  </si>
  <si>
    <t>Médecins</t>
  </si>
  <si>
    <t>Mediziner</t>
  </si>
  <si>
    <t>Equipo médico</t>
  </si>
  <si>
    <t>Équipe medica</t>
  </si>
  <si>
    <t>의료팀</t>
  </si>
  <si>
    <t>醫療團隊</t>
  </si>
  <si>
    <t>Model</t>
  </si>
  <si>
    <t>モデル</t>
  </si>
  <si>
    <t>Top Model</t>
  </si>
  <si>
    <t>Supermodelo</t>
  </si>
  <si>
    <t>Modella</t>
  </si>
  <si>
    <t>모델</t>
  </si>
  <si>
    <t>模特兒</t>
  </si>
  <si>
    <t>模特</t>
  </si>
  <si>
    <t>Postman</t>
  </si>
  <si>
    <t>ポストマン</t>
  </si>
  <si>
    <t>Facteur</t>
  </si>
  <si>
    <t>Postbote</t>
  </si>
  <si>
    <t>Cartero</t>
  </si>
  <si>
    <t>Postino</t>
  </si>
  <si>
    <t>포스트맨</t>
  </si>
  <si>
    <t>郵差</t>
  </si>
  <si>
    <t>邮递员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</si>
</sst>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Sans-serif"/>
    </font>
    <font>
      <color rgb="FF000000"/>
      <name val="Roboto"/>
    </font>
    <font>
      <sz val="10.0"/>
      <color rgb="FF202122"/>
      <name val="Arial"/>
      <scheme val="minor"/>
    </font>
    <font>
      <color rgb="FF000000"/>
      <name val="-apple-system"/>
    </font>
    <font>
      <color rgb="FF000000"/>
      <name val="Arial"/>
      <scheme val="minor"/>
    </font>
    <font>
      <sz val="11.0"/>
      <color rgb="FF000000"/>
      <name val="Inconsolata"/>
    </font>
    <font>
      <sz val="9.0"/>
      <color theme="1"/>
      <name val="Google Sans Mono"/>
    </font>
    <font>
      <b/>
      <sz val="10.0"/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2" numFmtId="0" xfId="0" applyFont="1"/>
    <xf borderId="0" fillId="2" fontId="4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horizontal="left" readingOrder="0" shrinkToFit="0" wrapText="0"/>
    </xf>
    <xf borderId="0" fillId="2" fontId="3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2" fontId="9" numFmtId="0" xfId="0" applyFont="1"/>
    <xf borderId="0" fillId="2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2" fontId="0" numFmtId="0" xfId="0" applyAlignment="1" applyFont="1">
      <alignment horizontal="left"/>
    </xf>
    <xf borderId="0" fillId="2" fontId="4" numFmtId="0" xfId="0" applyAlignment="1" applyFont="1">
      <alignment horizontal="left" readingOrder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Font="1"/>
    <xf borderId="0" fillId="0" fontId="12" numFmtId="0" xfId="0" applyAlignment="1" applyFont="1">
      <alignment readingOrder="0" vertical="bottom"/>
    </xf>
    <xf borderId="0" fillId="0" fontId="2" numFmtId="0" xfId="0" applyFont="1"/>
    <xf borderId="0" fillId="2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tr">
        <f t="shared" ref="A2:A29" si="1">CONCATENATE("NAME_PkMn_", UPPER(B2))</f>
        <v>NAME_PkMn_BULBASAUR</v>
      </c>
      <c r="B2" s="3" t="s">
        <v>10</v>
      </c>
      <c r="C2" s="4" t="s">
        <v>11</v>
      </c>
      <c r="D2" s="3" t="s">
        <v>12</v>
      </c>
      <c r="E2" s="3" t="s">
        <v>13</v>
      </c>
      <c r="F2" s="5" t="str">
        <f t="shared" ref="F2:F772" si="2">B2</f>
        <v>Bulbasaur</v>
      </c>
      <c r="G2" s="5" t="str">
        <f t="shared" ref="G2:G772" si="3">B2</f>
        <v>Bulbasaur</v>
      </c>
      <c r="H2" s="6" t="s">
        <v>14</v>
      </c>
      <c r="I2" s="5" t="str">
        <f>IFERROR(__xludf.DUMMYFUNCTION("GOOGLETRANSLATE(J2,""zh_HANS"",""zh_HANT"")"),"妙蛙種子")</f>
        <v>妙蛙種子</v>
      </c>
      <c r="J2" s="7" t="s">
        <v>15</v>
      </c>
    </row>
    <row r="3">
      <c r="A3" s="3" t="str">
        <f t="shared" si="1"/>
        <v>NAME_PkMn_IVYSAUR</v>
      </c>
      <c r="B3" s="3" t="s">
        <v>16</v>
      </c>
      <c r="C3" s="3" t="s">
        <v>17</v>
      </c>
      <c r="D3" s="3" t="s">
        <v>18</v>
      </c>
      <c r="E3" s="3" t="s">
        <v>19</v>
      </c>
      <c r="F3" s="5" t="str">
        <f t="shared" si="2"/>
        <v>Ivysaur</v>
      </c>
      <c r="G3" s="5" t="str">
        <f t="shared" si="3"/>
        <v>Ivysaur</v>
      </c>
      <c r="H3" s="3" t="s">
        <v>20</v>
      </c>
      <c r="I3" s="5" t="str">
        <f t="shared" ref="I3:I4" si="4">J3</f>
        <v>妙蛙草</v>
      </c>
      <c r="J3" s="7" t="s">
        <v>21</v>
      </c>
    </row>
    <row r="4">
      <c r="A4" s="3" t="str">
        <f t="shared" si="1"/>
        <v>NAME_PkMn_VENUSAUR</v>
      </c>
      <c r="B4" s="3" t="s">
        <v>22</v>
      </c>
      <c r="C4" s="3" t="s">
        <v>23</v>
      </c>
      <c r="D4" s="3" t="s">
        <v>24</v>
      </c>
      <c r="E4" s="3" t="s">
        <v>25</v>
      </c>
      <c r="F4" s="5" t="str">
        <f t="shared" si="2"/>
        <v>Venusaur</v>
      </c>
      <c r="G4" s="5" t="str">
        <f t="shared" si="3"/>
        <v>Venusaur</v>
      </c>
      <c r="H4" s="3" t="s">
        <v>26</v>
      </c>
      <c r="I4" s="5" t="str">
        <f t="shared" si="4"/>
        <v>妙蛙花</v>
      </c>
      <c r="J4" s="7" t="s">
        <v>27</v>
      </c>
    </row>
    <row r="5">
      <c r="A5" s="3" t="str">
        <f t="shared" si="1"/>
        <v>NAME_PkMn_CHARMANDER</v>
      </c>
      <c r="B5" s="3" t="s">
        <v>28</v>
      </c>
      <c r="C5" s="3" t="s">
        <v>29</v>
      </c>
      <c r="D5" s="3" t="s">
        <v>30</v>
      </c>
      <c r="E5" s="3" t="s">
        <v>31</v>
      </c>
      <c r="F5" s="5" t="str">
        <f t="shared" si="2"/>
        <v>Charmander</v>
      </c>
      <c r="G5" s="5" t="str">
        <f t="shared" si="3"/>
        <v>Charmander</v>
      </c>
      <c r="H5" s="3" t="s">
        <v>32</v>
      </c>
      <c r="I5" s="5" t="str">
        <f>IFERROR(__xludf.DUMMYFUNCTION("GOOGLETRANSLATE(J5,""zh_HANS"",""zh_HANT"")"),"小火龍")</f>
        <v>小火龍</v>
      </c>
      <c r="J5" s="7" t="s">
        <v>33</v>
      </c>
    </row>
    <row r="6">
      <c r="A6" s="3" t="str">
        <f t="shared" si="1"/>
        <v>NAME_PkMn_CHARMELEON</v>
      </c>
      <c r="B6" s="3" t="s">
        <v>34</v>
      </c>
      <c r="C6" s="3" t="s">
        <v>35</v>
      </c>
      <c r="D6" s="3" t="s">
        <v>36</v>
      </c>
      <c r="E6" s="3" t="s">
        <v>37</v>
      </c>
      <c r="F6" s="5" t="str">
        <f t="shared" si="2"/>
        <v>Charmeleon</v>
      </c>
      <c r="G6" s="5" t="str">
        <f t="shared" si="3"/>
        <v>Charmeleon</v>
      </c>
      <c r="H6" s="3" t="s">
        <v>38</v>
      </c>
      <c r="I6" s="5" t="str">
        <f>IFERROR(__xludf.DUMMYFUNCTION("GOOGLETRANSLATE(J6,""zh_HANS"",""zh_HANT"")"),"火恐龍")</f>
        <v>火恐龍</v>
      </c>
      <c r="J6" s="7" t="s">
        <v>39</v>
      </c>
    </row>
    <row r="7">
      <c r="A7" s="3" t="str">
        <f t="shared" si="1"/>
        <v>NAME_PkMn_CHARIZARD</v>
      </c>
      <c r="B7" s="3" t="s">
        <v>40</v>
      </c>
      <c r="C7" s="3" t="s">
        <v>41</v>
      </c>
      <c r="D7" s="3" t="s">
        <v>42</v>
      </c>
      <c r="E7" s="3" t="s">
        <v>43</v>
      </c>
      <c r="F7" s="5" t="str">
        <f t="shared" si="2"/>
        <v>Charizard</v>
      </c>
      <c r="G7" s="5" t="str">
        <f t="shared" si="3"/>
        <v>Charizard</v>
      </c>
      <c r="H7" s="3" t="s">
        <v>44</v>
      </c>
      <c r="I7" s="5" t="str">
        <f>IFERROR(__xludf.DUMMYFUNCTION("GOOGLETRANSLATE(J7,""zh_HANS"",""zh_HANT"")"),"噴火龍")</f>
        <v>噴火龍</v>
      </c>
      <c r="J7" s="7" t="s">
        <v>45</v>
      </c>
    </row>
    <row r="8">
      <c r="A8" s="3" t="str">
        <f t="shared" si="1"/>
        <v>NAME_PkMn_SQUIRTLE</v>
      </c>
      <c r="B8" s="3" t="s">
        <v>46</v>
      </c>
      <c r="C8" s="3" t="s">
        <v>47</v>
      </c>
      <c r="D8" s="3" t="s">
        <v>48</v>
      </c>
      <c r="E8" s="3" t="s">
        <v>49</v>
      </c>
      <c r="F8" s="5" t="str">
        <f t="shared" si="2"/>
        <v>Squirtle</v>
      </c>
      <c r="G8" s="5" t="str">
        <f t="shared" si="3"/>
        <v>Squirtle</v>
      </c>
      <c r="H8" s="3" t="s">
        <v>50</v>
      </c>
      <c r="I8" s="5" t="str">
        <f>IFERROR(__xludf.DUMMYFUNCTION("GOOGLETRANSLATE(J8,""zh_HANS"",""zh_HANT"")"),"傑尼龜")</f>
        <v>傑尼龜</v>
      </c>
      <c r="J8" s="7" t="s">
        <v>51</v>
      </c>
    </row>
    <row r="9">
      <c r="A9" s="3" t="str">
        <f t="shared" si="1"/>
        <v>NAME_PkMn_WARTORTLE</v>
      </c>
      <c r="B9" s="3" t="s">
        <v>52</v>
      </c>
      <c r="C9" s="3" t="s">
        <v>53</v>
      </c>
      <c r="D9" s="3" t="s">
        <v>54</v>
      </c>
      <c r="E9" s="3" t="s">
        <v>55</v>
      </c>
      <c r="F9" s="5" t="str">
        <f t="shared" si="2"/>
        <v>Wartortle</v>
      </c>
      <c r="G9" s="5" t="str">
        <f t="shared" si="3"/>
        <v>Wartortle</v>
      </c>
      <c r="H9" s="3" t="s">
        <v>56</v>
      </c>
      <c r="I9" s="5" t="str">
        <f>IFERROR(__xludf.DUMMYFUNCTION("GOOGLETRANSLATE(J9,""zh_HANS"",""zh_HANT"")"),"卡咪龜")</f>
        <v>卡咪龜</v>
      </c>
      <c r="J9" s="7" t="s">
        <v>57</v>
      </c>
    </row>
    <row r="10">
      <c r="A10" s="3" t="str">
        <f t="shared" si="1"/>
        <v>NAME_PkMn_BLASTOISE</v>
      </c>
      <c r="B10" s="3" t="s">
        <v>58</v>
      </c>
      <c r="C10" s="3" t="s">
        <v>59</v>
      </c>
      <c r="D10" s="3" t="s">
        <v>60</v>
      </c>
      <c r="E10" s="3" t="s">
        <v>61</v>
      </c>
      <c r="F10" s="5" t="str">
        <f t="shared" si="2"/>
        <v>Blastoise</v>
      </c>
      <c r="G10" s="5" t="str">
        <f t="shared" si="3"/>
        <v>Blastoise</v>
      </c>
      <c r="H10" s="3" t="s">
        <v>62</v>
      </c>
      <c r="I10" s="5" t="str">
        <f>IFERROR(__xludf.DUMMYFUNCTION("GOOGLETRANSLATE(J10,""zh_HANS"",""zh_HANT"")"),"水箭龜")</f>
        <v>水箭龜</v>
      </c>
      <c r="J10" s="7" t="s">
        <v>63</v>
      </c>
    </row>
    <row r="11">
      <c r="A11" s="3" t="str">
        <f t="shared" si="1"/>
        <v>NAME_PkMn_CATERPIE</v>
      </c>
      <c r="B11" s="3" t="s">
        <v>64</v>
      </c>
      <c r="C11" s="3" t="s">
        <v>65</v>
      </c>
      <c r="D11" s="3" t="s">
        <v>66</v>
      </c>
      <c r="E11" s="3" t="s">
        <v>67</v>
      </c>
      <c r="F11" s="5" t="str">
        <f t="shared" si="2"/>
        <v>Caterpie</v>
      </c>
      <c r="G11" s="5" t="str">
        <f t="shared" si="3"/>
        <v>Caterpie</v>
      </c>
      <c r="H11" s="3" t="s">
        <v>68</v>
      </c>
      <c r="I11" s="5" t="str">
        <f>IFERROR(__xludf.DUMMYFUNCTION("GOOGLETRANSLATE(J11,""zh_HANS"",""zh_HANT"")"),"綠毛蟲")</f>
        <v>綠毛蟲</v>
      </c>
      <c r="J11" s="7" t="s">
        <v>69</v>
      </c>
    </row>
    <row r="12">
      <c r="A12" s="3" t="str">
        <f t="shared" si="1"/>
        <v>NAME_PkMn_METAPOD</v>
      </c>
      <c r="B12" s="3" t="s">
        <v>70</v>
      </c>
      <c r="C12" s="3" t="s">
        <v>71</v>
      </c>
      <c r="D12" s="3" t="s">
        <v>72</v>
      </c>
      <c r="E12" s="3" t="s">
        <v>73</v>
      </c>
      <c r="F12" s="5" t="str">
        <f t="shared" si="2"/>
        <v>Metapod</v>
      </c>
      <c r="G12" s="5" t="str">
        <f t="shared" si="3"/>
        <v>Metapod</v>
      </c>
      <c r="H12" s="3" t="s">
        <v>74</v>
      </c>
      <c r="I12" s="3" t="s">
        <v>75</v>
      </c>
      <c r="J12" s="5" t="str">
        <f>IFERROR(__xludf.DUMMYFUNCTION("GOOGLETRANSLATE(I12,""zh_HANT"",""zh_HANS"")"),"铁甲蛹")</f>
        <v>铁甲蛹</v>
      </c>
    </row>
    <row r="13">
      <c r="A13" s="3" t="str">
        <f t="shared" si="1"/>
        <v>NAME_PkMn_BUTTERFREE</v>
      </c>
      <c r="B13" s="3" t="s">
        <v>76</v>
      </c>
      <c r="C13" s="3" t="s">
        <v>77</v>
      </c>
      <c r="D13" s="3" t="s">
        <v>78</v>
      </c>
      <c r="E13" s="3" t="s">
        <v>79</v>
      </c>
      <c r="F13" s="5" t="str">
        <f t="shared" si="2"/>
        <v>Butterfree</v>
      </c>
      <c r="G13" s="5" t="str">
        <f t="shared" si="3"/>
        <v>Butterfree</v>
      </c>
      <c r="H13" s="3" t="s">
        <v>80</v>
      </c>
      <c r="I13" s="3" t="s">
        <v>81</v>
      </c>
      <c r="J13" s="5" t="str">
        <f>I13</f>
        <v>巴大蝶</v>
      </c>
    </row>
    <row r="14">
      <c r="A14" s="3" t="str">
        <f t="shared" si="1"/>
        <v>NAME_PkMn_WEEDLE</v>
      </c>
      <c r="B14" s="3" t="s">
        <v>82</v>
      </c>
      <c r="C14" s="3" t="s">
        <v>83</v>
      </c>
      <c r="D14" s="3" t="s">
        <v>84</v>
      </c>
      <c r="E14" s="3" t="s">
        <v>85</v>
      </c>
      <c r="F14" s="5" t="str">
        <f t="shared" si="2"/>
        <v>Weedle</v>
      </c>
      <c r="G14" s="5" t="str">
        <f t="shared" si="3"/>
        <v>Weedle</v>
      </c>
      <c r="H14" s="3" t="s">
        <v>86</v>
      </c>
      <c r="I14" s="3" t="s">
        <v>87</v>
      </c>
      <c r="J14" s="5" t="str">
        <f>IFERROR(__xludf.DUMMYFUNCTION("GOOGLETRANSLATE(I14,""zh_HANT"",""zh_HANS"")"),"独角虫")</f>
        <v>独角虫</v>
      </c>
    </row>
    <row r="15">
      <c r="A15" s="3" t="str">
        <f t="shared" si="1"/>
        <v>NAME_PkMn_KAKUNA</v>
      </c>
      <c r="B15" s="3" t="s">
        <v>88</v>
      </c>
      <c r="C15" s="3" t="s">
        <v>89</v>
      </c>
      <c r="D15" s="3" t="s">
        <v>90</v>
      </c>
      <c r="E15" s="3" t="s">
        <v>91</v>
      </c>
      <c r="F15" s="5" t="str">
        <f t="shared" si="2"/>
        <v>Kakuna</v>
      </c>
      <c r="G15" s="5" t="str">
        <f t="shared" si="3"/>
        <v>Kakuna</v>
      </c>
      <c r="H15" s="3" t="s">
        <v>92</v>
      </c>
      <c r="I15" s="3" t="s">
        <v>87</v>
      </c>
      <c r="J15" s="5" t="str">
        <f>IFERROR(__xludf.DUMMYFUNCTION("GOOGLETRANSLATE(I15,""zh_HANT"",""zh_HANS"")"),"独角虫")</f>
        <v>独角虫</v>
      </c>
    </row>
    <row r="16">
      <c r="A16" s="3" t="str">
        <f t="shared" si="1"/>
        <v>NAME_PkMn_BEEDRILL</v>
      </c>
      <c r="B16" s="3" t="s">
        <v>93</v>
      </c>
      <c r="C16" s="3" t="s">
        <v>94</v>
      </c>
      <c r="D16" s="3" t="s">
        <v>95</v>
      </c>
      <c r="E16" s="3" t="s">
        <v>96</v>
      </c>
      <c r="F16" s="5" t="str">
        <f t="shared" si="2"/>
        <v>Beedrill</v>
      </c>
      <c r="G16" s="5" t="str">
        <f t="shared" si="3"/>
        <v>Beedrill</v>
      </c>
      <c r="H16" s="3" t="s">
        <v>97</v>
      </c>
      <c r="I16" s="5" t="str">
        <f>J16</f>
        <v>大针蜂</v>
      </c>
      <c r="J16" s="3" t="s">
        <v>98</v>
      </c>
    </row>
    <row r="17">
      <c r="A17" s="3" t="str">
        <f t="shared" si="1"/>
        <v>NAME_PkMn_PIDGEY</v>
      </c>
      <c r="B17" s="3" t="s">
        <v>99</v>
      </c>
      <c r="C17" s="3" t="s">
        <v>100</v>
      </c>
      <c r="D17" s="3" t="s">
        <v>101</v>
      </c>
      <c r="E17" s="3" t="s">
        <v>102</v>
      </c>
      <c r="F17" s="5" t="str">
        <f t="shared" si="2"/>
        <v>Pidgey</v>
      </c>
      <c r="G17" s="5" t="str">
        <f t="shared" si="3"/>
        <v>Pidgey</v>
      </c>
      <c r="H17" s="3" t="s">
        <v>103</v>
      </c>
      <c r="I17" s="3" t="s">
        <v>104</v>
      </c>
      <c r="J17" s="5" t="str">
        <f>I17</f>
        <v>波波</v>
      </c>
    </row>
    <row r="18">
      <c r="A18" s="3" t="str">
        <f t="shared" si="1"/>
        <v>NAME_PkMn_PIDGEOTTO</v>
      </c>
      <c r="B18" s="3" t="s">
        <v>105</v>
      </c>
      <c r="C18" s="3" t="s">
        <v>106</v>
      </c>
      <c r="D18" s="3" t="s">
        <v>107</v>
      </c>
      <c r="E18" s="3" t="s">
        <v>108</v>
      </c>
      <c r="F18" s="5" t="str">
        <f t="shared" si="2"/>
        <v>Pidgeotto</v>
      </c>
      <c r="G18" s="5" t="str">
        <f t="shared" si="3"/>
        <v>Pidgeotto</v>
      </c>
      <c r="H18" s="3" t="s">
        <v>109</v>
      </c>
      <c r="I18" s="3" t="s">
        <v>110</v>
      </c>
      <c r="J18" s="5" t="str">
        <f>IFERROR(__xludf.DUMMYFUNCTION("GOOGLETRANSLATE(I18,""zh_HANT"",""zh_HANS"")"),"比比鸟")</f>
        <v>比比鸟</v>
      </c>
    </row>
    <row r="19">
      <c r="A19" s="3" t="str">
        <f t="shared" si="1"/>
        <v>NAME_PkMn_PIDGEOT</v>
      </c>
      <c r="B19" s="3" t="s">
        <v>111</v>
      </c>
      <c r="C19" s="3" t="s">
        <v>112</v>
      </c>
      <c r="D19" s="3" t="s">
        <v>113</v>
      </c>
      <c r="E19" s="3" t="s">
        <v>114</v>
      </c>
      <c r="F19" s="5" t="str">
        <f t="shared" si="2"/>
        <v>Pidgeot</v>
      </c>
      <c r="G19" s="5" t="str">
        <f t="shared" si="3"/>
        <v>Pidgeot</v>
      </c>
      <c r="H19" s="3" t="s">
        <v>115</v>
      </c>
      <c r="I19" s="5" t="str">
        <f>IFERROR(__xludf.DUMMYFUNCTION("GOOGLETRANSLATE(J19,""zh_HANS"",""zh_HANT"")"),"大比鳥")</f>
        <v>大比鳥</v>
      </c>
      <c r="J19" s="3" t="s">
        <v>116</v>
      </c>
    </row>
    <row r="20">
      <c r="A20" s="3" t="str">
        <f t="shared" si="1"/>
        <v>NAME_PkMn_RATATTA</v>
      </c>
      <c r="B20" s="3" t="s">
        <v>117</v>
      </c>
      <c r="C20" s="3" t="s">
        <v>118</v>
      </c>
      <c r="D20" s="5" t="str">
        <f>B20</f>
        <v>Ratatta</v>
      </c>
      <c r="E20" s="3" t="s">
        <v>119</v>
      </c>
      <c r="F20" s="5" t="str">
        <f t="shared" si="2"/>
        <v>Ratatta</v>
      </c>
      <c r="G20" s="5" t="str">
        <f t="shared" si="3"/>
        <v>Ratatta</v>
      </c>
      <c r="H20" s="3" t="s">
        <v>120</v>
      </c>
      <c r="I20" s="3" t="s">
        <v>121</v>
      </c>
      <c r="J20" s="5" t="str">
        <f>IFERROR(__xludf.DUMMYFUNCTION("GOOGLETRANSLATE(I20,""zh_HANT"",""zh_HANS"")"),"小拉达")</f>
        <v>小拉达</v>
      </c>
    </row>
    <row r="21">
      <c r="A21" s="3" t="str">
        <f t="shared" si="1"/>
        <v>NAME_PkMn_RATICATE</v>
      </c>
      <c r="B21" s="3" t="s">
        <v>122</v>
      </c>
      <c r="C21" s="3" t="s">
        <v>123</v>
      </c>
      <c r="D21" s="3" t="s">
        <v>124</v>
      </c>
      <c r="E21" s="3" t="s">
        <v>125</v>
      </c>
      <c r="F21" s="5" t="str">
        <f t="shared" si="2"/>
        <v>Raticate</v>
      </c>
      <c r="G21" s="5" t="str">
        <f t="shared" si="3"/>
        <v>Raticate</v>
      </c>
      <c r="H21" s="3" t="s">
        <v>126</v>
      </c>
      <c r="I21" s="3" t="s">
        <v>127</v>
      </c>
      <c r="J21" s="5" t="str">
        <f>IFERROR(__xludf.DUMMYFUNCTION("GOOGLETRANSLATE(I21,""zh_HANT"",""zh_HANS"")"),"拉达")</f>
        <v>拉达</v>
      </c>
    </row>
    <row r="22">
      <c r="A22" s="3" t="str">
        <f t="shared" si="1"/>
        <v>NAME_PkMn_SPEAROW</v>
      </c>
      <c r="B22" s="3" t="s">
        <v>128</v>
      </c>
      <c r="C22" s="3" t="s">
        <v>129</v>
      </c>
      <c r="D22" s="3" t="s">
        <v>130</v>
      </c>
      <c r="E22" s="3" t="s">
        <v>131</v>
      </c>
      <c r="F22" s="5" t="str">
        <f t="shared" si="2"/>
        <v>Spearow</v>
      </c>
      <c r="G22" s="5" t="str">
        <f t="shared" si="3"/>
        <v>Spearow</v>
      </c>
      <c r="H22" s="3" t="s">
        <v>132</v>
      </c>
      <c r="I22" s="3" t="s">
        <v>133</v>
      </c>
      <c r="J22" s="5" t="str">
        <f t="shared" ref="J22:J25" si="5">I22</f>
        <v>烈雀</v>
      </c>
    </row>
    <row r="23">
      <c r="A23" s="3" t="str">
        <f t="shared" si="1"/>
        <v>NAME_PkMn_FEAROW</v>
      </c>
      <c r="B23" s="3" t="s">
        <v>134</v>
      </c>
      <c r="C23" s="3" t="s">
        <v>135</v>
      </c>
      <c r="D23" s="3" t="s">
        <v>136</v>
      </c>
      <c r="E23" s="3" t="s">
        <v>137</v>
      </c>
      <c r="F23" s="5" t="str">
        <f t="shared" si="2"/>
        <v>Fearow</v>
      </c>
      <c r="G23" s="5" t="str">
        <f t="shared" si="3"/>
        <v>Fearow</v>
      </c>
      <c r="H23" s="3" t="s">
        <v>138</v>
      </c>
      <c r="I23" s="3" t="s">
        <v>139</v>
      </c>
      <c r="J23" s="5" t="str">
        <f t="shared" si="5"/>
        <v>大嘴雀</v>
      </c>
    </row>
    <row r="24">
      <c r="A24" s="3" t="str">
        <f t="shared" si="1"/>
        <v>NAME_PkMn_EKANS</v>
      </c>
      <c r="B24" s="3" t="s">
        <v>140</v>
      </c>
      <c r="C24" s="3" t="s">
        <v>141</v>
      </c>
      <c r="D24" s="3" t="s">
        <v>142</v>
      </c>
      <c r="E24" s="3" t="s">
        <v>143</v>
      </c>
      <c r="F24" s="5" t="str">
        <f t="shared" si="2"/>
        <v>Ekans</v>
      </c>
      <c r="G24" s="5" t="str">
        <f t="shared" si="3"/>
        <v>Ekans</v>
      </c>
      <c r="H24" s="3" t="s">
        <v>144</v>
      </c>
      <c r="I24" s="3" t="s">
        <v>145</v>
      </c>
      <c r="J24" s="5" t="str">
        <f t="shared" si="5"/>
        <v>阿柏蛇</v>
      </c>
    </row>
    <row r="25">
      <c r="A25" s="3" t="str">
        <f t="shared" si="1"/>
        <v>NAME_PkMn_ARBOK</v>
      </c>
      <c r="B25" s="3" t="s">
        <v>146</v>
      </c>
      <c r="C25" s="3" t="s">
        <v>147</v>
      </c>
      <c r="D25" s="5" t="str">
        <f t="shared" ref="D25:D27" si="6">B25</f>
        <v>Arbok</v>
      </c>
      <c r="E25" s="5" t="str">
        <f t="shared" ref="E25:E27" si="7">B25</f>
        <v>Arbok</v>
      </c>
      <c r="F25" s="5" t="str">
        <f t="shared" si="2"/>
        <v>Arbok</v>
      </c>
      <c r="G25" s="5" t="str">
        <f t="shared" si="3"/>
        <v>Arbok</v>
      </c>
      <c r="H25" s="3" t="s">
        <v>148</v>
      </c>
      <c r="I25" s="3" t="s">
        <v>149</v>
      </c>
      <c r="J25" s="5" t="str">
        <f t="shared" si="5"/>
        <v>阿柏怪</v>
      </c>
    </row>
    <row r="26">
      <c r="A26" s="3" t="str">
        <f t="shared" si="1"/>
        <v>NAME_PkMn_PIKACHU</v>
      </c>
      <c r="B26" s="3" t="s">
        <v>150</v>
      </c>
      <c r="C26" s="3" t="s">
        <v>151</v>
      </c>
      <c r="D26" s="5" t="str">
        <f t="shared" si="6"/>
        <v>Pikachu</v>
      </c>
      <c r="E26" s="5" t="str">
        <f t="shared" si="7"/>
        <v>Pikachu</v>
      </c>
      <c r="F26" s="5" t="str">
        <f t="shared" si="2"/>
        <v>Pikachu</v>
      </c>
      <c r="G26" s="5" t="str">
        <f t="shared" si="3"/>
        <v>Pikachu</v>
      </c>
      <c r="H26" s="3" t="s">
        <v>152</v>
      </c>
      <c r="I26" s="5" t="str">
        <f>J26</f>
        <v>皮卡丘</v>
      </c>
      <c r="J26" s="7" t="s">
        <v>153</v>
      </c>
    </row>
    <row r="27">
      <c r="A27" s="3" t="str">
        <f t="shared" si="1"/>
        <v>NAME_PkMn_RAICHU</v>
      </c>
      <c r="B27" s="3" t="s">
        <v>154</v>
      </c>
      <c r="C27" s="3" t="s">
        <v>155</v>
      </c>
      <c r="D27" s="5" t="str">
        <f t="shared" si="6"/>
        <v>Raichu</v>
      </c>
      <c r="E27" s="5" t="str">
        <f t="shared" si="7"/>
        <v>Raichu</v>
      </c>
      <c r="F27" s="5" t="str">
        <f t="shared" si="2"/>
        <v>Raichu</v>
      </c>
      <c r="G27" s="5" t="str">
        <f t="shared" si="3"/>
        <v>Raichu</v>
      </c>
      <c r="H27" s="3" t="s">
        <v>156</v>
      </c>
      <c r="I27" s="3" t="s">
        <v>157</v>
      </c>
      <c r="J27" s="5" t="str">
        <f t="shared" ref="J27:J29" si="8">I27</f>
        <v>雷丘</v>
      </c>
    </row>
    <row r="28">
      <c r="A28" s="3" t="str">
        <f t="shared" si="1"/>
        <v>NAME_PkMn_SANDSHREW</v>
      </c>
      <c r="B28" s="3" t="s">
        <v>158</v>
      </c>
      <c r="C28" s="3" t="s">
        <v>159</v>
      </c>
      <c r="D28" s="3" t="s">
        <v>160</v>
      </c>
      <c r="E28" s="3" t="s">
        <v>161</v>
      </c>
      <c r="F28" s="5" t="str">
        <f t="shared" si="2"/>
        <v>Sandshrew</v>
      </c>
      <c r="G28" s="5" t="str">
        <f t="shared" si="3"/>
        <v>Sandshrew</v>
      </c>
      <c r="H28" s="3" t="s">
        <v>162</v>
      </c>
      <c r="I28" s="3" t="s">
        <v>163</v>
      </c>
      <c r="J28" s="5" t="str">
        <f t="shared" si="8"/>
        <v>穿山鼠</v>
      </c>
    </row>
    <row r="29">
      <c r="A29" s="3" t="str">
        <f t="shared" si="1"/>
        <v>NAME_PkMn_SANDSLASH</v>
      </c>
      <c r="B29" s="3" t="s">
        <v>164</v>
      </c>
      <c r="C29" s="3" t="s">
        <v>165</v>
      </c>
      <c r="D29" s="3" t="s">
        <v>166</v>
      </c>
      <c r="E29" s="3" t="s">
        <v>167</v>
      </c>
      <c r="F29" s="5" t="str">
        <f t="shared" si="2"/>
        <v>Sandslash</v>
      </c>
      <c r="G29" s="5" t="str">
        <f t="shared" si="3"/>
        <v>Sandslash</v>
      </c>
      <c r="H29" s="3" t="s">
        <v>168</v>
      </c>
      <c r="I29" s="3" t="s">
        <v>169</v>
      </c>
      <c r="J29" s="5" t="str">
        <f t="shared" si="8"/>
        <v>穿山王</v>
      </c>
    </row>
    <row r="30">
      <c r="A30" s="3" t="s">
        <v>170</v>
      </c>
      <c r="B30" s="3" t="str">
        <f>CONCATENATE("Nidoran", CHAR(9792))</f>
        <v>Nidoran♀</v>
      </c>
      <c r="C30" s="3" t="s">
        <v>171</v>
      </c>
      <c r="D30" s="5" t="str">
        <f t="shared" ref="D30:D35" si="9">B30</f>
        <v>Nidoran♀</v>
      </c>
      <c r="E30" s="5" t="str">
        <f t="shared" ref="E30:E35" si="10">B30</f>
        <v>Nidoran♀</v>
      </c>
      <c r="F30" s="5" t="str">
        <f t="shared" si="2"/>
        <v>Nidoran♀</v>
      </c>
      <c r="G30" s="5" t="str">
        <f t="shared" si="3"/>
        <v>Nidoran♀</v>
      </c>
      <c r="H30" s="3" t="s">
        <v>172</v>
      </c>
      <c r="I30" s="3" t="s">
        <v>173</v>
      </c>
      <c r="J30" s="5" t="str">
        <f>IFERROR(__xludf.DUMMYFUNCTION("GOOGLETRANSLATE(I30,""zh_HANT"",""zh_HANS"")"),"尼多兰")</f>
        <v>尼多兰</v>
      </c>
    </row>
    <row r="31">
      <c r="A31" s="3" t="str">
        <f t="shared" ref="A31:A32" si="11">CONCATENATE("NAME_PkMn_", UPPER(B31))</f>
        <v>NAME_PkMn_NIDORINA</v>
      </c>
      <c r="B31" s="3" t="s">
        <v>174</v>
      </c>
      <c r="C31" s="3" t="s">
        <v>175</v>
      </c>
      <c r="D31" s="5" t="str">
        <f t="shared" si="9"/>
        <v>Nidorina</v>
      </c>
      <c r="E31" s="5" t="str">
        <f t="shared" si="10"/>
        <v>Nidorina</v>
      </c>
      <c r="F31" s="5" t="str">
        <f t="shared" si="2"/>
        <v>Nidorina</v>
      </c>
      <c r="G31" s="5" t="str">
        <f t="shared" si="3"/>
        <v>Nidorina</v>
      </c>
      <c r="H31" s="3" t="s">
        <v>176</v>
      </c>
      <c r="I31" s="3" t="s">
        <v>177</v>
      </c>
      <c r="J31" s="5" t="str">
        <f t="shared" ref="J31:J33" si="12">I31</f>
        <v>尼多娜</v>
      </c>
    </row>
    <row r="32">
      <c r="A32" s="3" t="str">
        <f t="shared" si="11"/>
        <v>NAME_PkMn_NIDOQUEEN</v>
      </c>
      <c r="B32" s="3" t="s">
        <v>178</v>
      </c>
      <c r="C32" s="3" t="s">
        <v>179</v>
      </c>
      <c r="D32" s="5" t="str">
        <f t="shared" si="9"/>
        <v>Nidoqueen</v>
      </c>
      <c r="E32" s="5" t="str">
        <f t="shared" si="10"/>
        <v>Nidoqueen</v>
      </c>
      <c r="F32" s="5" t="str">
        <f t="shared" si="2"/>
        <v>Nidoqueen</v>
      </c>
      <c r="G32" s="5" t="str">
        <f t="shared" si="3"/>
        <v>Nidoqueen</v>
      </c>
      <c r="H32" s="3" t="s">
        <v>180</v>
      </c>
      <c r="I32" s="3" t="s">
        <v>181</v>
      </c>
      <c r="J32" s="5" t="str">
        <f t="shared" si="12"/>
        <v>尼多后</v>
      </c>
    </row>
    <row r="33">
      <c r="A33" s="3" t="s">
        <v>182</v>
      </c>
      <c r="B33" s="3" t="str">
        <f>CONCATENATE("Nidoran", CHAR(9794))</f>
        <v>Nidoran♂</v>
      </c>
      <c r="C33" s="3" t="s">
        <v>183</v>
      </c>
      <c r="D33" s="5" t="str">
        <f t="shared" si="9"/>
        <v>Nidoran♂</v>
      </c>
      <c r="E33" s="5" t="str">
        <f t="shared" si="10"/>
        <v>Nidoran♂</v>
      </c>
      <c r="F33" s="5" t="str">
        <f t="shared" si="2"/>
        <v>Nidoran♂</v>
      </c>
      <c r="G33" s="5" t="str">
        <f t="shared" si="3"/>
        <v>Nidoran♂</v>
      </c>
      <c r="H33" s="3" t="s">
        <v>184</v>
      </c>
      <c r="I33" s="3" t="s">
        <v>185</v>
      </c>
      <c r="J33" s="5" t="str">
        <f t="shared" si="12"/>
        <v>尼多朗</v>
      </c>
    </row>
    <row r="34">
      <c r="A34" s="3" t="str">
        <f t="shared" ref="A34:A83" si="13">CONCATENATE("NAME_PkMn_", UPPER(B34))</f>
        <v>NAME_PkMn_NIDORINO</v>
      </c>
      <c r="B34" s="3" t="s">
        <v>186</v>
      </c>
      <c r="C34" s="3" t="s">
        <v>187</v>
      </c>
      <c r="D34" s="5" t="str">
        <f t="shared" si="9"/>
        <v>Nidorino</v>
      </c>
      <c r="E34" s="5" t="str">
        <f t="shared" si="10"/>
        <v>Nidorino</v>
      </c>
      <c r="F34" s="5" t="str">
        <f t="shared" si="2"/>
        <v>Nidorino</v>
      </c>
      <c r="G34" s="5" t="str">
        <f t="shared" si="3"/>
        <v>Nidorino</v>
      </c>
      <c r="H34" s="3" t="s">
        <v>188</v>
      </c>
      <c r="I34" s="3" t="s">
        <v>189</v>
      </c>
      <c r="J34" s="5" t="str">
        <f>IFERROR(__xludf.DUMMYFUNCTION("GOOGLETRANSLATE(I34,""zh_HANT"",""zh_HANS"")"),"尼多力诺")</f>
        <v>尼多力诺</v>
      </c>
    </row>
    <row r="35">
      <c r="A35" s="3" t="str">
        <f t="shared" si="13"/>
        <v>NAME_PkMn_NIDOKING</v>
      </c>
      <c r="B35" s="3" t="s">
        <v>190</v>
      </c>
      <c r="C35" s="3" t="s">
        <v>191</v>
      </c>
      <c r="D35" s="5" t="str">
        <f t="shared" si="9"/>
        <v>Nidoking</v>
      </c>
      <c r="E35" s="5" t="str">
        <f t="shared" si="10"/>
        <v>Nidoking</v>
      </c>
      <c r="F35" s="5" t="str">
        <f t="shared" si="2"/>
        <v>Nidoking</v>
      </c>
      <c r="G35" s="5" t="str">
        <f t="shared" si="3"/>
        <v>Nidoking</v>
      </c>
      <c r="H35" s="3" t="s">
        <v>192</v>
      </c>
      <c r="I35" s="3" t="s">
        <v>193</v>
      </c>
      <c r="J35" s="5" t="str">
        <f t="shared" ref="J35:J49" si="14">I35</f>
        <v>尼多王</v>
      </c>
    </row>
    <row r="36">
      <c r="A36" s="3" t="str">
        <f t="shared" si="13"/>
        <v>NAME_PkMn_CLEFAIRY</v>
      </c>
      <c r="B36" s="3" t="s">
        <v>194</v>
      </c>
      <c r="C36" s="3" t="s">
        <v>195</v>
      </c>
      <c r="D36" s="3" t="s">
        <v>196</v>
      </c>
      <c r="E36" s="3" t="s">
        <v>197</v>
      </c>
      <c r="F36" s="5" t="str">
        <f t="shared" si="2"/>
        <v>Clefairy</v>
      </c>
      <c r="G36" s="5" t="str">
        <f t="shared" si="3"/>
        <v>Clefairy</v>
      </c>
      <c r="H36" s="3" t="s">
        <v>198</v>
      </c>
      <c r="I36" s="3" t="s">
        <v>199</v>
      </c>
      <c r="J36" s="5" t="str">
        <f t="shared" si="14"/>
        <v>皮皮</v>
      </c>
    </row>
    <row r="37">
      <c r="A37" s="3" t="str">
        <f t="shared" si="13"/>
        <v>NAME_PkMn_CLEFABLE</v>
      </c>
      <c r="B37" s="3" t="s">
        <v>200</v>
      </c>
      <c r="C37" s="3" t="s">
        <v>201</v>
      </c>
      <c r="D37" s="3" t="s">
        <v>202</v>
      </c>
      <c r="E37" s="3" t="s">
        <v>203</v>
      </c>
      <c r="F37" s="5" t="str">
        <f t="shared" si="2"/>
        <v>Clefable</v>
      </c>
      <c r="G37" s="5" t="str">
        <f t="shared" si="3"/>
        <v>Clefable</v>
      </c>
      <c r="H37" s="3" t="s">
        <v>204</v>
      </c>
      <c r="I37" s="3" t="s">
        <v>205</v>
      </c>
      <c r="J37" s="5" t="str">
        <f t="shared" si="14"/>
        <v>皮可西</v>
      </c>
    </row>
    <row r="38">
      <c r="A38" s="3" t="str">
        <f t="shared" si="13"/>
        <v>NAME_PkMn_VULPIX</v>
      </c>
      <c r="B38" s="3" t="s">
        <v>206</v>
      </c>
      <c r="C38" s="3" t="s">
        <v>207</v>
      </c>
      <c r="D38" s="3" t="s">
        <v>208</v>
      </c>
      <c r="E38" s="5" t="str">
        <f>B38</f>
        <v>Vulpix</v>
      </c>
      <c r="F38" s="5" t="str">
        <f t="shared" si="2"/>
        <v>Vulpix</v>
      </c>
      <c r="G38" s="5" t="str">
        <f t="shared" si="3"/>
        <v>Vulpix</v>
      </c>
      <c r="H38" s="3" t="s">
        <v>209</v>
      </c>
      <c r="I38" s="3" t="s">
        <v>210</v>
      </c>
      <c r="J38" s="5" t="str">
        <f t="shared" si="14"/>
        <v>六尾</v>
      </c>
    </row>
    <row r="39">
      <c r="A39" s="3" t="str">
        <f t="shared" si="13"/>
        <v>NAME_PkMn_NINETALES</v>
      </c>
      <c r="B39" s="3" t="s">
        <v>211</v>
      </c>
      <c r="C39" s="3" t="s">
        <v>212</v>
      </c>
      <c r="D39" s="3" t="s">
        <v>213</v>
      </c>
      <c r="E39" s="3" t="s">
        <v>214</v>
      </c>
      <c r="F39" s="5" t="str">
        <f t="shared" si="2"/>
        <v>Ninetales</v>
      </c>
      <c r="G39" s="5" t="str">
        <f t="shared" si="3"/>
        <v>Ninetales</v>
      </c>
      <c r="H39" s="3" t="s">
        <v>215</v>
      </c>
      <c r="I39" s="3" t="s">
        <v>216</v>
      </c>
      <c r="J39" s="5" t="str">
        <f t="shared" si="14"/>
        <v>九尾</v>
      </c>
    </row>
    <row r="40">
      <c r="A40" s="3" t="str">
        <f t="shared" si="13"/>
        <v>NAME_PkMn_JIGGLYPUFF</v>
      </c>
      <c r="B40" s="3" t="s">
        <v>217</v>
      </c>
      <c r="C40" s="3" t="s">
        <v>218</v>
      </c>
      <c r="D40" s="3" t="s">
        <v>219</v>
      </c>
      <c r="E40" s="3" t="s">
        <v>220</v>
      </c>
      <c r="F40" s="5" t="str">
        <f t="shared" si="2"/>
        <v>Jigglypuff</v>
      </c>
      <c r="G40" s="5" t="str">
        <f t="shared" si="3"/>
        <v>Jigglypuff</v>
      </c>
      <c r="H40" s="3" t="s">
        <v>221</v>
      </c>
      <c r="I40" s="3" t="s">
        <v>222</v>
      </c>
      <c r="J40" s="5" t="str">
        <f t="shared" si="14"/>
        <v>胖丁</v>
      </c>
    </row>
    <row r="41">
      <c r="A41" s="3" t="str">
        <f t="shared" si="13"/>
        <v>NAME_PkMn_WIGGLYTUFF</v>
      </c>
      <c r="B41" s="3" t="s">
        <v>223</v>
      </c>
      <c r="C41" s="3" t="s">
        <v>224</v>
      </c>
      <c r="D41" s="3" t="s">
        <v>225</v>
      </c>
      <c r="E41" s="3" t="s">
        <v>226</v>
      </c>
      <c r="F41" s="5" t="str">
        <f t="shared" si="2"/>
        <v>Wigglytuff</v>
      </c>
      <c r="G41" s="5" t="str">
        <f t="shared" si="3"/>
        <v>Wigglytuff</v>
      </c>
      <c r="H41" s="3" t="s">
        <v>227</v>
      </c>
      <c r="I41" s="3" t="s">
        <v>228</v>
      </c>
      <c r="J41" s="5" t="str">
        <f t="shared" si="14"/>
        <v>胖可丁</v>
      </c>
    </row>
    <row r="42">
      <c r="A42" s="3" t="str">
        <f t="shared" si="13"/>
        <v>NAME_PkMn_ZUBAT</v>
      </c>
      <c r="B42" s="3" t="s">
        <v>229</v>
      </c>
      <c r="C42" s="3" t="s">
        <v>230</v>
      </c>
      <c r="D42" s="3" t="s">
        <v>231</v>
      </c>
      <c r="E42" s="5" t="str">
        <f t="shared" ref="E42:E43" si="15">B42</f>
        <v>Zubat</v>
      </c>
      <c r="F42" s="5" t="str">
        <f t="shared" si="2"/>
        <v>Zubat</v>
      </c>
      <c r="G42" s="5" t="str">
        <f t="shared" si="3"/>
        <v>Zubat</v>
      </c>
      <c r="H42" s="3" t="s">
        <v>232</v>
      </c>
      <c r="I42" s="3" t="s">
        <v>233</v>
      </c>
      <c r="J42" s="5" t="str">
        <f t="shared" si="14"/>
        <v>超音蝠</v>
      </c>
    </row>
    <row r="43">
      <c r="A43" s="3" t="str">
        <f t="shared" si="13"/>
        <v>NAME_PkMn_GOLBAT</v>
      </c>
      <c r="B43" s="3" t="s">
        <v>234</v>
      </c>
      <c r="C43" s="3" t="s">
        <v>235</v>
      </c>
      <c r="D43" s="3" t="s">
        <v>236</v>
      </c>
      <c r="E43" s="5" t="str">
        <f t="shared" si="15"/>
        <v>Golbat</v>
      </c>
      <c r="F43" s="5" t="str">
        <f t="shared" si="2"/>
        <v>Golbat</v>
      </c>
      <c r="G43" s="5" t="str">
        <f t="shared" si="3"/>
        <v>Golbat</v>
      </c>
      <c r="H43" s="3" t="s">
        <v>237</v>
      </c>
      <c r="I43" s="3" t="s">
        <v>238</v>
      </c>
      <c r="J43" s="5" t="str">
        <f t="shared" si="14"/>
        <v>大嘴蝠</v>
      </c>
    </row>
    <row r="44">
      <c r="A44" s="3" t="str">
        <f t="shared" si="13"/>
        <v>NAME_PkMn_ODDISH</v>
      </c>
      <c r="B44" s="3" t="s">
        <v>239</v>
      </c>
      <c r="C44" s="3" t="s">
        <v>240</v>
      </c>
      <c r="D44" s="3" t="s">
        <v>241</v>
      </c>
      <c r="E44" s="3" t="s">
        <v>242</v>
      </c>
      <c r="F44" s="5" t="str">
        <f t="shared" si="2"/>
        <v>Oddish</v>
      </c>
      <c r="G44" s="5" t="str">
        <f t="shared" si="3"/>
        <v>Oddish</v>
      </c>
      <c r="H44" s="3" t="s">
        <v>243</v>
      </c>
      <c r="I44" s="3" t="s">
        <v>244</v>
      </c>
      <c r="J44" s="5" t="str">
        <f t="shared" si="14"/>
        <v>走路草</v>
      </c>
    </row>
    <row r="45">
      <c r="A45" s="3" t="str">
        <f t="shared" si="13"/>
        <v>NAME_PkMn_GLOOM</v>
      </c>
      <c r="B45" s="3" t="s">
        <v>245</v>
      </c>
      <c r="C45" s="3" t="s">
        <v>246</v>
      </c>
      <c r="D45" s="3" t="s">
        <v>247</v>
      </c>
      <c r="E45" s="3" t="s">
        <v>248</v>
      </c>
      <c r="F45" s="5" t="str">
        <f t="shared" si="2"/>
        <v>Gloom</v>
      </c>
      <c r="G45" s="5" t="str">
        <f t="shared" si="3"/>
        <v>Gloom</v>
      </c>
      <c r="H45" s="3" t="s">
        <v>249</v>
      </c>
      <c r="I45" s="3" t="s">
        <v>250</v>
      </c>
      <c r="J45" s="5" t="str">
        <f t="shared" si="14"/>
        <v>臭臭花</v>
      </c>
    </row>
    <row r="46">
      <c r="A46" s="3" t="str">
        <f t="shared" si="13"/>
        <v>NAME_PkMn_VILEPLUME</v>
      </c>
      <c r="B46" s="3" t="s">
        <v>251</v>
      </c>
      <c r="C46" s="3" t="s">
        <v>252</v>
      </c>
      <c r="D46" s="3" t="s">
        <v>253</v>
      </c>
      <c r="E46" s="3" t="s">
        <v>254</v>
      </c>
      <c r="F46" s="5" t="str">
        <f t="shared" si="2"/>
        <v>Vileplume</v>
      </c>
      <c r="G46" s="5" t="str">
        <f t="shared" si="3"/>
        <v>Vileplume</v>
      </c>
      <c r="H46" s="3" t="s">
        <v>255</v>
      </c>
      <c r="I46" s="3" t="s">
        <v>256</v>
      </c>
      <c r="J46" s="5" t="str">
        <f t="shared" si="14"/>
        <v>霸王花</v>
      </c>
    </row>
    <row r="47">
      <c r="A47" s="3" t="str">
        <f t="shared" si="13"/>
        <v>NAME_PkMn_PARAS</v>
      </c>
      <c r="B47" s="3" t="s">
        <v>257</v>
      </c>
      <c r="C47" s="3" t="s">
        <v>258</v>
      </c>
      <c r="D47" s="5" t="str">
        <f t="shared" ref="D47:D48" si="16">B47</f>
        <v>Paras</v>
      </c>
      <c r="E47" s="5" t="str">
        <f>B47</f>
        <v>Paras</v>
      </c>
      <c r="F47" s="5" t="str">
        <f t="shared" si="2"/>
        <v>Paras</v>
      </c>
      <c r="G47" s="5" t="str">
        <f t="shared" si="3"/>
        <v>Paras</v>
      </c>
      <c r="H47" s="3" t="s">
        <v>259</v>
      </c>
      <c r="I47" s="3" t="s">
        <v>260</v>
      </c>
      <c r="J47" s="5" t="str">
        <f t="shared" si="14"/>
        <v>派拉斯</v>
      </c>
    </row>
    <row r="48">
      <c r="A48" s="3" t="str">
        <f t="shared" si="13"/>
        <v>NAME_PkMn_PARASECT</v>
      </c>
      <c r="B48" s="3" t="s">
        <v>261</v>
      </c>
      <c r="C48" s="3" t="s">
        <v>262</v>
      </c>
      <c r="D48" s="5" t="str">
        <f t="shared" si="16"/>
        <v>Parasect</v>
      </c>
      <c r="E48" s="3" t="s">
        <v>263</v>
      </c>
      <c r="F48" s="5" t="str">
        <f t="shared" si="2"/>
        <v>Parasect</v>
      </c>
      <c r="G48" s="5" t="str">
        <f t="shared" si="3"/>
        <v>Parasect</v>
      </c>
      <c r="H48" s="3" t="s">
        <v>264</v>
      </c>
      <c r="I48" s="3" t="s">
        <v>265</v>
      </c>
      <c r="J48" s="5" t="str">
        <f t="shared" si="14"/>
        <v>派拉斯特</v>
      </c>
    </row>
    <row r="49">
      <c r="A49" s="3" t="str">
        <f t="shared" si="13"/>
        <v>NAME_PkMn_VENONAT</v>
      </c>
      <c r="B49" s="3" t="s">
        <v>266</v>
      </c>
      <c r="C49" s="3" t="s">
        <v>267</v>
      </c>
      <c r="D49" s="3" t="s">
        <v>268</v>
      </c>
      <c r="E49" s="3" t="s">
        <v>269</v>
      </c>
      <c r="F49" s="5" t="str">
        <f t="shared" si="2"/>
        <v>Venonat</v>
      </c>
      <c r="G49" s="5" t="str">
        <f t="shared" si="3"/>
        <v>Venonat</v>
      </c>
      <c r="H49" s="3" t="s">
        <v>270</v>
      </c>
      <c r="I49" s="6" t="s">
        <v>271</v>
      </c>
      <c r="J49" s="5" t="str">
        <f t="shared" si="14"/>
        <v>毛球</v>
      </c>
    </row>
    <row r="50">
      <c r="A50" s="3" t="str">
        <f t="shared" si="13"/>
        <v>NAME_PkMn_VENOMOTH</v>
      </c>
      <c r="B50" s="3" t="s">
        <v>272</v>
      </c>
      <c r="C50" s="3" t="s">
        <v>273</v>
      </c>
      <c r="D50" s="3" t="s">
        <v>274</v>
      </c>
      <c r="E50" s="3" t="s">
        <v>275</v>
      </c>
      <c r="F50" s="5" t="str">
        <f t="shared" si="2"/>
        <v>Venomoth</v>
      </c>
      <c r="G50" s="5" t="str">
        <f t="shared" si="3"/>
        <v>Venomoth</v>
      </c>
      <c r="H50" s="3" t="s">
        <v>276</v>
      </c>
      <c r="I50" s="3" t="s">
        <v>277</v>
      </c>
      <c r="J50" s="5" t="str">
        <f>IFERROR(__xludf.DUMMYFUNCTION("GOOGLETRANSLATE(I50,""zh_HANT"",""zh_HANS"")"),"摩鲁蛾")</f>
        <v>摩鲁蛾</v>
      </c>
    </row>
    <row r="51">
      <c r="A51" s="3" t="str">
        <f t="shared" si="13"/>
        <v>NAME_PkMn_DIGLETT</v>
      </c>
      <c r="B51" s="3" t="s">
        <v>278</v>
      </c>
      <c r="C51" s="3" t="s">
        <v>279</v>
      </c>
      <c r="D51" s="3" t="s">
        <v>280</v>
      </c>
      <c r="E51" s="3" t="s">
        <v>281</v>
      </c>
      <c r="F51" s="5" t="str">
        <f t="shared" si="2"/>
        <v>Diglett</v>
      </c>
      <c r="G51" s="5" t="str">
        <f t="shared" si="3"/>
        <v>Diglett</v>
      </c>
      <c r="H51" s="3" t="s">
        <v>282</v>
      </c>
      <c r="I51" s="3" t="s">
        <v>283</v>
      </c>
      <c r="J51" s="5" t="str">
        <f t="shared" ref="J51:J54" si="17">I51</f>
        <v>地鼠</v>
      </c>
    </row>
    <row r="52">
      <c r="A52" s="3" t="str">
        <f t="shared" si="13"/>
        <v>NAME_PkMn_DUGTRIO</v>
      </c>
      <c r="B52" s="3" t="s">
        <v>284</v>
      </c>
      <c r="C52" s="3" t="s">
        <v>285</v>
      </c>
      <c r="D52" s="3" t="s">
        <v>286</v>
      </c>
      <c r="E52" s="3" t="s">
        <v>287</v>
      </c>
      <c r="F52" s="5" t="str">
        <f t="shared" si="2"/>
        <v>Dugtrio</v>
      </c>
      <c r="G52" s="5" t="str">
        <f t="shared" si="3"/>
        <v>Dugtrio</v>
      </c>
      <c r="H52" s="3" t="s">
        <v>288</v>
      </c>
      <c r="I52" s="3" t="s">
        <v>289</v>
      </c>
      <c r="J52" s="5" t="str">
        <f t="shared" si="17"/>
        <v>三地鼠</v>
      </c>
    </row>
    <row r="53">
      <c r="A53" s="3" t="str">
        <f t="shared" si="13"/>
        <v>NAME_PkMn_MEOWTH</v>
      </c>
      <c r="B53" s="3" t="s">
        <v>290</v>
      </c>
      <c r="C53" s="3" t="s">
        <v>291</v>
      </c>
      <c r="D53" s="3" t="s">
        <v>292</v>
      </c>
      <c r="E53" s="3" t="s">
        <v>293</v>
      </c>
      <c r="F53" s="5" t="str">
        <f t="shared" si="2"/>
        <v>Meowth</v>
      </c>
      <c r="G53" s="5" t="str">
        <f t="shared" si="3"/>
        <v>Meowth</v>
      </c>
      <c r="H53" s="3" t="s">
        <v>294</v>
      </c>
      <c r="I53" s="3" t="s">
        <v>295</v>
      </c>
      <c r="J53" s="5" t="str">
        <f t="shared" si="17"/>
        <v>喵喵</v>
      </c>
    </row>
    <row r="54">
      <c r="A54" s="3" t="str">
        <f t="shared" si="13"/>
        <v>NAME_PkMn_PERSIAN</v>
      </c>
      <c r="B54" s="3" t="s">
        <v>296</v>
      </c>
      <c r="C54" s="3" t="s">
        <v>297</v>
      </c>
      <c r="D54" s="5" t="str">
        <f>B54</f>
        <v>Persian</v>
      </c>
      <c r="E54" s="3" t="s">
        <v>298</v>
      </c>
      <c r="F54" s="5" t="str">
        <f t="shared" si="2"/>
        <v>Persian</v>
      </c>
      <c r="G54" s="5" t="str">
        <f t="shared" si="3"/>
        <v>Persian</v>
      </c>
      <c r="H54" s="3" t="s">
        <v>299</v>
      </c>
      <c r="I54" s="3" t="s">
        <v>300</v>
      </c>
      <c r="J54" s="5" t="str">
        <f t="shared" si="17"/>
        <v>貓老大</v>
      </c>
    </row>
    <row r="55">
      <c r="A55" s="3" t="str">
        <f t="shared" si="13"/>
        <v>NAME_PkMn_PSYDUCK</v>
      </c>
      <c r="B55" s="3" t="s">
        <v>301</v>
      </c>
      <c r="C55" s="3" t="s">
        <v>302</v>
      </c>
      <c r="D55" s="3" t="s">
        <v>303</v>
      </c>
      <c r="E55" s="3" t="s">
        <v>304</v>
      </c>
      <c r="F55" s="5" t="str">
        <f t="shared" si="2"/>
        <v>Psyduck</v>
      </c>
      <c r="G55" s="5" t="str">
        <f t="shared" si="3"/>
        <v>Psyduck</v>
      </c>
      <c r="H55" s="3" t="s">
        <v>305</v>
      </c>
      <c r="I55" s="3" t="s">
        <v>306</v>
      </c>
      <c r="J55" s="5" t="str">
        <f>IFERROR(__xludf.DUMMYFUNCTION("GOOGLETRANSLATE(I55,""zh_HANT"",""zh_HANS"")"),"可达鸭")</f>
        <v>可达鸭</v>
      </c>
    </row>
    <row r="56">
      <c r="A56" s="3" t="str">
        <f t="shared" si="13"/>
        <v>NAME_PkMn_GOLDUCK</v>
      </c>
      <c r="B56" s="3" t="s">
        <v>307</v>
      </c>
      <c r="C56" s="3" t="s">
        <v>308</v>
      </c>
      <c r="D56" s="3" t="s">
        <v>309</v>
      </c>
      <c r="E56" s="3" t="s">
        <v>310</v>
      </c>
      <c r="F56" s="5" t="str">
        <f t="shared" si="2"/>
        <v>Golduck</v>
      </c>
      <c r="G56" s="5" t="str">
        <f t="shared" si="3"/>
        <v>Golduck</v>
      </c>
      <c r="H56" s="3" t="s">
        <v>311</v>
      </c>
      <c r="I56" s="3" t="s">
        <v>312</v>
      </c>
      <c r="J56" s="5" t="str">
        <f>IFERROR(__xludf.DUMMYFUNCTION("GOOGLETRANSLATE(I56,""zh_HANT"",""zh_HANS"")"),"哥达鸭")</f>
        <v>哥达鸭</v>
      </c>
    </row>
    <row r="57">
      <c r="A57" s="3" t="str">
        <f t="shared" si="13"/>
        <v>NAME_PkMn_MANKEY</v>
      </c>
      <c r="B57" s="3" t="s">
        <v>313</v>
      </c>
      <c r="C57" s="3" t="s">
        <v>314</v>
      </c>
      <c r="D57" s="3" t="s">
        <v>315</v>
      </c>
      <c r="E57" s="3" t="s">
        <v>313</v>
      </c>
      <c r="F57" s="5" t="str">
        <f t="shared" si="2"/>
        <v>Mankey</v>
      </c>
      <c r="G57" s="5" t="str">
        <f t="shared" si="3"/>
        <v>Mankey</v>
      </c>
      <c r="H57" s="3" t="s">
        <v>316</v>
      </c>
      <c r="I57" s="3" t="s">
        <v>317</v>
      </c>
      <c r="J57" s="5" t="str">
        <f>I57</f>
        <v>猴怪</v>
      </c>
    </row>
    <row r="58">
      <c r="A58" s="3" t="str">
        <f t="shared" si="13"/>
        <v>NAME_PkMn_PRIMAPE</v>
      </c>
      <c r="B58" s="3" t="s">
        <v>318</v>
      </c>
      <c r="C58" s="3" t="s">
        <v>319</v>
      </c>
      <c r="D58" s="3" t="s">
        <v>320</v>
      </c>
      <c r="E58" s="3" t="s">
        <v>321</v>
      </c>
      <c r="F58" s="5" t="str">
        <f t="shared" si="2"/>
        <v>Primape</v>
      </c>
      <c r="G58" s="5" t="str">
        <f t="shared" si="3"/>
        <v>Primape</v>
      </c>
      <c r="H58" s="3" t="s">
        <v>322</v>
      </c>
      <c r="I58" s="3" t="s">
        <v>323</v>
      </c>
      <c r="J58" s="5" t="str">
        <f>IFERROR(__xludf.DUMMYFUNCTION("GOOGLETRANSLATE(I58,""zh_HANT"",""zh_HANS"")"),"火爆猴")</f>
        <v>火爆猴</v>
      </c>
    </row>
    <row r="59">
      <c r="A59" s="3" t="str">
        <f t="shared" si="13"/>
        <v>NAME_PkMn_GROWLITHE</v>
      </c>
      <c r="B59" s="3" t="s">
        <v>324</v>
      </c>
      <c r="C59" s="3" t="s">
        <v>325</v>
      </c>
      <c r="D59" s="3" t="s">
        <v>326</v>
      </c>
      <c r="E59" s="3" t="s">
        <v>327</v>
      </c>
      <c r="F59" s="5" t="str">
        <f t="shared" si="2"/>
        <v>Growlithe</v>
      </c>
      <c r="G59" s="5" t="str">
        <f t="shared" si="3"/>
        <v>Growlithe</v>
      </c>
      <c r="H59" s="3" t="s">
        <v>328</v>
      </c>
      <c r="I59" s="3" t="s">
        <v>329</v>
      </c>
      <c r="J59" s="5" t="str">
        <f>I59</f>
        <v>卡蒂狗</v>
      </c>
    </row>
    <row r="60">
      <c r="A60" s="3" t="str">
        <f t="shared" si="13"/>
        <v>NAME_PkMn_ARCANINE</v>
      </c>
      <c r="B60" s="3" t="s">
        <v>330</v>
      </c>
      <c r="C60" s="3" t="s">
        <v>331</v>
      </c>
      <c r="D60" s="3" t="s">
        <v>332</v>
      </c>
      <c r="E60" s="3" t="s">
        <v>333</v>
      </c>
      <c r="F60" s="5" t="str">
        <f t="shared" si="2"/>
        <v>Arcanine</v>
      </c>
      <c r="G60" s="5" t="str">
        <f t="shared" si="3"/>
        <v>Arcanine</v>
      </c>
      <c r="H60" s="3" t="s">
        <v>334</v>
      </c>
      <c r="I60" s="3" t="s">
        <v>335</v>
      </c>
      <c r="J60" s="5" t="str">
        <f>IFERROR(__xludf.DUMMYFUNCTION("GOOGLETRANSLATE(I60,""zh_HANT"",""zh_HANS"")"),"风速狗")</f>
        <v>风速狗</v>
      </c>
    </row>
    <row r="61">
      <c r="A61" s="3" t="str">
        <f t="shared" si="13"/>
        <v>NAME_PkMn_POLIWAG</v>
      </c>
      <c r="B61" s="3" t="s">
        <v>336</v>
      </c>
      <c r="C61" s="3" t="s">
        <v>337</v>
      </c>
      <c r="D61" s="3" t="s">
        <v>338</v>
      </c>
      <c r="E61" s="3" t="s">
        <v>339</v>
      </c>
      <c r="F61" s="5" t="str">
        <f t="shared" si="2"/>
        <v>Poliwag</v>
      </c>
      <c r="G61" s="5" t="str">
        <f t="shared" si="3"/>
        <v>Poliwag</v>
      </c>
      <c r="H61" s="3" t="s">
        <v>340</v>
      </c>
      <c r="I61" s="3" t="s">
        <v>341</v>
      </c>
      <c r="J61" s="5" t="str">
        <f t="shared" ref="J61:J63" si="18">I61</f>
        <v>蚊香蝌蚪</v>
      </c>
    </row>
    <row r="62">
      <c r="A62" s="3" t="str">
        <f t="shared" si="13"/>
        <v>NAME_PkMn_POLIWHIRL</v>
      </c>
      <c r="B62" s="3" t="s">
        <v>342</v>
      </c>
      <c r="C62" s="3" t="s">
        <v>343</v>
      </c>
      <c r="D62" s="3" t="s">
        <v>344</v>
      </c>
      <c r="E62" s="3" t="s">
        <v>345</v>
      </c>
      <c r="F62" s="5" t="str">
        <f t="shared" si="2"/>
        <v>Poliwhirl</v>
      </c>
      <c r="G62" s="5" t="str">
        <f t="shared" si="3"/>
        <v>Poliwhirl</v>
      </c>
      <c r="H62" s="3" t="s">
        <v>346</v>
      </c>
      <c r="I62" s="3" t="s">
        <v>347</v>
      </c>
      <c r="J62" s="5" t="str">
        <f t="shared" si="18"/>
        <v>蚊香君</v>
      </c>
    </row>
    <row r="63">
      <c r="A63" s="3" t="str">
        <f t="shared" si="13"/>
        <v>NAME_PkMn_POLIWRATH</v>
      </c>
      <c r="B63" s="3" t="s">
        <v>348</v>
      </c>
      <c r="C63" s="3" t="s">
        <v>349</v>
      </c>
      <c r="D63" s="3" t="s">
        <v>350</v>
      </c>
      <c r="E63" s="3" t="s">
        <v>351</v>
      </c>
      <c r="F63" s="5" t="str">
        <f t="shared" si="2"/>
        <v>Poliwrath</v>
      </c>
      <c r="G63" s="5" t="str">
        <f t="shared" si="3"/>
        <v>Poliwrath</v>
      </c>
      <c r="H63" s="3" t="s">
        <v>352</v>
      </c>
      <c r="I63" s="3" t="s">
        <v>353</v>
      </c>
      <c r="J63" s="5" t="str">
        <f t="shared" si="18"/>
        <v>蚊香泳士</v>
      </c>
    </row>
    <row r="64">
      <c r="A64" s="3" t="str">
        <f t="shared" si="13"/>
        <v>NAME_PkMn_ABRA</v>
      </c>
      <c r="B64" s="3" t="s">
        <v>354</v>
      </c>
      <c r="C64" s="3" t="s">
        <v>355</v>
      </c>
      <c r="D64" s="5" t="str">
        <f t="shared" ref="D64:D66" si="19">B64</f>
        <v>Abra</v>
      </c>
      <c r="E64" s="5" t="str">
        <f t="shared" ref="E64:E65" si="20">B64</f>
        <v>Abra</v>
      </c>
      <c r="F64" s="5" t="str">
        <f t="shared" si="2"/>
        <v>Abra</v>
      </c>
      <c r="G64" s="5" t="str">
        <f t="shared" si="3"/>
        <v>Abra</v>
      </c>
      <c r="H64" s="3" t="s">
        <v>356</v>
      </c>
      <c r="I64" s="3" t="s">
        <v>357</v>
      </c>
      <c r="J64" s="5" t="str">
        <f>IFERROR(__xludf.DUMMYFUNCTION("GOOGLETRANSLATE(I64,""zh_HANT"",""zh_HANS"")"),"凯西")</f>
        <v>凯西</v>
      </c>
    </row>
    <row r="65">
      <c r="A65" s="3" t="str">
        <f t="shared" si="13"/>
        <v>NAME_PkMn_KADABRA</v>
      </c>
      <c r="B65" s="3" t="s">
        <v>358</v>
      </c>
      <c r="C65" s="3" t="s">
        <v>359</v>
      </c>
      <c r="D65" s="5" t="str">
        <f t="shared" si="19"/>
        <v>Kadabra</v>
      </c>
      <c r="E65" s="5" t="str">
        <f t="shared" si="20"/>
        <v>Kadabra</v>
      </c>
      <c r="F65" s="5" t="str">
        <f t="shared" si="2"/>
        <v>Kadabra</v>
      </c>
      <c r="G65" s="5" t="str">
        <f t="shared" si="3"/>
        <v>Kadabra</v>
      </c>
      <c r="H65" s="3" t="s">
        <v>360</v>
      </c>
      <c r="I65" s="3" t="s">
        <v>361</v>
      </c>
      <c r="J65" s="5" t="str">
        <f>I65</f>
        <v>勇基拉</v>
      </c>
    </row>
    <row r="66">
      <c r="A66" s="3" t="str">
        <f t="shared" si="13"/>
        <v>NAME_PkMn_ALAKAZAM</v>
      </c>
      <c r="B66" s="3" t="s">
        <v>362</v>
      </c>
      <c r="C66" s="3" t="s">
        <v>363</v>
      </c>
      <c r="D66" s="5" t="str">
        <f t="shared" si="19"/>
        <v>Alakazam</v>
      </c>
      <c r="E66" s="3" t="s">
        <v>364</v>
      </c>
      <c r="F66" s="5" t="str">
        <f t="shared" si="2"/>
        <v>Alakazam</v>
      </c>
      <c r="G66" s="5" t="str">
        <f t="shared" si="3"/>
        <v>Alakazam</v>
      </c>
      <c r="H66" s="3" t="s">
        <v>365</v>
      </c>
      <c r="I66" s="5" t="str">
        <f>J66</f>
        <v>胡地</v>
      </c>
      <c r="J66" s="3" t="s">
        <v>366</v>
      </c>
    </row>
    <row r="67">
      <c r="A67" s="3" t="str">
        <f t="shared" si="13"/>
        <v>NAME_PkMn_MACHOP</v>
      </c>
      <c r="B67" s="3" t="s">
        <v>367</v>
      </c>
      <c r="C67" s="3" t="s">
        <v>368</v>
      </c>
      <c r="D67" s="3" t="s">
        <v>369</v>
      </c>
      <c r="E67" s="3" t="s">
        <v>370</v>
      </c>
      <c r="F67" s="5" t="str">
        <f t="shared" si="2"/>
        <v>Machop</v>
      </c>
      <c r="G67" s="5" t="str">
        <f t="shared" si="3"/>
        <v>Machop</v>
      </c>
      <c r="H67" s="3" t="s">
        <v>371</v>
      </c>
      <c r="I67" s="3" t="s">
        <v>372</v>
      </c>
      <c r="J67" s="5" t="str">
        <f t="shared" ref="J67:J72" si="21">I67</f>
        <v>腕力</v>
      </c>
    </row>
    <row r="68">
      <c r="A68" s="3" t="str">
        <f t="shared" si="13"/>
        <v>NAME_PkMn_MACHOKE</v>
      </c>
      <c r="B68" s="3" t="s">
        <v>373</v>
      </c>
      <c r="C68" s="3" t="s">
        <v>374</v>
      </c>
      <c r="D68" s="3" t="s">
        <v>375</v>
      </c>
      <c r="E68" s="3" t="s">
        <v>376</v>
      </c>
      <c r="F68" s="5" t="str">
        <f t="shared" si="2"/>
        <v>Machoke</v>
      </c>
      <c r="G68" s="5" t="str">
        <f t="shared" si="3"/>
        <v>Machoke</v>
      </c>
      <c r="H68" s="3" t="s">
        <v>377</v>
      </c>
      <c r="I68" s="3" t="s">
        <v>378</v>
      </c>
      <c r="J68" s="5" t="str">
        <f t="shared" si="21"/>
        <v>豪力</v>
      </c>
    </row>
    <row r="69">
      <c r="A69" s="3" t="str">
        <f t="shared" si="13"/>
        <v>NAME_PkMn_MACHAMP</v>
      </c>
      <c r="B69" s="3" t="s">
        <v>379</v>
      </c>
      <c r="C69" s="3" t="s">
        <v>380</v>
      </c>
      <c r="D69" s="3" t="s">
        <v>381</v>
      </c>
      <c r="E69" s="3" t="s">
        <v>382</v>
      </c>
      <c r="F69" s="5" t="str">
        <f t="shared" si="2"/>
        <v>Machamp</v>
      </c>
      <c r="G69" s="5" t="str">
        <f t="shared" si="3"/>
        <v>Machamp</v>
      </c>
      <c r="H69" s="3" t="s">
        <v>383</v>
      </c>
      <c r="I69" s="3" t="s">
        <v>384</v>
      </c>
      <c r="J69" s="5" t="str">
        <f t="shared" si="21"/>
        <v>怪力</v>
      </c>
    </row>
    <row r="70">
      <c r="A70" s="3" t="str">
        <f t="shared" si="13"/>
        <v>NAME_PkMn_BELLSPROUT</v>
      </c>
      <c r="B70" s="3" t="s">
        <v>385</v>
      </c>
      <c r="C70" s="3" t="s">
        <v>386</v>
      </c>
      <c r="D70" s="3" t="s">
        <v>387</v>
      </c>
      <c r="E70" s="3" t="s">
        <v>388</v>
      </c>
      <c r="F70" s="5" t="str">
        <f t="shared" si="2"/>
        <v>Bellsprout</v>
      </c>
      <c r="G70" s="5" t="str">
        <f t="shared" si="3"/>
        <v>Bellsprout</v>
      </c>
      <c r="H70" s="3" t="s">
        <v>389</v>
      </c>
      <c r="I70" s="3" t="s">
        <v>390</v>
      </c>
      <c r="J70" s="5" t="str">
        <f t="shared" si="21"/>
        <v>喇叭芽</v>
      </c>
    </row>
    <row r="71">
      <c r="A71" s="3" t="str">
        <f t="shared" si="13"/>
        <v>NAME_PkMn_WEEPINBELL</v>
      </c>
      <c r="B71" s="3" t="s">
        <v>391</v>
      </c>
      <c r="C71" s="3" t="s">
        <v>392</v>
      </c>
      <c r="D71" s="3" t="s">
        <v>393</v>
      </c>
      <c r="E71" s="3" t="s">
        <v>394</v>
      </c>
      <c r="F71" s="5" t="str">
        <f t="shared" si="2"/>
        <v>Weepinbell</v>
      </c>
      <c r="G71" s="5" t="str">
        <f t="shared" si="3"/>
        <v>Weepinbell</v>
      </c>
      <c r="H71" s="3" t="s">
        <v>395</v>
      </c>
      <c r="I71" s="3" t="s">
        <v>396</v>
      </c>
      <c r="J71" s="5" t="str">
        <f t="shared" si="21"/>
        <v>口呆花</v>
      </c>
    </row>
    <row r="72">
      <c r="A72" s="3" t="str">
        <f t="shared" si="13"/>
        <v>NAME_PkMn_VICTREEBEL</v>
      </c>
      <c r="B72" s="3" t="s">
        <v>397</v>
      </c>
      <c r="C72" s="3" t="s">
        <v>398</v>
      </c>
      <c r="D72" s="3" t="s">
        <v>399</v>
      </c>
      <c r="E72" s="3" t="s">
        <v>400</v>
      </c>
      <c r="F72" s="5" t="str">
        <f t="shared" si="2"/>
        <v>Victreebel</v>
      </c>
      <c r="G72" s="5" t="str">
        <f t="shared" si="3"/>
        <v>Victreebel</v>
      </c>
      <c r="H72" s="3" t="s">
        <v>401</v>
      </c>
      <c r="I72" s="3" t="s">
        <v>402</v>
      </c>
      <c r="J72" s="5" t="str">
        <f t="shared" si="21"/>
        <v>大食花</v>
      </c>
    </row>
    <row r="73">
      <c r="A73" s="3" t="str">
        <f t="shared" si="13"/>
        <v>NAME_PkMn_TENTACOOL</v>
      </c>
      <c r="B73" s="3" t="s">
        <v>403</v>
      </c>
      <c r="C73" s="3" t="s">
        <v>404</v>
      </c>
      <c r="D73" s="5" t="str">
        <f t="shared" ref="D73:D74" si="22">B73</f>
        <v>Tentacool</v>
      </c>
      <c r="E73" s="3" t="s">
        <v>405</v>
      </c>
      <c r="F73" s="5" t="str">
        <f t="shared" si="2"/>
        <v>Tentacool</v>
      </c>
      <c r="G73" s="5" t="str">
        <f t="shared" si="3"/>
        <v>Tentacool</v>
      </c>
      <c r="H73" s="3" t="s">
        <v>406</v>
      </c>
      <c r="I73" s="3" t="s">
        <v>407</v>
      </c>
      <c r="J73" s="5" t="str">
        <f>IFERROR(__xludf.DUMMYFUNCTION("GOOGLETRANSLATE(I73,""zh_HANT"",""zh_HANS"")"),"玛瑙水母")</f>
        <v>玛瑙水母</v>
      </c>
    </row>
    <row r="74">
      <c r="A74" s="3" t="str">
        <f t="shared" si="13"/>
        <v>NAME_PkMn_TENTACRUEL</v>
      </c>
      <c r="B74" s="3" t="s">
        <v>408</v>
      </c>
      <c r="C74" s="3" t="s">
        <v>409</v>
      </c>
      <c r="D74" s="5" t="str">
        <f t="shared" si="22"/>
        <v>Tentacruel</v>
      </c>
      <c r="E74" s="3" t="s">
        <v>410</v>
      </c>
      <c r="F74" s="5" t="str">
        <f t="shared" si="2"/>
        <v>Tentacruel</v>
      </c>
      <c r="G74" s="5" t="str">
        <f t="shared" si="3"/>
        <v>Tentacruel</v>
      </c>
      <c r="H74" s="3" t="s">
        <v>411</v>
      </c>
      <c r="I74" s="3" t="s">
        <v>412</v>
      </c>
      <c r="J74" s="5" t="str">
        <f t="shared" ref="J74:J77" si="23">I74</f>
        <v>毒刺水母</v>
      </c>
    </row>
    <row r="75">
      <c r="A75" s="3" t="str">
        <f t="shared" si="13"/>
        <v>NAME_PkMn_GEODUDE</v>
      </c>
      <c r="B75" s="3" t="s">
        <v>413</v>
      </c>
      <c r="C75" s="3" t="s">
        <v>414</v>
      </c>
      <c r="D75" s="3" t="s">
        <v>415</v>
      </c>
      <c r="E75" s="3" t="s">
        <v>416</v>
      </c>
      <c r="F75" s="5" t="str">
        <f t="shared" si="2"/>
        <v>Geodude</v>
      </c>
      <c r="G75" s="5" t="str">
        <f t="shared" si="3"/>
        <v>Geodude</v>
      </c>
      <c r="H75" s="3" t="s">
        <v>417</v>
      </c>
      <c r="I75" s="3" t="s">
        <v>418</v>
      </c>
      <c r="J75" s="5" t="str">
        <f t="shared" si="23"/>
        <v>小拳石</v>
      </c>
    </row>
    <row r="76">
      <c r="A76" s="3" t="str">
        <f t="shared" si="13"/>
        <v>NAME_PkMn_GRAVELER</v>
      </c>
      <c r="B76" s="3" t="s">
        <v>419</v>
      </c>
      <c r="C76" s="3" t="s">
        <v>420</v>
      </c>
      <c r="D76" s="3" t="s">
        <v>421</v>
      </c>
      <c r="E76" s="3" t="s">
        <v>422</v>
      </c>
      <c r="F76" s="5" t="str">
        <f t="shared" si="2"/>
        <v>Graveler</v>
      </c>
      <c r="G76" s="5" t="str">
        <f t="shared" si="3"/>
        <v>Graveler</v>
      </c>
      <c r="H76" s="3" t="s">
        <v>423</v>
      </c>
      <c r="I76" s="3" t="s">
        <v>424</v>
      </c>
      <c r="J76" s="5" t="str">
        <f t="shared" si="23"/>
        <v>隆隆石</v>
      </c>
    </row>
    <row r="77">
      <c r="A77" s="3" t="str">
        <f t="shared" si="13"/>
        <v>NAME_PkMn_GOLEM</v>
      </c>
      <c r="B77" s="3" t="s">
        <v>425</v>
      </c>
      <c r="C77" s="3" t="s">
        <v>426</v>
      </c>
      <c r="D77" s="3" t="s">
        <v>427</v>
      </c>
      <c r="E77" s="3" t="s">
        <v>428</v>
      </c>
      <c r="F77" s="5" t="str">
        <f t="shared" si="2"/>
        <v>Golem</v>
      </c>
      <c r="G77" s="5" t="str">
        <f t="shared" si="3"/>
        <v>Golem</v>
      </c>
      <c r="H77" s="3" t="s">
        <v>429</v>
      </c>
      <c r="I77" s="3" t="s">
        <v>430</v>
      </c>
      <c r="J77" s="5" t="str">
        <f t="shared" si="23"/>
        <v>隆隆岩</v>
      </c>
    </row>
    <row r="78">
      <c r="A78" s="3" t="str">
        <f t="shared" si="13"/>
        <v>NAME_PkMn_PONYTA</v>
      </c>
      <c r="B78" s="3" t="s">
        <v>431</v>
      </c>
      <c r="C78" s="3" t="s">
        <v>432</v>
      </c>
      <c r="D78" s="5" t="str">
        <f>B78</f>
        <v>Ponyta</v>
      </c>
      <c r="E78" s="3" t="s">
        <v>431</v>
      </c>
      <c r="F78" s="5" t="str">
        <f t="shared" si="2"/>
        <v>Ponyta</v>
      </c>
      <c r="G78" s="5" t="str">
        <f t="shared" si="3"/>
        <v>Ponyta</v>
      </c>
      <c r="H78" s="3" t="s">
        <v>433</v>
      </c>
      <c r="I78" s="3" t="s">
        <v>434</v>
      </c>
      <c r="J78" s="5" t="str">
        <f>IFERROR(__xludf.DUMMYFUNCTION("GOOGLETRANSLATE(I78,""zh_HANT"",""zh_HANS"")"),"小火马")</f>
        <v>小火马</v>
      </c>
    </row>
    <row r="79">
      <c r="A79" s="3" t="str">
        <f t="shared" si="13"/>
        <v>NAME_PkMn_RAPIDASH</v>
      </c>
      <c r="B79" s="3" t="s">
        <v>435</v>
      </c>
      <c r="C79" s="3" t="s">
        <v>436</v>
      </c>
      <c r="D79" s="3" t="s">
        <v>437</v>
      </c>
      <c r="E79" s="3" t="s">
        <v>438</v>
      </c>
      <c r="F79" s="5" t="str">
        <f t="shared" si="2"/>
        <v>Rapidash</v>
      </c>
      <c r="G79" s="5" t="str">
        <f t="shared" si="3"/>
        <v>Rapidash</v>
      </c>
      <c r="H79" s="3" t="s">
        <v>439</v>
      </c>
      <c r="I79" s="3" t="s">
        <v>440</v>
      </c>
      <c r="J79" s="5" t="str">
        <f>IFERROR(__xludf.DUMMYFUNCTION("GOOGLETRANSLATE(I79,""zh_HANT"",""zh_HANS"")"),"烈焰马")</f>
        <v>烈焰马</v>
      </c>
    </row>
    <row r="80">
      <c r="A80" s="3" t="str">
        <f t="shared" si="13"/>
        <v>NAME_PkMn_SLOWPOKE</v>
      </c>
      <c r="B80" s="3" t="s">
        <v>441</v>
      </c>
      <c r="C80" s="3" t="s">
        <v>442</v>
      </c>
      <c r="D80" s="3" t="s">
        <v>443</v>
      </c>
      <c r="E80" s="3" t="s">
        <v>444</v>
      </c>
      <c r="F80" s="5" t="str">
        <f t="shared" si="2"/>
        <v>Slowpoke</v>
      </c>
      <c r="G80" s="5" t="str">
        <f t="shared" si="3"/>
        <v>Slowpoke</v>
      </c>
      <c r="H80" s="3" t="s">
        <v>445</v>
      </c>
      <c r="I80" s="3" t="s">
        <v>446</v>
      </c>
      <c r="J80" s="5" t="str">
        <f>IFERROR(__xludf.DUMMYFUNCTION("GOOGLETRANSLATE(I80,""zh_HANT"",""zh_HANS"")"),"呆呆兽")</f>
        <v>呆呆兽</v>
      </c>
    </row>
    <row r="81">
      <c r="A81" s="3" t="str">
        <f t="shared" si="13"/>
        <v>NAME_PkMn_SLOWBRO</v>
      </c>
      <c r="B81" s="3" t="s">
        <v>447</v>
      </c>
      <c r="C81" s="3" t="s">
        <v>448</v>
      </c>
      <c r="D81" s="3" t="s">
        <v>449</v>
      </c>
      <c r="E81" s="3" t="s">
        <v>450</v>
      </c>
      <c r="F81" s="5" t="str">
        <f t="shared" si="2"/>
        <v>Slowbro</v>
      </c>
      <c r="G81" s="5" t="str">
        <f t="shared" si="3"/>
        <v>Slowbro</v>
      </c>
      <c r="H81" s="3" t="s">
        <v>451</v>
      </c>
      <c r="I81" s="5" t="str">
        <f>IFERROR(__xludf.DUMMYFUNCTION("GOOGLETRANSLATE(J81,""zh_HANS"",""zh_HANT"")"),"呆殼獸")</f>
        <v>呆殼獸</v>
      </c>
      <c r="J81" s="3" t="s">
        <v>452</v>
      </c>
    </row>
    <row r="82">
      <c r="A82" s="3" t="str">
        <f t="shared" si="13"/>
        <v>NAME_PkMn_MAGNEMITE</v>
      </c>
      <c r="B82" s="3" t="s">
        <v>453</v>
      </c>
      <c r="C82" s="3" t="s">
        <v>454</v>
      </c>
      <c r="D82" s="3" t="s">
        <v>455</v>
      </c>
      <c r="E82" s="3" t="s">
        <v>456</v>
      </c>
      <c r="F82" s="5" t="str">
        <f t="shared" si="2"/>
        <v>Magnemite</v>
      </c>
      <c r="G82" s="5" t="str">
        <f t="shared" si="3"/>
        <v>Magnemite</v>
      </c>
      <c r="H82" s="3" t="s">
        <v>457</v>
      </c>
      <c r="I82" s="3" t="s">
        <v>458</v>
      </c>
      <c r="J82" s="5" t="str">
        <f>I82</f>
        <v>小磁怪</v>
      </c>
    </row>
    <row r="83">
      <c r="A83" s="3" t="str">
        <f t="shared" si="13"/>
        <v>NAME_PkMn_MAGNETON</v>
      </c>
      <c r="B83" s="3" t="s">
        <v>459</v>
      </c>
      <c r="C83" s="3" t="s">
        <v>460</v>
      </c>
      <c r="D83" s="3" t="s">
        <v>461</v>
      </c>
      <c r="E83" s="5" t="str">
        <f>B83</f>
        <v>Magneton</v>
      </c>
      <c r="F83" s="5" t="str">
        <f t="shared" si="2"/>
        <v>Magneton</v>
      </c>
      <c r="G83" s="5" t="str">
        <f t="shared" si="3"/>
        <v>Magneton</v>
      </c>
      <c r="H83" s="3" t="s">
        <v>462</v>
      </c>
      <c r="I83" s="3" t="s">
        <v>463</v>
      </c>
      <c r="J83" s="5" t="str">
        <f>IFERROR(__xludf.DUMMYFUNCTION("GOOGLETRANSLATE(I83,""zh_HANT"",""zh_HANS"")"),"三合一磁怪")</f>
        <v>三合一磁怪</v>
      </c>
    </row>
    <row r="84">
      <c r="A84" s="3" t="s">
        <v>464</v>
      </c>
      <c r="B84" s="3" t="s">
        <v>465</v>
      </c>
      <c r="C84" s="3" t="s">
        <v>466</v>
      </c>
      <c r="D84" s="3" t="s">
        <v>467</v>
      </c>
      <c r="E84" s="3" t="s">
        <v>468</v>
      </c>
      <c r="F84" s="5" t="str">
        <f t="shared" si="2"/>
        <v>Farfetch'd</v>
      </c>
      <c r="G84" s="5" t="str">
        <f t="shared" si="3"/>
        <v>Farfetch'd</v>
      </c>
      <c r="H84" s="3" t="s">
        <v>469</v>
      </c>
      <c r="I84" s="3" t="s">
        <v>470</v>
      </c>
      <c r="J84" s="5" t="str">
        <f>IFERROR(__xludf.DUMMYFUNCTION("GOOGLETRANSLATE(I84,""zh_HANT"",""zh_HANS"")"),"大葱鸭")</f>
        <v>大葱鸭</v>
      </c>
    </row>
    <row r="85">
      <c r="A85" s="3" t="str">
        <f t="shared" ref="A85:A122" si="24">CONCATENATE("NAME_PkMn_", UPPER(B85))</f>
        <v>NAME_PkMn_DODUO</v>
      </c>
      <c r="B85" s="3" t="s">
        <v>471</v>
      </c>
      <c r="C85" s="3" t="s">
        <v>472</v>
      </c>
      <c r="D85" s="5" t="str">
        <f t="shared" ref="D85:D86" si="25">B85</f>
        <v>Doduo</v>
      </c>
      <c r="E85" s="3" t="s">
        <v>473</v>
      </c>
      <c r="F85" s="5" t="str">
        <f t="shared" si="2"/>
        <v>Doduo</v>
      </c>
      <c r="G85" s="5" t="str">
        <f t="shared" si="3"/>
        <v>Doduo</v>
      </c>
      <c r="H85" s="3" t="s">
        <v>474</v>
      </c>
      <c r="I85" s="3" t="s">
        <v>475</v>
      </c>
      <c r="J85" s="5" t="str">
        <f t="shared" ref="J85:J86" si="26">I85</f>
        <v>嘟嘟</v>
      </c>
    </row>
    <row r="86">
      <c r="A86" s="3" t="str">
        <f t="shared" si="24"/>
        <v>NAME_PkMn_DODRIO</v>
      </c>
      <c r="B86" s="3" t="s">
        <v>476</v>
      </c>
      <c r="C86" s="3" t="s">
        <v>477</v>
      </c>
      <c r="D86" s="5" t="str">
        <f t="shared" si="25"/>
        <v>Dodrio</v>
      </c>
      <c r="E86" s="3" t="s">
        <v>478</v>
      </c>
      <c r="F86" s="5" t="str">
        <f t="shared" si="2"/>
        <v>Dodrio</v>
      </c>
      <c r="G86" s="5" t="str">
        <f t="shared" si="3"/>
        <v>Dodrio</v>
      </c>
      <c r="H86" s="3" t="s">
        <v>479</v>
      </c>
      <c r="I86" s="3" t="s">
        <v>480</v>
      </c>
      <c r="J86" s="5" t="str">
        <f t="shared" si="26"/>
        <v>嘟嘟利</v>
      </c>
    </row>
    <row r="87">
      <c r="A87" s="3" t="str">
        <f t="shared" si="24"/>
        <v>NAME_PkMn_SEEL</v>
      </c>
      <c r="B87" s="3" t="s">
        <v>481</v>
      </c>
      <c r="C87" s="3" t="s">
        <v>482</v>
      </c>
      <c r="D87" s="3" t="s">
        <v>483</v>
      </c>
      <c r="E87" s="3" t="s">
        <v>484</v>
      </c>
      <c r="F87" s="5" t="str">
        <f t="shared" si="2"/>
        <v>Seel</v>
      </c>
      <c r="G87" s="5" t="str">
        <f t="shared" si="3"/>
        <v>Seel</v>
      </c>
      <c r="H87" s="3" t="s">
        <v>485</v>
      </c>
      <c r="I87" s="3" t="s">
        <v>486</v>
      </c>
      <c r="J87" s="5" t="str">
        <f>IFERROR(__xludf.DUMMYFUNCTION("GOOGLETRANSLATE(I87,""zh_HANT"",""zh_HANS"")"),"小海狮")</f>
        <v>小海狮</v>
      </c>
    </row>
    <row r="88">
      <c r="A88" s="3" t="str">
        <f t="shared" si="24"/>
        <v>NAME_PkMn_DEWGONG</v>
      </c>
      <c r="B88" s="3" t="s">
        <v>487</v>
      </c>
      <c r="C88" s="3" t="s">
        <v>488</v>
      </c>
      <c r="D88" s="3" t="s">
        <v>489</v>
      </c>
      <c r="E88" s="3" t="s">
        <v>490</v>
      </c>
      <c r="F88" s="5" t="str">
        <f t="shared" si="2"/>
        <v>Dewgong</v>
      </c>
      <c r="G88" s="5" t="str">
        <f t="shared" si="3"/>
        <v>Dewgong</v>
      </c>
      <c r="H88" s="3" t="s">
        <v>491</v>
      </c>
      <c r="I88" s="3" t="s">
        <v>492</v>
      </c>
      <c r="J88" s="5" t="str">
        <f>IFERROR(__xludf.DUMMYFUNCTION("GOOGLETRANSLATE(I88,""zh_HANT"",""zh_HANS"")"),"白海狮")</f>
        <v>白海狮</v>
      </c>
    </row>
    <row r="89">
      <c r="A89" s="3" t="str">
        <f t="shared" si="24"/>
        <v>NAME_PkMn_GRIMER</v>
      </c>
      <c r="B89" s="3" t="s">
        <v>493</v>
      </c>
      <c r="C89" s="3" t="s">
        <v>494</v>
      </c>
      <c r="D89" s="3" t="s">
        <v>495</v>
      </c>
      <c r="E89" s="3" t="s">
        <v>496</v>
      </c>
      <c r="F89" s="5" t="str">
        <f t="shared" si="2"/>
        <v>Grimer</v>
      </c>
      <c r="G89" s="5" t="str">
        <f t="shared" si="3"/>
        <v>Grimer</v>
      </c>
      <c r="H89" s="3" t="s">
        <v>497</v>
      </c>
      <c r="I89" s="3" t="s">
        <v>498</v>
      </c>
      <c r="J89" s="5" t="str">
        <f t="shared" ref="J89:J90" si="27">I89</f>
        <v>臭泥</v>
      </c>
    </row>
    <row r="90">
      <c r="A90" s="3" t="str">
        <f t="shared" si="24"/>
        <v>NAME_PkMn_MUK</v>
      </c>
      <c r="B90" s="3" t="s">
        <v>499</v>
      </c>
      <c r="C90" s="3" t="s">
        <v>500</v>
      </c>
      <c r="D90" s="3" t="s">
        <v>501</v>
      </c>
      <c r="E90" s="3" t="s">
        <v>502</v>
      </c>
      <c r="F90" s="5" t="str">
        <f t="shared" si="2"/>
        <v>Muk</v>
      </c>
      <c r="G90" s="5" t="str">
        <f t="shared" si="3"/>
        <v>Muk</v>
      </c>
      <c r="H90" s="3" t="s">
        <v>503</v>
      </c>
      <c r="I90" s="3" t="s">
        <v>504</v>
      </c>
      <c r="J90" s="5" t="str">
        <f t="shared" si="27"/>
        <v>臭臭泥</v>
      </c>
    </row>
    <row r="91">
      <c r="A91" s="3" t="str">
        <f t="shared" si="24"/>
        <v>NAME_PkMn_SHELLDER</v>
      </c>
      <c r="B91" s="3" t="s">
        <v>505</v>
      </c>
      <c r="C91" s="3" t="s">
        <v>506</v>
      </c>
      <c r="D91" s="3" t="s">
        <v>507</v>
      </c>
      <c r="E91" s="3" t="s">
        <v>508</v>
      </c>
      <c r="F91" s="5" t="str">
        <f t="shared" si="2"/>
        <v>Shellder</v>
      </c>
      <c r="G91" s="5" t="str">
        <f t="shared" si="3"/>
        <v>Shellder</v>
      </c>
      <c r="H91" s="3" t="s">
        <v>509</v>
      </c>
      <c r="I91" s="3" t="s">
        <v>510</v>
      </c>
      <c r="J91" s="5" t="str">
        <f>IFERROR(__xludf.DUMMYFUNCTION("GOOGLETRANSLATE(I91,""zh_HANT"",""zh_HANS"")"),"大舌贝")</f>
        <v>大舌贝</v>
      </c>
    </row>
    <row r="92">
      <c r="A92" s="3" t="str">
        <f t="shared" si="24"/>
        <v>NAME_PkMn_CLOYSTER</v>
      </c>
      <c r="B92" s="3" t="s">
        <v>511</v>
      </c>
      <c r="C92" s="3" t="s">
        <v>512</v>
      </c>
      <c r="D92" s="3" t="s">
        <v>513</v>
      </c>
      <c r="E92" s="3" t="s">
        <v>514</v>
      </c>
      <c r="F92" s="5" t="str">
        <f t="shared" si="2"/>
        <v>Cloyster</v>
      </c>
      <c r="G92" s="5" t="str">
        <f t="shared" si="3"/>
        <v>Cloyster</v>
      </c>
      <c r="H92" s="3" t="s">
        <v>515</v>
      </c>
      <c r="I92" s="3" t="s">
        <v>516</v>
      </c>
      <c r="J92" s="5" t="str">
        <f>IFERROR(__xludf.DUMMYFUNCTION("GOOGLETRANSLATE(I92,""zh_HANT"",""zh_HANS"")"),"刺甲贝")</f>
        <v>刺甲贝</v>
      </c>
    </row>
    <row r="93">
      <c r="A93" s="3" t="str">
        <f t="shared" si="24"/>
        <v>NAME_PkMn_GASTLY</v>
      </c>
      <c r="B93" s="3" t="s">
        <v>517</v>
      </c>
      <c r="C93" s="3" t="s">
        <v>518</v>
      </c>
      <c r="D93" s="3" t="s">
        <v>519</v>
      </c>
      <c r="E93" s="3" t="s">
        <v>520</v>
      </c>
      <c r="F93" s="5" t="str">
        <f t="shared" si="2"/>
        <v>Gastly</v>
      </c>
      <c r="G93" s="5" t="str">
        <f t="shared" si="3"/>
        <v>Gastly</v>
      </c>
      <c r="H93" s="3" t="s">
        <v>521</v>
      </c>
      <c r="I93" s="3" t="s">
        <v>522</v>
      </c>
      <c r="J93" s="5" t="str">
        <f t="shared" ref="J93:J94" si="28">I93</f>
        <v>鬼斯</v>
      </c>
    </row>
    <row r="94">
      <c r="A94" s="3" t="str">
        <f t="shared" si="24"/>
        <v>NAME_PkMn_HAUNTER</v>
      </c>
      <c r="B94" s="3" t="s">
        <v>523</v>
      </c>
      <c r="C94" s="3" t="s">
        <v>524</v>
      </c>
      <c r="D94" s="3" t="s">
        <v>525</v>
      </c>
      <c r="E94" s="3" t="s">
        <v>526</v>
      </c>
      <c r="F94" s="5" t="str">
        <f t="shared" si="2"/>
        <v>Haunter</v>
      </c>
      <c r="G94" s="5" t="str">
        <f t="shared" si="3"/>
        <v>Haunter</v>
      </c>
      <c r="H94" s="3" t="s">
        <v>527</v>
      </c>
      <c r="I94" s="3" t="s">
        <v>528</v>
      </c>
      <c r="J94" s="5" t="str">
        <f t="shared" si="28"/>
        <v>鬼斯通</v>
      </c>
    </row>
    <row r="95">
      <c r="A95" s="3" t="str">
        <f t="shared" si="24"/>
        <v>NAME_PkMn_GENGAR</v>
      </c>
      <c r="B95" s="3" t="s">
        <v>529</v>
      </c>
      <c r="C95" s="3" t="s">
        <v>530</v>
      </c>
      <c r="D95" s="3" t="s">
        <v>531</v>
      </c>
      <c r="E95" s="5" t="str">
        <f t="shared" ref="E95:E96" si="29">B95</f>
        <v>Gengar</v>
      </c>
      <c r="F95" s="5" t="str">
        <f t="shared" si="2"/>
        <v>Gengar</v>
      </c>
      <c r="G95" s="5" t="str">
        <f t="shared" si="3"/>
        <v>Gengar</v>
      </c>
      <c r="H95" s="3" t="s">
        <v>532</v>
      </c>
      <c r="I95" s="5" t="str">
        <f>J95</f>
        <v>耿鬼</v>
      </c>
      <c r="J95" s="3" t="s">
        <v>533</v>
      </c>
    </row>
    <row r="96">
      <c r="A96" s="3" t="str">
        <f t="shared" si="24"/>
        <v>NAME_PkMn_ONIX</v>
      </c>
      <c r="B96" s="3" t="s">
        <v>534</v>
      </c>
      <c r="C96" s="3" t="s">
        <v>535</v>
      </c>
      <c r="D96" s="5" t="str">
        <f>B96</f>
        <v>Onix</v>
      </c>
      <c r="E96" s="5" t="str">
        <f t="shared" si="29"/>
        <v>Onix</v>
      </c>
      <c r="F96" s="5" t="str">
        <f t="shared" si="2"/>
        <v>Onix</v>
      </c>
      <c r="G96" s="5" t="str">
        <f t="shared" si="3"/>
        <v>Onix</v>
      </c>
      <c r="H96" s="3" t="s">
        <v>536</v>
      </c>
      <c r="I96" s="3" t="s">
        <v>537</v>
      </c>
      <c r="J96" s="5" t="str">
        <f t="shared" ref="J96:J97" si="30">I96</f>
        <v>大岩蛇</v>
      </c>
    </row>
    <row r="97">
      <c r="A97" s="3" t="str">
        <f t="shared" si="24"/>
        <v>NAME_PkMn_DROWZEE</v>
      </c>
      <c r="B97" s="3" t="s">
        <v>538</v>
      </c>
      <c r="C97" s="3" t="s">
        <v>539</v>
      </c>
      <c r="D97" s="3" t="s">
        <v>540</v>
      </c>
      <c r="E97" s="3" t="s">
        <v>541</v>
      </c>
      <c r="F97" s="5" t="str">
        <f t="shared" si="2"/>
        <v>Drowzee</v>
      </c>
      <c r="G97" s="5" t="str">
        <f t="shared" si="3"/>
        <v>Drowzee</v>
      </c>
      <c r="H97" s="3" t="s">
        <v>542</v>
      </c>
      <c r="I97" s="3" t="s">
        <v>543</v>
      </c>
      <c r="J97" s="5" t="str">
        <f t="shared" si="30"/>
        <v>催眠貘</v>
      </c>
    </row>
    <row r="98">
      <c r="A98" s="3" t="str">
        <f t="shared" si="24"/>
        <v>NAME_PkMn_HYPNO</v>
      </c>
      <c r="B98" s="3" t="s">
        <v>544</v>
      </c>
      <c r="C98" s="3" t="s">
        <v>545</v>
      </c>
      <c r="D98" s="3" t="s">
        <v>546</v>
      </c>
      <c r="E98" s="5" t="str">
        <f t="shared" ref="E98:E100" si="31">B98</f>
        <v>Hypno</v>
      </c>
      <c r="F98" s="5" t="str">
        <f t="shared" si="2"/>
        <v>Hypno</v>
      </c>
      <c r="G98" s="5" t="str">
        <f t="shared" si="3"/>
        <v>Hypno</v>
      </c>
      <c r="H98" s="3" t="s">
        <v>547</v>
      </c>
      <c r="I98" s="3" t="s">
        <v>548</v>
      </c>
      <c r="J98" s="5" t="str">
        <f>IFERROR(__xludf.DUMMYFUNCTION("GOOGLETRANSLATE(I98,""zh_HANT"",""zh_HANS"")"),"引梦貘人")</f>
        <v>引梦貘人</v>
      </c>
    </row>
    <row r="99">
      <c r="A99" s="3" t="str">
        <f t="shared" si="24"/>
        <v>NAME_PkMn_KRABBY</v>
      </c>
      <c r="B99" s="3" t="s">
        <v>549</v>
      </c>
      <c r="C99" s="3" t="s">
        <v>550</v>
      </c>
      <c r="D99" s="5" t="str">
        <f>B99</f>
        <v>Krabby</v>
      </c>
      <c r="E99" s="5" t="str">
        <f t="shared" si="31"/>
        <v>Krabby</v>
      </c>
      <c r="F99" s="5" t="str">
        <f t="shared" si="2"/>
        <v>Krabby</v>
      </c>
      <c r="G99" s="5" t="str">
        <f t="shared" si="3"/>
        <v>Krabby</v>
      </c>
      <c r="H99" s="3" t="s">
        <v>551</v>
      </c>
      <c r="I99" s="3" t="s">
        <v>552</v>
      </c>
      <c r="J99" s="5" t="str">
        <f>IFERROR(__xludf.DUMMYFUNCTION("GOOGLETRANSLATE(I99,""zh_HANT"",""zh_HANS"")"),"大钳蟹")</f>
        <v>大钳蟹</v>
      </c>
    </row>
    <row r="100">
      <c r="A100" s="3" t="str">
        <f t="shared" si="24"/>
        <v>NAME_PkMn_KINGLER</v>
      </c>
      <c r="B100" s="3" t="s">
        <v>553</v>
      </c>
      <c r="C100" s="3" t="s">
        <v>554</v>
      </c>
      <c r="D100" s="3" t="s">
        <v>555</v>
      </c>
      <c r="E100" s="5" t="str">
        <f t="shared" si="31"/>
        <v>Kingler</v>
      </c>
      <c r="F100" s="5" t="str">
        <f t="shared" si="2"/>
        <v>Kingler</v>
      </c>
      <c r="G100" s="5" t="str">
        <f t="shared" si="3"/>
        <v>Kingler</v>
      </c>
      <c r="H100" s="3" t="s">
        <v>556</v>
      </c>
      <c r="I100" s="3" t="s">
        <v>557</v>
      </c>
      <c r="J100" s="5" t="str">
        <f>IFERROR(__xludf.DUMMYFUNCTION("GOOGLETRANSLATE(I100,""zh_HANT"",""zh_HANS"")"),"巨钳蟹")</f>
        <v>巨钳蟹</v>
      </c>
    </row>
    <row r="101">
      <c r="A101" s="3" t="str">
        <f t="shared" si="24"/>
        <v>NAME_PkMn_VOLTORB</v>
      </c>
      <c r="B101" s="3" t="s">
        <v>558</v>
      </c>
      <c r="C101" s="3" t="s">
        <v>559</v>
      </c>
      <c r="D101" s="3" t="s">
        <v>560</v>
      </c>
      <c r="E101" s="3" t="s">
        <v>561</v>
      </c>
      <c r="F101" s="5" t="str">
        <f t="shared" si="2"/>
        <v>Voltorb</v>
      </c>
      <c r="G101" s="5" t="str">
        <f t="shared" si="3"/>
        <v>Voltorb</v>
      </c>
      <c r="H101" s="3" t="s">
        <v>562</v>
      </c>
      <c r="I101" s="3" t="s">
        <v>563</v>
      </c>
      <c r="J101" s="5" t="str">
        <f>IFERROR(__xludf.DUMMYFUNCTION("GOOGLETRANSLATE(I101,""zh_HANT"",""zh_HANS"")"),"霹雳电球")</f>
        <v>霹雳电球</v>
      </c>
    </row>
    <row r="102">
      <c r="A102" s="3" t="str">
        <f t="shared" si="24"/>
        <v>NAME_PkMn_ELECTRODE</v>
      </c>
      <c r="B102" s="3" t="s">
        <v>564</v>
      </c>
      <c r="C102" s="3" t="s">
        <v>565</v>
      </c>
      <c r="D102" s="3" t="s">
        <v>566</v>
      </c>
      <c r="E102" s="3" t="s">
        <v>567</v>
      </c>
      <c r="F102" s="5" t="str">
        <f t="shared" si="2"/>
        <v>Electrode</v>
      </c>
      <c r="G102" s="5" t="str">
        <f t="shared" si="3"/>
        <v>Electrode</v>
      </c>
      <c r="H102" s="3" t="s">
        <v>568</v>
      </c>
      <c r="I102" s="3" t="s">
        <v>569</v>
      </c>
      <c r="J102" s="5" t="str">
        <f>IFERROR(__xludf.DUMMYFUNCTION("GOOGLETRANSLATE(I102,""zh_HANT"",""zh_HANS"")"),"顽皮雷弹")</f>
        <v>顽皮雷弹</v>
      </c>
    </row>
    <row r="103">
      <c r="A103" s="3" t="str">
        <f t="shared" si="24"/>
        <v>NAME_PkMn_EXEGGCUTE</v>
      </c>
      <c r="B103" s="3" t="s">
        <v>570</v>
      </c>
      <c r="C103" s="3" t="s">
        <v>571</v>
      </c>
      <c r="D103" s="3" t="s">
        <v>572</v>
      </c>
      <c r="E103" s="3" t="s">
        <v>573</v>
      </c>
      <c r="F103" s="5" t="str">
        <f t="shared" si="2"/>
        <v>Exeggcute</v>
      </c>
      <c r="G103" s="5" t="str">
        <f t="shared" si="3"/>
        <v>Exeggcute</v>
      </c>
      <c r="H103" s="3" t="s">
        <v>574</v>
      </c>
      <c r="I103" s="3" t="s">
        <v>575</v>
      </c>
      <c r="J103" s="5" t="str">
        <f>I103</f>
        <v>蛋蛋</v>
      </c>
    </row>
    <row r="104">
      <c r="A104" s="3" t="str">
        <f t="shared" si="24"/>
        <v>NAME_PkMn_EXEGGUTOR</v>
      </c>
      <c r="B104" s="3" t="s">
        <v>576</v>
      </c>
      <c r="C104" s="3" t="s">
        <v>577</v>
      </c>
      <c r="D104" s="3" t="s">
        <v>578</v>
      </c>
      <c r="E104" s="3" t="s">
        <v>579</v>
      </c>
      <c r="F104" s="5" t="str">
        <f t="shared" si="2"/>
        <v>Exeggutor</v>
      </c>
      <c r="G104" s="5" t="str">
        <f t="shared" si="3"/>
        <v>Exeggutor</v>
      </c>
      <c r="H104" s="3" t="s">
        <v>580</v>
      </c>
      <c r="I104" s="3" t="s">
        <v>581</v>
      </c>
      <c r="J104" s="5" t="str">
        <f>IFERROR(__xludf.DUMMYFUNCTION("GOOGLETRANSLATE(I104,""zh_HANT"",""zh_HANS"")"),"椰蛋树")</f>
        <v>椰蛋树</v>
      </c>
    </row>
    <row r="105">
      <c r="A105" s="3" t="str">
        <f t="shared" si="24"/>
        <v>NAME_PkMn_CUBONE</v>
      </c>
      <c r="B105" s="3" t="s">
        <v>582</v>
      </c>
      <c r="C105" s="3" t="s">
        <v>583</v>
      </c>
      <c r="D105" s="3" t="s">
        <v>584</v>
      </c>
      <c r="E105" s="3" t="s">
        <v>585</v>
      </c>
      <c r="F105" s="5" t="str">
        <f t="shared" si="2"/>
        <v>Cubone</v>
      </c>
      <c r="G105" s="5" t="str">
        <f t="shared" si="3"/>
        <v>Cubone</v>
      </c>
      <c r="H105" s="3" t="s">
        <v>586</v>
      </c>
      <c r="I105" s="3" t="s">
        <v>587</v>
      </c>
      <c r="J105" s="5" t="str">
        <f t="shared" ref="J105:J106" si="32">I105</f>
        <v>卡拉卡拉</v>
      </c>
    </row>
    <row r="106">
      <c r="A106" s="3" t="str">
        <f t="shared" si="24"/>
        <v>NAME_PkMn_MAROWAK</v>
      </c>
      <c r="B106" s="3" t="s">
        <v>588</v>
      </c>
      <c r="C106" s="3" t="s">
        <v>589</v>
      </c>
      <c r="D106" s="3" t="s">
        <v>590</v>
      </c>
      <c r="E106" s="3" t="s">
        <v>591</v>
      </c>
      <c r="F106" s="5" t="str">
        <f t="shared" si="2"/>
        <v>Marowak</v>
      </c>
      <c r="G106" s="5" t="str">
        <f t="shared" si="3"/>
        <v>Marowak</v>
      </c>
      <c r="H106" s="3" t="s">
        <v>592</v>
      </c>
      <c r="I106" s="3" t="s">
        <v>593</v>
      </c>
      <c r="J106" s="5" t="str">
        <f t="shared" si="32"/>
        <v>嘎啦嘎啦</v>
      </c>
    </row>
    <row r="107">
      <c r="A107" s="3" t="str">
        <f t="shared" si="24"/>
        <v>NAME_PkMn_HITMONLEE</v>
      </c>
      <c r="B107" s="3" t="s">
        <v>594</v>
      </c>
      <c r="C107" s="3" t="s">
        <v>595</v>
      </c>
      <c r="D107" s="3" t="s">
        <v>596</v>
      </c>
      <c r="E107" s="3" t="s">
        <v>596</v>
      </c>
      <c r="F107" s="5" t="str">
        <f t="shared" si="2"/>
        <v>Hitmonlee</v>
      </c>
      <c r="G107" s="5" t="str">
        <f t="shared" si="3"/>
        <v>Hitmonlee</v>
      </c>
      <c r="H107" s="3" t="s">
        <v>597</v>
      </c>
      <c r="I107" s="3" t="s">
        <v>598</v>
      </c>
      <c r="J107" s="5" t="str">
        <f>IFERROR(__xludf.DUMMYFUNCTION("GOOGLETRANSLATE(I107,""zh_HANT"",""zh_HANS"")"),"飞腿郎")</f>
        <v>飞腿郎</v>
      </c>
    </row>
    <row r="108">
      <c r="A108" s="3" t="str">
        <f t="shared" si="24"/>
        <v>NAME_PkMn_HITMONCHAN</v>
      </c>
      <c r="B108" s="3" t="s">
        <v>599</v>
      </c>
      <c r="C108" s="3" t="s">
        <v>600</v>
      </c>
      <c r="D108" s="3" t="s">
        <v>601</v>
      </c>
      <c r="E108" s="3" t="s">
        <v>602</v>
      </c>
      <c r="F108" s="5" t="str">
        <f t="shared" si="2"/>
        <v>Hitmonchan</v>
      </c>
      <c r="G108" s="5" t="str">
        <f t="shared" si="3"/>
        <v>Hitmonchan</v>
      </c>
      <c r="H108" s="3" t="s">
        <v>603</v>
      </c>
      <c r="I108" s="3" t="s">
        <v>604</v>
      </c>
      <c r="J108" s="5" t="str">
        <f>I108</f>
        <v>快拳郎</v>
      </c>
    </row>
    <row r="109">
      <c r="A109" s="3" t="str">
        <f t="shared" si="24"/>
        <v>NAME_PkMn_LICKITUNG</v>
      </c>
      <c r="B109" s="3" t="s">
        <v>605</v>
      </c>
      <c r="C109" s="3" t="s">
        <v>606</v>
      </c>
      <c r="D109" s="3" t="s">
        <v>607</v>
      </c>
      <c r="E109" s="3" t="s">
        <v>608</v>
      </c>
      <c r="F109" s="5" t="str">
        <f t="shared" si="2"/>
        <v>Lickitung</v>
      </c>
      <c r="G109" s="5" t="str">
        <f t="shared" si="3"/>
        <v>Lickitung</v>
      </c>
      <c r="H109" s="3" t="s">
        <v>609</v>
      </c>
      <c r="I109" s="3" t="s">
        <v>610</v>
      </c>
      <c r="J109" s="5" t="str">
        <f>IFERROR(__xludf.DUMMYFUNCTION("GOOGLETRANSLATE(I109,""zh_HANT"",""zh_HANS"")"),"大舌头")</f>
        <v>大舌头</v>
      </c>
    </row>
    <row r="110">
      <c r="A110" s="3" t="str">
        <f t="shared" si="24"/>
        <v>NAME_PkMn_KOFFING</v>
      </c>
      <c r="B110" s="3" t="s">
        <v>611</v>
      </c>
      <c r="C110" s="3" t="s">
        <v>612</v>
      </c>
      <c r="D110" s="3" t="s">
        <v>613</v>
      </c>
      <c r="E110" s="3" t="s">
        <v>614</v>
      </c>
      <c r="F110" s="5" t="str">
        <f t="shared" si="2"/>
        <v>Koffing</v>
      </c>
      <c r="G110" s="5" t="str">
        <f t="shared" si="3"/>
        <v>Koffing</v>
      </c>
      <c r="H110" s="3" t="s">
        <v>615</v>
      </c>
      <c r="I110" s="3" t="s">
        <v>616</v>
      </c>
      <c r="J110" s="5" t="str">
        <f>IFERROR(__xludf.DUMMYFUNCTION("GOOGLETRANSLATE(I110,""zh_HANT"",""zh_HANS"")"),"瓦斯弹")</f>
        <v>瓦斯弹</v>
      </c>
    </row>
    <row r="111">
      <c r="A111" s="3" t="str">
        <f t="shared" si="24"/>
        <v>NAME_PkMn_WEEZING</v>
      </c>
      <c r="B111" s="3" t="s">
        <v>617</v>
      </c>
      <c r="C111" s="3" t="s">
        <v>618</v>
      </c>
      <c r="D111" s="3" t="s">
        <v>619</v>
      </c>
      <c r="E111" s="3" t="s">
        <v>620</v>
      </c>
      <c r="F111" s="5" t="str">
        <f t="shared" si="2"/>
        <v>Weezing</v>
      </c>
      <c r="G111" s="5" t="str">
        <f t="shared" si="3"/>
        <v>Weezing</v>
      </c>
      <c r="H111" s="3" t="s">
        <v>621</v>
      </c>
      <c r="I111" s="3" t="s">
        <v>622</v>
      </c>
      <c r="J111" s="5" t="str">
        <f>IFERROR(__xludf.DUMMYFUNCTION("GOOGLETRANSLATE(I111,""zh_HANT"",""zh_HANS"")"),"双弹瓦斯")</f>
        <v>双弹瓦斯</v>
      </c>
    </row>
    <row r="112">
      <c r="A112" s="3" t="str">
        <f t="shared" si="24"/>
        <v>NAME_PkMn_RHYHORN</v>
      </c>
      <c r="B112" s="3" t="s">
        <v>623</v>
      </c>
      <c r="C112" s="3" t="s">
        <v>624</v>
      </c>
      <c r="D112" s="3" t="s">
        <v>625</v>
      </c>
      <c r="E112" s="3" t="s">
        <v>626</v>
      </c>
      <c r="F112" s="5" t="str">
        <f t="shared" si="2"/>
        <v>Rhyhorn</v>
      </c>
      <c r="G112" s="5" t="str">
        <f t="shared" si="3"/>
        <v>Rhyhorn</v>
      </c>
      <c r="H112" s="3" t="s">
        <v>627</v>
      </c>
      <c r="I112" s="3" t="s">
        <v>628</v>
      </c>
      <c r="J112" s="5" t="str">
        <f>IFERROR(__xludf.DUMMYFUNCTION("GOOGLETRANSLATE(I112,""zh_HANT"",""zh_HANS"")"),"独角犀牛")</f>
        <v>独角犀牛</v>
      </c>
    </row>
    <row r="113">
      <c r="A113" s="3" t="str">
        <f t="shared" si="24"/>
        <v>NAME_PkMn_RHYDON</v>
      </c>
      <c r="B113" s="3" t="s">
        <v>629</v>
      </c>
      <c r="C113" s="3" t="s">
        <v>630</v>
      </c>
      <c r="D113" s="3" t="s">
        <v>631</v>
      </c>
      <c r="E113" s="3" t="s">
        <v>632</v>
      </c>
      <c r="F113" s="5" t="str">
        <f t="shared" si="2"/>
        <v>Rhydon</v>
      </c>
      <c r="G113" s="5" t="str">
        <f t="shared" si="3"/>
        <v>Rhydon</v>
      </c>
      <c r="H113" s="3" t="s">
        <v>633</v>
      </c>
      <c r="I113" s="3" t="s">
        <v>634</v>
      </c>
      <c r="J113" s="5" t="str">
        <f>IFERROR(__xludf.DUMMYFUNCTION("GOOGLETRANSLATE(I113,""zh_HANT"",""zh_HANS"")"),"钻角犀兽")</f>
        <v>钻角犀兽</v>
      </c>
    </row>
    <row r="114">
      <c r="A114" s="3" t="str">
        <f t="shared" si="24"/>
        <v>NAME_PkMn_CHANSEY</v>
      </c>
      <c r="B114" s="3" t="s">
        <v>635</v>
      </c>
      <c r="C114" s="3" t="s">
        <v>636</v>
      </c>
      <c r="D114" s="3" t="s">
        <v>637</v>
      </c>
      <c r="E114" s="3" t="s">
        <v>638</v>
      </c>
      <c r="F114" s="5" t="str">
        <f t="shared" si="2"/>
        <v>Chansey</v>
      </c>
      <c r="G114" s="5" t="str">
        <f t="shared" si="3"/>
        <v>Chansey</v>
      </c>
      <c r="H114" s="3" t="s">
        <v>639</v>
      </c>
      <c r="I114" s="3" t="s">
        <v>640</v>
      </c>
      <c r="J114" s="5" t="str">
        <f t="shared" ref="J114:J115" si="33">I114</f>
        <v>吉利蛋</v>
      </c>
    </row>
    <row r="115">
      <c r="A115" s="3" t="str">
        <f t="shared" si="24"/>
        <v>NAME_PkMn_TANGELA</v>
      </c>
      <c r="B115" s="3" t="s">
        <v>641</v>
      </c>
      <c r="C115" s="3" t="s">
        <v>642</v>
      </c>
      <c r="D115" s="3" t="s">
        <v>643</v>
      </c>
      <c r="E115" s="5" t="str">
        <f>B115</f>
        <v>Tangela</v>
      </c>
      <c r="F115" s="5" t="str">
        <f t="shared" si="2"/>
        <v>Tangela</v>
      </c>
      <c r="G115" s="5" t="str">
        <f t="shared" si="3"/>
        <v>Tangela</v>
      </c>
      <c r="H115" s="3" t="s">
        <v>644</v>
      </c>
      <c r="I115" s="3" t="s">
        <v>645</v>
      </c>
      <c r="J115" s="5" t="str">
        <f t="shared" si="33"/>
        <v>蔓藤怪</v>
      </c>
    </row>
    <row r="116">
      <c r="A116" s="3" t="str">
        <f t="shared" si="24"/>
        <v>NAME_PkMn_KANGASKHAN</v>
      </c>
      <c r="B116" s="3" t="s">
        <v>646</v>
      </c>
      <c r="C116" s="3" t="s">
        <v>647</v>
      </c>
      <c r="D116" s="3" t="s">
        <v>648</v>
      </c>
      <c r="E116" s="3" t="s">
        <v>649</v>
      </c>
      <c r="F116" s="5" t="str">
        <f t="shared" si="2"/>
        <v>Kangaskhan</v>
      </c>
      <c r="G116" s="5" t="str">
        <f t="shared" si="3"/>
        <v>Kangaskhan</v>
      </c>
      <c r="H116" s="3" t="s">
        <v>650</v>
      </c>
      <c r="I116" s="5" t="str">
        <f>IFERROR(__xludf.DUMMYFUNCTION("GOOGLETRANSLATE(J116,""zh_HANS"",""zh_HANT"")"),"袋獸")</f>
        <v>袋獸</v>
      </c>
      <c r="J116" s="3" t="s">
        <v>651</v>
      </c>
    </row>
    <row r="117">
      <c r="A117" s="3" t="str">
        <f t="shared" si="24"/>
        <v>NAME_PkMn_HORSEA</v>
      </c>
      <c r="B117" s="3" t="s">
        <v>652</v>
      </c>
      <c r="C117" s="3" t="s">
        <v>653</v>
      </c>
      <c r="D117" s="3" t="s">
        <v>654</v>
      </c>
      <c r="E117" s="3" t="s">
        <v>655</v>
      </c>
      <c r="F117" s="5" t="str">
        <f t="shared" si="2"/>
        <v>Horsea</v>
      </c>
      <c r="G117" s="5" t="str">
        <f t="shared" si="3"/>
        <v>Horsea</v>
      </c>
      <c r="H117" s="3" t="s">
        <v>656</v>
      </c>
      <c r="I117" s="3" t="s">
        <v>657</v>
      </c>
      <c r="J117" s="5" t="str">
        <f>IFERROR(__xludf.DUMMYFUNCTION("GOOGLETRANSLATE(I117,""zh_HANT"",""zh_HANS"")"),"墨海马")</f>
        <v>墨海马</v>
      </c>
    </row>
    <row r="118">
      <c r="A118" s="3" t="str">
        <f t="shared" si="24"/>
        <v>NAME_PkMn_SEADRA</v>
      </c>
      <c r="B118" s="3" t="s">
        <v>658</v>
      </c>
      <c r="C118" s="3" t="s">
        <v>659</v>
      </c>
      <c r="D118" s="3" t="s">
        <v>660</v>
      </c>
      <c r="E118" s="3" t="s">
        <v>661</v>
      </c>
      <c r="F118" s="5" t="str">
        <f t="shared" si="2"/>
        <v>Seadra</v>
      </c>
      <c r="G118" s="5" t="str">
        <f t="shared" si="3"/>
        <v>Seadra</v>
      </c>
      <c r="H118" s="3" t="s">
        <v>662</v>
      </c>
      <c r="I118" s="3" t="s">
        <v>663</v>
      </c>
      <c r="J118" s="5" t="str">
        <f>IFERROR(__xludf.DUMMYFUNCTION("GOOGLETRANSLATE(I118,""zh_HANT"",""zh_HANS"")"),"海刺龙")</f>
        <v>海刺龙</v>
      </c>
    </row>
    <row r="119">
      <c r="A119" s="3" t="str">
        <f t="shared" si="24"/>
        <v>NAME_PkMn_GOLDEEN</v>
      </c>
      <c r="B119" s="3" t="s">
        <v>664</v>
      </c>
      <c r="C119" s="3" t="s">
        <v>665</v>
      </c>
      <c r="D119" s="3" t="s">
        <v>666</v>
      </c>
      <c r="E119" s="3" t="s">
        <v>667</v>
      </c>
      <c r="F119" s="5" t="str">
        <f t="shared" si="2"/>
        <v>Goldeen</v>
      </c>
      <c r="G119" s="5" t="str">
        <f t="shared" si="3"/>
        <v>Goldeen</v>
      </c>
      <c r="H119" s="3" t="s">
        <v>668</v>
      </c>
      <c r="I119" s="3" t="s">
        <v>669</v>
      </c>
      <c r="J119" s="5" t="str">
        <f>IFERROR(__xludf.DUMMYFUNCTION("GOOGLETRANSLATE(I119,""zh_HANT"",""zh_HANS"")"),"角金鱼")</f>
        <v>角金鱼</v>
      </c>
    </row>
    <row r="120">
      <c r="A120" s="3" t="str">
        <f t="shared" si="24"/>
        <v>NAME_PkMn_SEAKING</v>
      </c>
      <c r="B120" s="3" t="s">
        <v>670</v>
      </c>
      <c r="C120" s="3" t="s">
        <v>671</v>
      </c>
      <c r="D120" s="3" t="s">
        <v>672</v>
      </c>
      <c r="E120" s="3" t="s">
        <v>673</v>
      </c>
      <c r="F120" s="5" t="str">
        <f t="shared" si="2"/>
        <v>Seaking</v>
      </c>
      <c r="G120" s="5" t="str">
        <f t="shared" si="3"/>
        <v>Seaking</v>
      </c>
      <c r="H120" s="3" t="s">
        <v>674</v>
      </c>
      <c r="I120" s="3" t="s">
        <v>675</v>
      </c>
      <c r="J120" s="5" t="str">
        <f>IFERROR(__xludf.DUMMYFUNCTION("GOOGLETRANSLATE(I120,""zh_HANT"",""zh_HANS"")"),"金鱼王")</f>
        <v>金鱼王</v>
      </c>
    </row>
    <row r="121">
      <c r="A121" s="3" t="str">
        <f t="shared" si="24"/>
        <v>NAME_PkMn_STARYU</v>
      </c>
      <c r="B121" s="3" t="s">
        <v>676</v>
      </c>
      <c r="C121" s="3" t="s">
        <v>677</v>
      </c>
      <c r="D121" s="3" t="s">
        <v>678</v>
      </c>
      <c r="E121" s="3" t="s">
        <v>679</v>
      </c>
      <c r="F121" s="5" t="str">
        <f t="shared" si="2"/>
        <v>Staryu</v>
      </c>
      <c r="G121" s="5" t="str">
        <f t="shared" si="3"/>
        <v>Staryu</v>
      </c>
      <c r="H121" s="3" t="s">
        <v>680</v>
      </c>
      <c r="I121" s="3" t="s">
        <v>681</v>
      </c>
      <c r="J121" s="5" t="str">
        <f>I121</f>
        <v>海星星</v>
      </c>
    </row>
    <row r="122">
      <c r="A122" s="3" t="str">
        <f t="shared" si="24"/>
        <v>NAME_PkMn_STARMIE</v>
      </c>
      <c r="B122" s="3" t="s">
        <v>682</v>
      </c>
      <c r="C122" s="3" t="s">
        <v>683</v>
      </c>
      <c r="D122" s="3" t="s">
        <v>684</v>
      </c>
      <c r="E122" s="5" t="str">
        <f>B122</f>
        <v>Starmie</v>
      </c>
      <c r="F122" s="5" t="str">
        <f t="shared" si="2"/>
        <v>Starmie</v>
      </c>
      <c r="G122" s="5" t="str">
        <f t="shared" si="3"/>
        <v>Starmie</v>
      </c>
      <c r="H122" s="3" t="s">
        <v>685</v>
      </c>
      <c r="I122" s="3" t="s">
        <v>686</v>
      </c>
      <c r="J122" s="5" t="str">
        <f>IFERROR(__xludf.DUMMYFUNCTION("GOOGLETRANSLATE(I122,""zh_HANT"",""zh_HANS"")"),"宝石海星")</f>
        <v>宝石海星</v>
      </c>
    </row>
    <row r="123">
      <c r="A123" s="3" t="s">
        <v>687</v>
      </c>
      <c r="B123" s="3" t="s">
        <v>688</v>
      </c>
      <c r="C123" s="3" t="s">
        <v>689</v>
      </c>
      <c r="D123" s="3" t="s">
        <v>690</v>
      </c>
      <c r="E123" s="3" t="s">
        <v>691</v>
      </c>
      <c r="F123" s="5" t="str">
        <f t="shared" si="2"/>
        <v>Mr. Mime</v>
      </c>
      <c r="G123" s="5" t="str">
        <f t="shared" si="3"/>
        <v>Mr. Mime</v>
      </c>
      <c r="H123" s="3" t="s">
        <v>692</v>
      </c>
      <c r="I123" s="3" t="s">
        <v>693</v>
      </c>
      <c r="J123" s="5" t="str">
        <f>IFERROR(__xludf.DUMMYFUNCTION("GOOGLETRANSLATE(I123,""zh_HANT"",""zh_HANS"")"),"魔墙人偶")</f>
        <v>魔墙人偶</v>
      </c>
    </row>
    <row r="124">
      <c r="A124" s="3" t="str">
        <f t="shared" ref="A124:A250" si="34">CONCATENATE("NAME_PkMn_", UPPER(B124))</f>
        <v>NAME_PkMn_SCYTHER</v>
      </c>
      <c r="B124" s="3" t="s">
        <v>694</v>
      </c>
      <c r="C124" s="3" t="s">
        <v>695</v>
      </c>
      <c r="D124" s="3" t="s">
        <v>696</v>
      </c>
      <c r="E124" s="3" t="s">
        <v>697</v>
      </c>
      <c r="F124" s="5" t="str">
        <f t="shared" si="2"/>
        <v>Scyther</v>
      </c>
      <c r="G124" s="5" t="str">
        <f t="shared" si="3"/>
        <v>Scyther</v>
      </c>
      <c r="H124" s="3" t="s">
        <v>698</v>
      </c>
      <c r="I124" s="3" t="s">
        <v>699</v>
      </c>
      <c r="J124" s="5" t="str">
        <f>IFERROR(__xludf.DUMMYFUNCTION("GOOGLETRANSLATE(I124,""zh_HANT"",""zh_HANS"")"),"飞天螳螂")</f>
        <v>飞天螳螂</v>
      </c>
    </row>
    <row r="125">
      <c r="A125" s="3" t="str">
        <f t="shared" si="34"/>
        <v>NAME_PkMn_JYNX</v>
      </c>
      <c r="B125" s="3" t="s">
        <v>700</v>
      </c>
      <c r="C125" s="3" t="s">
        <v>701</v>
      </c>
      <c r="D125" s="3" t="s">
        <v>702</v>
      </c>
      <c r="E125" s="3" t="s">
        <v>703</v>
      </c>
      <c r="F125" s="5" t="str">
        <f t="shared" si="2"/>
        <v>Jynx</v>
      </c>
      <c r="G125" s="5" t="str">
        <f t="shared" si="3"/>
        <v>Jynx</v>
      </c>
      <c r="H125" s="3" t="s">
        <v>704</v>
      </c>
      <c r="I125" s="3" t="s">
        <v>705</v>
      </c>
      <c r="J125" s="5" t="str">
        <f>I125</f>
        <v>迷唇姐</v>
      </c>
    </row>
    <row r="126">
      <c r="A126" s="3" t="str">
        <f t="shared" si="34"/>
        <v>NAME_PkMn_ELECTABUZZ</v>
      </c>
      <c r="B126" s="3" t="s">
        <v>706</v>
      </c>
      <c r="C126" s="3" t="s">
        <v>707</v>
      </c>
      <c r="D126" s="3" t="s">
        <v>708</v>
      </c>
      <c r="E126" s="3" t="s">
        <v>709</v>
      </c>
      <c r="F126" s="5" t="str">
        <f t="shared" si="2"/>
        <v>Electabuzz</v>
      </c>
      <c r="G126" s="5" t="str">
        <f t="shared" si="3"/>
        <v>Electabuzz</v>
      </c>
      <c r="H126" s="3" t="s">
        <v>710</v>
      </c>
      <c r="I126" s="3" t="s">
        <v>711</v>
      </c>
      <c r="J126" s="5" t="str">
        <f>IFERROR(__xludf.DUMMYFUNCTION("GOOGLETRANSLATE(I126,""zh_HANT"",""zh_HANS"")"),"电击兽")</f>
        <v>电击兽</v>
      </c>
    </row>
    <row r="127">
      <c r="A127" s="3" t="str">
        <f t="shared" si="34"/>
        <v>NAME_PkMn_MAGMAR</v>
      </c>
      <c r="B127" s="3" t="s">
        <v>712</v>
      </c>
      <c r="C127" s="3" t="s">
        <v>713</v>
      </c>
      <c r="D127" s="5" t="str">
        <f>B127</f>
        <v>Magmar</v>
      </c>
      <c r="E127" s="5" t="str">
        <f t="shared" ref="E127:E130" si="35">B127</f>
        <v>Magmar</v>
      </c>
      <c r="F127" s="5" t="str">
        <f t="shared" si="2"/>
        <v>Magmar</v>
      </c>
      <c r="G127" s="5" t="str">
        <f t="shared" si="3"/>
        <v>Magmar</v>
      </c>
      <c r="H127" s="3" t="s">
        <v>714</v>
      </c>
      <c r="I127" s="3" t="s">
        <v>715</v>
      </c>
      <c r="J127" s="5" t="str">
        <f>IFERROR(__xludf.DUMMYFUNCTION("GOOGLETRANSLATE(I127,""zh_HANT"",""zh_HANS"")"),"鸭嘴火兽")</f>
        <v>鸭嘴火兽</v>
      </c>
    </row>
    <row r="128">
      <c r="A128" s="3" t="str">
        <f t="shared" si="34"/>
        <v>NAME_PkMn_PINISIR</v>
      </c>
      <c r="B128" s="3" t="s">
        <v>716</v>
      </c>
      <c r="C128" s="3" t="s">
        <v>717</v>
      </c>
      <c r="D128" s="3" t="s">
        <v>718</v>
      </c>
      <c r="E128" s="5" t="str">
        <f t="shared" si="35"/>
        <v>Pinisir</v>
      </c>
      <c r="F128" s="5" t="str">
        <f t="shared" si="2"/>
        <v>Pinisir</v>
      </c>
      <c r="G128" s="5" t="str">
        <f t="shared" si="3"/>
        <v>Pinisir</v>
      </c>
      <c r="H128" s="3" t="s">
        <v>719</v>
      </c>
      <c r="I128" s="5" t="str">
        <f>IFERROR(__xludf.DUMMYFUNCTION("GOOGLETRANSLATE(J128,""zh_HANS"",""zh_HANT"")"),"凱羅斯")</f>
        <v>凱羅斯</v>
      </c>
      <c r="J128" s="3" t="s">
        <v>720</v>
      </c>
    </row>
    <row r="129">
      <c r="A129" s="3" t="str">
        <f t="shared" si="34"/>
        <v>NAME_PkMn_TAUROS</v>
      </c>
      <c r="B129" s="3" t="s">
        <v>721</v>
      </c>
      <c r="C129" s="3" t="s">
        <v>722</v>
      </c>
      <c r="D129" s="5" t="str">
        <f>B129</f>
        <v>Tauros</v>
      </c>
      <c r="E129" s="5" t="str">
        <f t="shared" si="35"/>
        <v>Tauros</v>
      </c>
      <c r="F129" s="5" t="str">
        <f t="shared" si="2"/>
        <v>Tauros</v>
      </c>
      <c r="G129" s="5" t="str">
        <f t="shared" si="3"/>
        <v>Tauros</v>
      </c>
      <c r="H129" s="3" t="s">
        <v>723</v>
      </c>
      <c r="I129" s="3" t="s">
        <v>724</v>
      </c>
      <c r="J129" s="5" t="str">
        <f>IFERROR(__xludf.DUMMYFUNCTION("GOOGLETRANSLATE(I129,""zh_HANT"",""zh_HANS"")"),"肯泰罗")</f>
        <v>肯泰罗</v>
      </c>
    </row>
    <row r="130">
      <c r="A130" s="3" t="str">
        <f t="shared" si="34"/>
        <v>NAME_PkMn_MAGIKARP</v>
      </c>
      <c r="B130" s="3" t="s">
        <v>725</v>
      </c>
      <c r="C130" s="3" t="s">
        <v>726</v>
      </c>
      <c r="D130" s="3" t="s">
        <v>727</v>
      </c>
      <c r="E130" s="5" t="str">
        <f t="shared" si="35"/>
        <v>Magikarp</v>
      </c>
      <c r="F130" s="5" t="str">
        <f t="shared" si="2"/>
        <v>Magikarp</v>
      </c>
      <c r="G130" s="5" t="str">
        <f t="shared" si="3"/>
        <v>Magikarp</v>
      </c>
      <c r="H130" s="3" t="s">
        <v>728</v>
      </c>
      <c r="I130" s="3" t="s">
        <v>729</v>
      </c>
      <c r="J130" s="5" t="str">
        <f>IFERROR(__xludf.DUMMYFUNCTION("GOOGLETRANSLATE(I130,""zh_HANT"",""zh_HANS"")"),"鲤鱼王")</f>
        <v>鲤鱼王</v>
      </c>
    </row>
    <row r="131">
      <c r="A131" s="3" t="str">
        <f t="shared" si="34"/>
        <v>NAME_PkMn_GYRADOS</v>
      </c>
      <c r="B131" s="3" t="s">
        <v>730</v>
      </c>
      <c r="C131" s="3" t="s">
        <v>731</v>
      </c>
      <c r="D131" s="3" t="s">
        <v>732</v>
      </c>
      <c r="E131" s="3" t="s">
        <v>733</v>
      </c>
      <c r="F131" s="5" t="str">
        <f t="shared" si="2"/>
        <v>Gyrados</v>
      </c>
      <c r="G131" s="5" t="str">
        <f t="shared" si="3"/>
        <v>Gyrados</v>
      </c>
      <c r="H131" s="3" t="s">
        <v>734</v>
      </c>
      <c r="I131" s="5" t="str">
        <f>IFERROR(__xludf.DUMMYFUNCTION("GOOGLETRANSLATE(J131,""zh_HANS"",""zh_HANT"")"),"暴鯉龍")</f>
        <v>暴鯉龍</v>
      </c>
      <c r="J131" s="3" t="s">
        <v>735</v>
      </c>
    </row>
    <row r="132">
      <c r="A132" s="3" t="str">
        <f t="shared" si="34"/>
        <v>NAME_PkMn_LAPRAS</v>
      </c>
      <c r="B132" s="3" t="s">
        <v>736</v>
      </c>
      <c r="C132" s="3" t="s">
        <v>737</v>
      </c>
      <c r="D132" s="3" t="s">
        <v>738</v>
      </c>
      <c r="E132" s="5" t="str">
        <f t="shared" ref="E132:E133" si="36">B132</f>
        <v>Lapras</v>
      </c>
      <c r="F132" s="5" t="str">
        <f t="shared" si="2"/>
        <v>Lapras</v>
      </c>
      <c r="G132" s="5" t="str">
        <f t="shared" si="3"/>
        <v>Lapras</v>
      </c>
      <c r="H132" s="3" t="s">
        <v>739</v>
      </c>
      <c r="I132" s="3" t="s">
        <v>740</v>
      </c>
      <c r="J132" s="5" t="str">
        <f>I132</f>
        <v>拉普拉斯</v>
      </c>
    </row>
    <row r="133">
      <c r="A133" s="3" t="str">
        <f t="shared" si="34"/>
        <v>NAME_PkMn_DITTO</v>
      </c>
      <c r="B133" s="3" t="s">
        <v>741</v>
      </c>
      <c r="C133" s="3" t="s">
        <v>742</v>
      </c>
      <c r="D133" s="3" t="s">
        <v>743</v>
      </c>
      <c r="E133" s="5" t="str">
        <f t="shared" si="36"/>
        <v>Ditto</v>
      </c>
      <c r="F133" s="5" t="str">
        <f t="shared" si="2"/>
        <v>Ditto</v>
      </c>
      <c r="G133" s="5" t="str">
        <f t="shared" si="3"/>
        <v>Ditto</v>
      </c>
      <c r="H133" s="3" t="s">
        <v>744</v>
      </c>
      <c r="I133" s="3" t="s">
        <v>745</v>
      </c>
      <c r="J133" s="5" t="str">
        <f>IFERROR(__xludf.DUMMYFUNCTION("GOOGLETRANSLATE(I133,""zh_HANT"",""zh_HANS"")"),"百变怪")</f>
        <v>百变怪</v>
      </c>
    </row>
    <row r="134">
      <c r="A134" s="3" t="str">
        <f t="shared" si="34"/>
        <v>NAME_PkMn_EEVEE</v>
      </c>
      <c r="B134" s="3" t="s">
        <v>746</v>
      </c>
      <c r="C134" s="3" t="s">
        <v>747</v>
      </c>
      <c r="D134" s="3" t="s">
        <v>748</v>
      </c>
      <c r="E134" s="3" t="s">
        <v>749</v>
      </c>
      <c r="F134" s="5" t="str">
        <f t="shared" si="2"/>
        <v>Eevee</v>
      </c>
      <c r="G134" s="5" t="str">
        <f t="shared" si="3"/>
        <v>Eevee</v>
      </c>
      <c r="H134" s="3" t="s">
        <v>750</v>
      </c>
      <c r="I134" s="5" t="str">
        <f>J134</f>
        <v>伊布</v>
      </c>
      <c r="J134" s="3" t="s">
        <v>751</v>
      </c>
    </row>
    <row r="135">
      <c r="A135" s="3" t="str">
        <f t="shared" si="34"/>
        <v>NAME_PkMn_VAPOREON</v>
      </c>
      <c r="B135" s="3" t="s">
        <v>752</v>
      </c>
      <c r="C135" s="3" t="s">
        <v>753</v>
      </c>
      <c r="D135" s="3" t="s">
        <v>754</v>
      </c>
      <c r="E135" s="3" t="s">
        <v>755</v>
      </c>
      <c r="F135" s="5" t="str">
        <f t="shared" si="2"/>
        <v>Vaporeon</v>
      </c>
      <c r="G135" s="5" t="str">
        <f t="shared" si="3"/>
        <v>Vaporeon</v>
      </c>
      <c r="H135" s="3" t="s">
        <v>756</v>
      </c>
      <c r="I135" s="3" t="s">
        <v>757</v>
      </c>
      <c r="J135" s="5" t="str">
        <f t="shared" ref="J135:J137" si="37">I135</f>
        <v>水伊布</v>
      </c>
    </row>
    <row r="136">
      <c r="A136" s="3" t="str">
        <f t="shared" si="34"/>
        <v>NAME_PkMn_JOLTEON</v>
      </c>
      <c r="B136" s="3" t="s">
        <v>758</v>
      </c>
      <c r="C136" s="3" t="s">
        <v>759</v>
      </c>
      <c r="D136" s="3" t="s">
        <v>760</v>
      </c>
      <c r="E136" s="3" t="s">
        <v>761</v>
      </c>
      <c r="F136" s="5" t="str">
        <f t="shared" si="2"/>
        <v>Jolteon</v>
      </c>
      <c r="G136" s="5" t="str">
        <f t="shared" si="3"/>
        <v>Jolteon</v>
      </c>
      <c r="H136" s="3" t="s">
        <v>762</v>
      </c>
      <c r="I136" s="3" t="s">
        <v>763</v>
      </c>
      <c r="J136" s="5" t="str">
        <f t="shared" si="37"/>
        <v>雷伊布</v>
      </c>
    </row>
    <row r="137">
      <c r="A137" s="3" t="str">
        <f t="shared" si="34"/>
        <v>NAME_PkMn_FLAREON</v>
      </c>
      <c r="B137" s="3" t="s">
        <v>764</v>
      </c>
      <c r="C137" s="3" t="s">
        <v>765</v>
      </c>
      <c r="D137" s="3" t="s">
        <v>766</v>
      </c>
      <c r="E137" s="3" t="s">
        <v>767</v>
      </c>
      <c r="F137" s="5" t="str">
        <f t="shared" si="2"/>
        <v>Flareon</v>
      </c>
      <c r="G137" s="5" t="str">
        <f t="shared" si="3"/>
        <v>Flareon</v>
      </c>
      <c r="H137" s="3" t="s">
        <v>768</v>
      </c>
      <c r="I137" s="3" t="s">
        <v>769</v>
      </c>
      <c r="J137" s="5" t="str">
        <f t="shared" si="37"/>
        <v>火伊布</v>
      </c>
    </row>
    <row r="138">
      <c r="A138" s="3" t="str">
        <f t="shared" si="34"/>
        <v>NAME_PkMn_PORYGON</v>
      </c>
      <c r="B138" s="3" t="s">
        <v>770</v>
      </c>
      <c r="C138" s="3" t="s">
        <v>771</v>
      </c>
      <c r="D138" s="5" t="str">
        <f>B138</f>
        <v>Porygon</v>
      </c>
      <c r="E138" s="5" t="str">
        <f>B138</f>
        <v>Porygon</v>
      </c>
      <c r="F138" s="5" t="str">
        <f t="shared" si="2"/>
        <v>Porygon</v>
      </c>
      <c r="G138" s="5" t="str">
        <f t="shared" si="3"/>
        <v>Porygon</v>
      </c>
      <c r="H138" s="3" t="s">
        <v>772</v>
      </c>
      <c r="I138" s="5" t="str">
        <f>IFERROR(__xludf.DUMMYFUNCTION("GOOGLETRANSLATE(J138,""zh_HANS"",""zh_HANT"")"),"多邊獸")</f>
        <v>多邊獸</v>
      </c>
      <c r="J138" s="3" t="s">
        <v>773</v>
      </c>
    </row>
    <row r="139">
      <c r="A139" s="3" t="str">
        <f t="shared" si="34"/>
        <v>NAME_PkMn_OMANYTE</v>
      </c>
      <c r="B139" s="3" t="s">
        <v>774</v>
      </c>
      <c r="C139" s="3" t="s">
        <v>775</v>
      </c>
      <c r="D139" s="3" t="s">
        <v>776</v>
      </c>
      <c r="E139" s="3" t="s">
        <v>777</v>
      </c>
      <c r="F139" s="5" t="str">
        <f t="shared" si="2"/>
        <v>Omanyte</v>
      </c>
      <c r="G139" s="5" t="str">
        <f t="shared" si="3"/>
        <v>Omanyte</v>
      </c>
      <c r="H139" s="3" t="s">
        <v>778</v>
      </c>
      <c r="I139" s="3" t="s">
        <v>779</v>
      </c>
      <c r="J139" s="5" t="str">
        <f>IFERROR(__xludf.DUMMYFUNCTION("GOOGLETRANSLATE(I139,""zh_HANT"",""zh_HANS"")"),"菊石兽")</f>
        <v>菊石兽</v>
      </c>
    </row>
    <row r="140">
      <c r="A140" s="3" t="str">
        <f t="shared" si="34"/>
        <v>NAME_PkMn_OMASTAR</v>
      </c>
      <c r="B140" s="3" t="s">
        <v>780</v>
      </c>
      <c r="C140" s="3" t="s">
        <v>781</v>
      </c>
      <c r="D140" s="3" t="s">
        <v>782</v>
      </c>
      <c r="E140" s="3" t="s">
        <v>783</v>
      </c>
      <c r="F140" s="5" t="str">
        <f t="shared" si="2"/>
        <v>Omastar</v>
      </c>
      <c r="G140" s="5" t="str">
        <f t="shared" si="3"/>
        <v>Omastar</v>
      </c>
      <c r="H140" s="3" t="s">
        <v>784</v>
      </c>
      <c r="I140" s="3" t="s">
        <v>785</v>
      </c>
      <c r="J140" s="5" t="str">
        <f>IFERROR(__xludf.DUMMYFUNCTION("GOOGLETRANSLATE(I140,""zh_HANT"",""zh_HANS"")"),"多刺菊石兽")</f>
        <v>多刺菊石兽</v>
      </c>
    </row>
    <row r="141">
      <c r="A141" s="3" t="str">
        <f t="shared" si="34"/>
        <v>NAME_PkMn_KABUTO</v>
      </c>
      <c r="B141" s="3" t="s">
        <v>786</v>
      </c>
      <c r="C141" s="3" t="s">
        <v>787</v>
      </c>
      <c r="D141" s="5" t="str">
        <f t="shared" ref="D141:D142" si="38">B141</f>
        <v>Kabuto</v>
      </c>
      <c r="E141" s="5" t="str">
        <f t="shared" ref="E141:E143" si="39">B141</f>
        <v>Kabuto</v>
      </c>
      <c r="F141" s="5" t="str">
        <f t="shared" si="2"/>
        <v>Kabuto</v>
      </c>
      <c r="G141" s="5" t="str">
        <f t="shared" si="3"/>
        <v>Kabuto</v>
      </c>
      <c r="H141" s="3" t="s">
        <v>788</v>
      </c>
      <c r="I141" s="3" t="s">
        <v>789</v>
      </c>
      <c r="J141" s="5" t="str">
        <f>I141</f>
        <v>化石盔</v>
      </c>
    </row>
    <row r="142">
      <c r="A142" s="3" t="str">
        <f t="shared" si="34"/>
        <v>NAME_PkMn_KABUTOPS</v>
      </c>
      <c r="B142" s="3" t="s">
        <v>790</v>
      </c>
      <c r="C142" s="3" t="s">
        <v>791</v>
      </c>
      <c r="D142" s="5" t="str">
        <f t="shared" si="38"/>
        <v>Kabutops</v>
      </c>
      <c r="E142" s="5" t="str">
        <f t="shared" si="39"/>
        <v>Kabutops</v>
      </c>
      <c r="F142" s="5" t="str">
        <f t="shared" si="2"/>
        <v>Kabutops</v>
      </c>
      <c r="G142" s="5" t="str">
        <f t="shared" si="3"/>
        <v>Kabutops</v>
      </c>
      <c r="H142" s="3" t="s">
        <v>792</v>
      </c>
      <c r="I142" s="3" t="s">
        <v>793</v>
      </c>
      <c r="J142" s="5" t="str">
        <f>IFERROR(__xludf.DUMMYFUNCTION("GOOGLETRANSLATE(I142,""zh_HANT"",""zh_HANS"")"),"镰刀盔")</f>
        <v>镰刀盔</v>
      </c>
    </row>
    <row r="143">
      <c r="A143" s="3" t="str">
        <f t="shared" si="34"/>
        <v>NAME_PkMn_AERODACTYL</v>
      </c>
      <c r="B143" s="3" t="s">
        <v>794</v>
      </c>
      <c r="C143" s="3" t="s">
        <v>795</v>
      </c>
      <c r="D143" s="3" t="s">
        <v>796</v>
      </c>
      <c r="E143" s="5" t="str">
        <f t="shared" si="39"/>
        <v>Aerodactyl</v>
      </c>
      <c r="F143" s="5" t="str">
        <f t="shared" si="2"/>
        <v>Aerodactyl</v>
      </c>
      <c r="G143" s="5" t="str">
        <f t="shared" si="3"/>
        <v>Aerodactyl</v>
      </c>
      <c r="H143" s="3" t="s">
        <v>797</v>
      </c>
      <c r="I143" s="5" t="str">
        <f>IFERROR(__xludf.DUMMYFUNCTION("GOOGLETRANSLATE(J143,""zh_HANS"",""zh_HANT"")"),"化石翼龍")</f>
        <v>化石翼龍</v>
      </c>
      <c r="J143" s="3" t="s">
        <v>798</v>
      </c>
    </row>
    <row r="144">
      <c r="A144" s="3" t="str">
        <f t="shared" si="34"/>
        <v>NAME_PkMn_SNORLAX</v>
      </c>
      <c r="B144" s="3" t="s">
        <v>799</v>
      </c>
      <c r="C144" s="3" t="s">
        <v>800</v>
      </c>
      <c r="D144" s="3" t="s">
        <v>801</v>
      </c>
      <c r="E144" s="3" t="s">
        <v>802</v>
      </c>
      <c r="F144" s="5" t="str">
        <f t="shared" si="2"/>
        <v>Snorlax</v>
      </c>
      <c r="G144" s="5" t="str">
        <f t="shared" si="3"/>
        <v>Snorlax</v>
      </c>
      <c r="H144" s="3" t="s">
        <v>803</v>
      </c>
      <c r="I144" s="5" t="str">
        <f>IFERROR(__xludf.DUMMYFUNCTION("GOOGLETRANSLATE(J144,""zh_HANS"",""zh_HANT"")"),"卡比獸")</f>
        <v>卡比獸</v>
      </c>
      <c r="J144" s="3" t="s">
        <v>804</v>
      </c>
    </row>
    <row r="145">
      <c r="A145" s="3" t="str">
        <f t="shared" si="34"/>
        <v>NAME_PkMn_ARTICUNO</v>
      </c>
      <c r="B145" s="3" t="s">
        <v>805</v>
      </c>
      <c r="C145" s="3" t="s">
        <v>806</v>
      </c>
      <c r="D145" s="3" t="s">
        <v>807</v>
      </c>
      <c r="E145" s="3" t="s">
        <v>808</v>
      </c>
      <c r="F145" s="5" t="str">
        <f t="shared" si="2"/>
        <v>Articuno</v>
      </c>
      <c r="G145" s="5" t="str">
        <f t="shared" si="3"/>
        <v>Articuno</v>
      </c>
      <c r="H145" s="3" t="s">
        <v>809</v>
      </c>
      <c r="I145" s="3" t="s">
        <v>810</v>
      </c>
      <c r="J145" s="5" t="str">
        <f>IFERROR(__xludf.DUMMYFUNCTION("GOOGLETRANSLATE(I145,""zh_HANT"",""zh_HANS"")"),"急冻鸟")</f>
        <v>急冻鸟</v>
      </c>
    </row>
    <row r="146">
      <c r="A146" s="3" t="str">
        <f t="shared" si="34"/>
        <v>NAME_PkMn_ZAPDOS</v>
      </c>
      <c r="B146" s="3" t="s">
        <v>811</v>
      </c>
      <c r="C146" s="3" t="s">
        <v>812</v>
      </c>
      <c r="D146" s="3" t="s">
        <v>813</v>
      </c>
      <c r="E146" s="3" t="s">
        <v>811</v>
      </c>
      <c r="F146" s="5" t="str">
        <f t="shared" si="2"/>
        <v>Zapdos</v>
      </c>
      <c r="G146" s="5" t="str">
        <f t="shared" si="3"/>
        <v>Zapdos</v>
      </c>
      <c r="H146" s="3" t="s">
        <v>814</v>
      </c>
      <c r="I146" s="3" t="s">
        <v>815</v>
      </c>
      <c r="J146" s="5" t="str">
        <f>IFERROR(__xludf.DUMMYFUNCTION("GOOGLETRANSLATE(I146,""zh_HANT"",""zh_HANS"")"),"闪电鸟")</f>
        <v>闪电鸟</v>
      </c>
    </row>
    <row r="147">
      <c r="A147" s="3" t="str">
        <f t="shared" si="34"/>
        <v>NAME_PkMn_MOLTRES</v>
      </c>
      <c r="B147" s="3" t="s">
        <v>816</v>
      </c>
      <c r="C147" s="3" t="s">
        <v>817</v>
      </c>
      <c r="D147" s="3" t="s">
        <v>818</v>
      </c>
      <c r="E147" s="3" t="s">
        <v>819</v>
      </c>
      <c r="F147" s="5" t="str">
        <f t="shared" si="2"/>
        <v>Moltres</v>
      </c>
      <c r="G147" s="5" t="str">
        <f t="shared" si="3"/>
        <v>Moltres</v>
      </c>
      <c r="H147" s="3" t="s">
        <v>820</v>
      </c>
      <c r="I147" s="3" t="s">
        <v>821</v>
      </c>
      <c r="J147" s="5" t="str">
        <f>IFERROR(__xludf.DUMMYFUNCTION("GOOGLETRANSLATE(I147,""zh_HANT"",""zh_HANS"")"),"火焰鸟")</f>
        <v>火焰鸟</v>
      </c>
    </row>
    <row r="148">
      <c r="A148" s="3" t="str">
        <f t="shared" si="34"/>
        <v>NAME_PkMn_DRATINI</v>
      </c>
      <c r="B148" s="3" t="s">
        <v>822</v>
      </c>
      <c r="C148" s="3" t="s">
        <v>823</v>
      </c>
      <c r="D148" s="3" t="s">
        <v>824</v>
      </c>
      <c r="E148" s="5" t="str">
        <f>B148</f>
        <v>Dratini</v>
      </c>
      <c r="F148" s="5" t="str">
        <f t="shared" si="2"/>
        <v>Dratini</v>
      </c>
      <c r="G148" s="5" t="str">
        <f t="shared" si="3"/>
        <v>Dratini</v>
      </c>
      <c r="H148" s="3" t="s">
        <v>825</v>
      </c>
      <c r="I148" s="3" t="s">
        <v>826</v>
      </c>
      <c r="J148" s="5" t="str">
        <f>IFERROR(__xludf.DUMMYFUNCTION("GOOGLETRANSLATE(I148,""zh_HANT"",""zh_HANS"")"),"迷你龙")</f>
        <v>迷你龙</v>
      </c>
    </row>
    <row r="149">
      <c r="A149" s="3" t="str">
        <f t="shared" si="34"/>
        <v>NAME_PkMn_DRAGONAIR</v>
      </c>
      <c r="B149" s="3" t="s">
        <v>827</v>
      </c>
      <c r="C149" s="3" t="s">
        <v>828</v>
      </c>
      <c r="D149" s="3" t="s">
        <v>829</v>
      </c>
      <c r="E149" s="3" t="s">
        <v>830</v>
      </c>
      <c r="F149" s="5" t="str">
        <f t="shared" si="2"/>
        <v>Dragonair</v>
      </c>
      <c r="G149" s="5" t="str">
        <f t="shared" si="3"/>
        <v>Dragonair</v>
      </c>
      <c r="H149" s="3" t="s">
        <v>831</v>
      </c>
      <c r="I149" s="3" t="s">
        <v>832</v>
      </c>
      <c r="J149" s="5" t="str">
        <f>IFERROR(__xludf.DUMMYFUNCTION("GOOGLETRANSLATE(I149,""zh_HANT"",""zh_HANS"")"),"哈克龙")</f>
        <v>哈克龙</v>
      </c>
    </row>
    <row r="150">
      <c r="A150" s="3" t="str">
        <f t="shared" si="34"/>
        <v>NAME_PkMn_DRAGONITE</v>
      </c>
      <c r="B150" s="3" t="s">
        <v>833</v>
      </c>
      <c r="C150" s="3" t="s">
        <v>834</v>
      </c>
      <c r="D150" s="3" t="s">
        <v>835</v>
      </c>
      <c r="E150" s="3" t="s">
        <v>836</v>
      </c>
      <c r="F150" s="5" t="str">
        <f t="shared" si="2"/>
        <v>Dragonite</v>
      </c>
      <c r="G150" s="5" t="str">
        <f t="shared" si="3"/>
        <v>Dragonite</v>
      </c>
      <c r="H150" s="3" t="s">
        <v>837</v>
      </c>
      <c r="I150" s="3" t="s">
        <v>838</v>
      </c>
      <c r="J150" s="5" t="str">
        <f>IFERROR(__xludf.DUMMYFUNCTION("GOOGLETRANSLATE(I150,""zh_HANT"",""zh_HANS"")"),"快龙")</f>
        <v>快龙</v>
      </c>
    </row>
    <row r="151">
      <c r="A151" s="3" t="str">
        <f t="shared" si="34"/>
        <v>NAME_PkMn_MEWTWO</v>
      </c>
      <c r="B151" s="3" t="s">
        <v>839</v>
      </c>
      <c r="C151" s="3" t="s">
        <v>840</v>
      </c>
      <c r="D151" s="5" t="str">
        <f t="shared" ref="D151:D152" si="40">B151</f>
        <v>Mewtwo</v>
      </c>
      <c r="E151" s="3" t="s">
        <v>841</v>
      </c>
      <c r="F151" s="5" t="str">
        <f t="shared" si="2"/>
        <v>Mewtwo</v>
      </c>
      <c r="G151" s="5" t="str">
        <f t="shared" si="3"/>
        <v>Mewtwo</v>
      </c>
      <c r="H151" s="3" t="s">
        <v>842</v>
      </c>
      <c r="I151" s="5" t="str">
        <f>IFERROR(__xludf.DUMMYFUNCTION("GOOGLETRANSLATE(J151,""zh_HANS"",""zh_HANT"")"),"超夢")</f>
        <v>超夢</v>
      </c>
      <c r="J151" s="3" t="s">
        <v>843</v>
      </c>
    </row>
    <row r="152">
      <c r="A152" s="3" t="str">
        <f t="shared" si="34"/>
        <v>NAME_PkMn_MEW</v>
      </c>
      <c r="B152" s="3" t="s">
        <v>844</v>
      </c>
      <c r="C152" s="3" t="s">
        <v>845</v>
      </c>
      <c r="D152" s="5" t="str">
        <f t="shared" si="40"/>
        <v>Mew</v>
      </c>
      <c r="E152" s="5" t="str">
        <f>B152</f>
        <v>Mew</v>
      </c>
      <c r="F152" s="5" t="str">
        <f t="shared" si="2"/>
        <v>Mew</v>
      </c>
      <c r="G152" s="5" t="str">
        <f t="shared" si="3"/>
        <v>Mew</v>
      </c>
      <c r="H152" s="3" t="s">
        <v>846</v>
      </c>
      <c r="I152" s="5" t="str">
        <f>IFERROR(__xludf.DUMMYFUNCTION("GOOGLETRANSLATE(J152,""zh_HANS"",""zh_HANT"")"),"夢幻")</f>
        <v>夢幻</v>
      </c>
      <c r="J152" s="3" t="s">
        <v>847</v>
      </c>
    </row>
    <row r="153">
      <c r="A153" s="3" t="str">
        <f t="shared" si="34"/>
        <v>NAME_PkMn_CHIKORITA</v>
      </c>
      <c r="B153" s="3" t="s">
        <v>848</v>
      </c>
      <c r="C153" s="3" t="s">
        <v>849</v>
      </c>
      <c r="D153" s="3" t="s">
        <v>850</v>
      </c>
      <c r="E153" s="3" t="s">
        <v>851</v>
      </c>
      <c r="F153" s="5" t="str">
        <f t="shared" si="2"/>
        <v>Chikorita</v>
      </c>
      <c r="G153" s="5" t="str">
        <f t="shared" si="3"/>
        <v>Chikorita</v>
      </c>
      <c r="H153" s="3" t="s">
        <v>852</v>
      </c>
      <c r="I153" s="3" t="s">
        <v>853</v>
      </c>
      <c r="J153" s="5" t="str">
        <f>IFERROR(__xludf.DUMMYFUNCTION("GOOGLETRANSLATE(I153,""zh_HANT"",""zh_HANS"")"),"菊草叶")</f>
        <v>菊草叶</v>
      </c>
    </row>
    <row r="154">
      <c r="A154" s="3" t="str">
        <f t="shared" si="34"/>
        <v>NAME_PkMn_BAYLEEF</v>
      </c>
      <c r="B154" s="3" t="s">
        <v>854</v>
      </c>
      <c r="C154" s="3" t="s">
        <v>855</v>
      </c>
      <c r="D154" s="3" t="s">
        <v>856</v>
      </c>
      <c r="E154" s="3" t="s">
        <v>857</v>
      </c>
      <c r="F154" s="5" t="str">
        <f t="shared" si="2"/>
        <v>Bayleef</v>
      </c>
      <c r="G154" s="5" t="str">
        <f t="shared" si="3"/>
        <v>Bayleef</v>
      </c>
      <c r="H154" s="3" t="s">
        <v>858</v>
      </c>
      <c r="I154" s="3" t="s">
        <v>859</v>
      </c>
      <c r="J154" s="5" t="str">
        <f>IFERROR(__xludf.DUMMYFUNCTION("GOOGLETRANSLATE(I154,""zh_HANT"",""zh_HANS"")"),"月桂叶")</f>
        <v>月桂叶</v>
      </c>
    </row>
    <row r="155">
      <c r="A155" s="3" t="str">
        <f t="shared" si="34"/>
        <v>NAME_PkMn_MEGANIUM</v>
      </c>
      <c r="B155" s="3" t="s">
        <v>860</v>
      </c>
      <c r="C155" s="3" t="s">
        <v>861</v>
      </c>
      <c r="D155" s="3" t="s">
        <v>862</v>
      </c>
      <c r="E155" s="3" t="s">
        <v>863</v>
      </c>
      <c r="F155" s="5" t="str">
        <f t="shared" si="2"/>
        <v>Meganium</v>
      </c>
      <c r="G155" s="5" t="str">
        <f t="shared" si="3"/>
        <v>Meganium</v>
      </c>
      <c r="H155" s="3" t="s">
        <v>864</v>
      </c>
      <c r="I155" s="3" t="s">
        <v>865</v>
      </c>
      <c r="J155" s="5" t="str">
        <f t="shared" ref="J155:J157" si="41">I155</f>
        <v>大竺葵</v>
      </c>
    </row>
    <row r="156">
      <c r="A156" s="3" t="str">
        <f t="shared" si="34"/>
        <v>NAME_PkMn_CYNDAQUIL</v>
      </c>
      <c r="B156" s="3" t="s">
        <v>866</v>
      </c>
      <c r="C156" s="3" t="s">
        <v>867</v>
      </c>
      <c r="D156" s="3" t="s">
        <v>868</v>
      </c>
      <c r="E156" s="3" t="s">
        <v>869</v>
      </c>
      <c r="F156" s="5" t="str">
        <f t="shared" si="2"/>
        <v>Cyndaquil</v>
      </c>
      <c r="G156" s="5" t="str">
        <f t="shared" si="3"/>
        <v>Cyndaquil</v>
      </c>
      <c r="H156" s="3" t="s">
        <v>870</v>
      </c>
      <c r="I156" s="3" t="s">
        <v>871</v>
      </c>
      <c r="J156" s="5" t="str">
        <f t="shared" si="41"/>
        <v>火球鼠</v>
      </c>
    </row>
    <row r="157">
      <c r="A157" s="3" t="str">
        <f t="shared" si="34"/>
        <v>NAME_PkMn_QUILAVA</v>
      </c>
      <c r="B157" s="3" t="s">
        <v>872</v>
      </c>
      <c r="C157" s="3" t="s">
        <v>873</v>
      </c>
      <c r="D157" s="3" t="s">
        <v>874</v>
      </c>
      <c r="E157" s="3" t="s">
        <v>875</v>
      </c>
      <c r="F157" s="5" t="str">
        <f t="shared" si="2"/>
        <v>Quilava</v>
      </c>
      <c r="G157" s="5" t="str">
        <f t="shared" si="3"/>
        <v>Quilava</v>
      </c>
      <c r="H157" s="3" t="s">
        <v>876</v>
      </c>
      <c r="I157" s="3" t="s">
        <v>877</v>
      </c>
      <c r="J157" s="5" t="str">
        <f t="shared" si="41"/>
        <v>火岩鼠</v>
      </c>
    </row>
    <row r="158">
      <c r="A158" s="3" t="str">
        <f t="shared" si="34"/>
        <v>NAME_PkMn_TYPHLOSION</v>
      </c>
      <c r="B158" s="3" t="s">
        <v>878</v>
      </c>
      <c r="C158" s="3" t="s">
        <v>879</v>
      </c>
      <c r="D158" s="5" t="str">
        <f>B158</f>
        <v>Typhlosion</v>
      </c>
      <c r="E158" s="3" t="s">
        <v>880</v>
      </c>
      <c r="F158" s="5" t="str">
        <f t="shared" si="2"/>
        <v>Typhlosion</v>
      </c>
      <c r="G158" s="5" t="str">
        <f t="shared" si="3"/>
        <v>Typhlosion</v>
      </c>
      <c r="H158" s="3" t="s">
        <v>881</v>
      </c>
      <c r="I158" s="3" t="s">
        <v>882</v>
      </c>
      <c r="J158" s="5" t="str">
        <f>IFERROR(__xludf.DUMMYFUNCTION("GOOGLETRANSLATE(I158,""zh_HANT"",""zh_HANS"")"),"火爆兽")</f>
        <v>火爆兽</v>
      </c>
    </row>
    <row r="159">
      <c r="A159" s="3" t="str">
        <f t="shared" si="34"/>
        <v>NAME_PkMn_TOTODILE</v>
      </c>
      <c r="B159" s="3" t="s">
        <v>883</v>
      </c>
      <c r="C159" s="3" t="s">
        <v>884</v>
      </c>
      <c r="D159" s="3" t="s">
        <v>885</v>
      </c>
      <c r="E159" s="3" t="s">
        <v>886</v>
      </c>
      <c r="F159" s="5" t="str">
        <f t="shared" si="2"/>
        <v>Totodile</v>
      </c>
      <c r="G159" s="5" t="str">
        <f t="shared" si="3"/>
        <v>Totodile</v>
      </c>
      <c r="H159" s="3" t="s">
        <v>887</v>
      </c>
      <c r="I159" s="3" t="s">
        <v>888</v>
      </c>
      <c r="J159" s="5" t="str">
        <f>IFERROR(__xludf.DUMMYFUNCTION("GOOGLETRANSLATE(I159,""zh_HANT"",""zh_HANS"")"),"小锯鳄")</f>
        <v>小锯鳄</v>
      </c>
    </row>
    <row r="160">
      <c r="A160" s="3" t="str">
        <f t="shared" si="34"/>
        <v>NAME_PkMn_CROCONAW</v>
      </c>
      <c r="B160" s="3" t="s">
        <v>889</v>
      </c>
      <c r="C160" s="3" t="s">
        <v>890</v>
      </c>
      <c r="D160" s="3" t="s">
        <v>891</v>
      </c>
      <c r="E160" s="3" t="s">
        <v>892</v>
      </c>
      <c r="F160" s="5" t="str">
        <f t="shared" si="2"/>
        <v>Croconaw</v>
      </c>
      <c r="G160" s="5" t="str">
        <f t="shared" si="3"/>
        <v>Croconaw</v>
      </c>
      <c r="H160" s="3" t="s">
        <v>893</v>
      </c>
      <c r="I160" s="3" t="s">
        <v>894</v>
      </c>
      <c r="J160" s="5" t="str">
        <f>IFERROR(__xludf.DUMMYFUNCTION("GOOGLETRANSLATE(I160,""zh_HANT"",""zh_HANS"")"),"蓝鳄")</f>
        <v>蓝鳄</v>
      </c>
    </row>
    <row r="161">
      <c r="A161" s="3" t="str">
        <f t="shared" si="34"/>
        <v>NAME_PkMn_FERALIGATR</v>
      </c>
      <c r="B161" s="3" t="s">
        <v>895</v>
      </c>
      <c r="C161" s="3" t="s">
        <v>896</v>
      </c>
      <c r="D161" s="3" t="s">
        <v>897</v>
      </c>
      <c r="E161" s="3" t="s">
        <v>898</v>
      </c>
      <c r="F161" s="5" t="str">
        <f t="shared" si="2"/>
        <v>Feraligatr</v>
      </c>
      <c r="G161" s="5" t="str">
        <f t="shared" si="3"/>
        <v>Feraligatr</v>
      </c>
      <c r="H161" s="3" t="s">
        <v>899</v>
      </c>
      <c r="I161" s="3" t="s">
        <v>900</v>
      </c>
      <c r="J161" s="5" t="str">
        <f>IFERROR(__xludf.DUMMYFUNCTION("GOOGLETRANSLATE(I161,""zh_HANT"",""zh_HANS"")"),"大力鳄")</f>
        <v>大力鳄</v>
      </c>
    </row>
    <row r="162">
      <c r="A162" s="3" t="str">
        <f t="shared" si="34"/>
        <v>NAME_PkMn_SENTRET</v>
      </c>
      <c r="B162" s="3" t="s">
        <v>901</v>
      </c>
      <c r="C162" s="3" t="s">
        <v>902</v>
      </c>
      <c r="D162" s="3" t="s">
        <v>903</v>
      </c>
      <c r="E162" s="3" t="s">
        <v>904</v>
      </c>
      <c r="F162" s="5" t="str">
        <f t="shared" si="2"/>
        <v>Sentret</v>
      </c>
      <c r="G162" s="5" t="str">
        <f t="shared" si="3"/>
        <v>Sentret</v>
      </c>
      <c r="H162" s="3" t="s">
        <v>905</v>
      </c>
      <c r="I162" s="3" t="s">
        <v>906</v>
      </c>
      <c r="J162" s="5" t="str">
        <f t="shared" ref="J162:J164" si="42">I162</f>
        <v>尾立</v>
      </c>
    </row>
    <row r="163">
      <c r="A163" s="3" t="str">
        <f t="shared" si="34"/>
        <v>NAME_PkMn_FURRET</v>
      </c>
      <c r="B163" s="3" t="s">
        <v>907</v>
      </c>
      <c r="C163" s="3" t="s">
        <v>908</v>
      </c>
      <c r="D163" s="3" t="s">
        <v>909</v>
      </c>
      <c r="E163" s="3" t="s">
        <v>910</v>
      </c>
      <c r="F163" s="5" t="str">
        <f t="shared" si="2"/>
        <v>Furret</v>
      </c>
      <c r="G163" s="5" t="str">
        <f t="shared" si="3"/>
        <v>Furret</v>
      </c>
      <c r="H163" s="3" t="s">
        <v>911</v>
      </c>
      <c r="I163" s="3" t="s">
        <v>912</v>
      </c>
      <c r="J163" s="5" t="str">
        <f t="shared" si="42"/>
        <v>大尾立</v>
      </c>
    </row>
    <row r="164">
      <c r="A164" s="3" t="str">
        <f t="shared" si="34"/>
        <v>NAME_PkMn_HOOTHOOT</v>
      </c>
      <c r="B164" s="3" t="s">
        <v>913</v>
      </c>
      <c r="C164" s="3" t="s">
        <v>914</v>
      </c>
      <c r="D164" s="5" t="str">
        <f>B164</f>
        <v>Hoothoot</v>
      </c>
      <c r="E164" s="3" t="s">
        <v>913</v>
      </c>
      <c r="F164" s="5" t="str">
        <f t="shared" si="2"/>
        <v>Hoothoot</v>
      </c>
      <c r="G164" s="5" t="str">
        <f t="shared" si="3"/>
        <v>Hoothoot</v>
      </c>
      <c r="H164" s="3" t="s">
        <v>915</v>
      </c>
      <c r="I164" s="3" t="s">
        <v>916</v>
      </c>
      <c r="J164" s="5" t="str">
        <f t="shared" si="42"/>
        <v>咕咕</v>
      </c>
    </row>
    <row r="165">
      <c r="A165" s="3" t="str">
        <f t="shared" si="34"/>
        <v>NAME_PkMn_NOCTOWL</v>
      </c>
      <c r="B165" s="3" t="s">
        <v>917</v>
      </c>
      <c r="C165" s="3" t="s">
        <v>918</v>
      </c>
      <c r="D165" s="3" t="s">
        <v>919</v>
      </c>
      <c r="E165" s="3" t="s">
        <v>920</v>
      </c>
      <c r="F165" s="5" t="str">
        <f t="shared" si="2"/>
        <v>Noctowl</v>
      </c>
      <c r="G165" s="5" t="str">
        <f t="shared" si="3"/>
        <v>Noctowl</v>
      </c>
      <c r="H165" s="3" t="s">
        <v>921</v>
      </c>
      <c r="I165" s="3" t="s">
        <v>922</v>
      </c>
      <c r="J165" s="5" t="str">
        <f>IFERROR(__xludf.DUMMYFUNCTION("GOOGLETRANSLATE(I165,""zh_HANT"",""zh_HANS"")"),"猫头夜鹰")</f>
        <v>猫头夜鹰</v>
      </c>
    </row>
    <row r="166">
      <c r="A166" s="3" t="str">
        <f t="shared" si="34"/>
        <v>NAME_PkMn_LEDYBA</v>
      </c>
      <c r="B166" s="3" t="s">
        <v>923</v>
      </c>
      <c r="C166" s="3" t="s">
        <v>924</v>
      </c>
      <c r="D166" s="3" t="s">
        <v>925</v>
      </c>
      <c r="E166" s="5" t="str">
        <f t="shared" ref="E166:E167" si="43">B166</f>
        <v>Ledyba</v>
      </c>
      <c r="F166" s="5" t="str">
        <f t="shared" si="2"/>
        <v>Ledyba</v>
      </c>
      <c r="G166" s="5" t="str">
        <f t="shared" si="3"/>
        <v>Ledyba</v>
      </c>
      <c r="H166" s="3" t="s">
        <v>926</v>
      </c>
      <c r="I166" s="3" t="s">
        <v>927</v>
      </c>
      <c r="J166" s="5" t="str">
        <f>IFERROR(__xludf.DUMMYFUNCTION("GOOGLETRANSLATE(I166,""zh_HANT"",""zh_HANS"")"),"芭瓢虫")</f>
        <v>芭瓢虫</v>
      </c>
    </row>
    <row r="167">
      <c r="A167" s="3" t="str">
        <f t="shared" si="34"/>
        <v>NAME_PkMn_LEDIAN</v>
      </c>
      <c r="B167" s="3" t="s">
        <v>928</v>
      </c>
      <c r="C167" s="3" t="s">
        <v>929</v>
      </c>
      <c r="D167" s="3" t="s">
        <v>930</v>
      </c>
      <c r="E167" s="5" t="str">
        <f t="shared" si="43"/>
        <v>Ledian</v>
      </c>
      <c r="F167" s="5" t="str">
        <f t="shared" si="2"/>
        <v>Ledian</v>
      </c>
      <c r="G167" s="5" t="str">
        <f t="shared" si="3"/>
        <v>Ledian</v>
      </c>
      <c r="H167" s="3" t="s">
        <v>931</v>
      </c>
      <c r="I167" s="3" t="s">
        <v>932</v>
      </c>
      <c r="J167" s="5" t="str">
        <f>IFERROR(__xludf.DUMMYFUNCTION("GOOGLETRANSLATE(I167,""zh_HANT"",""zh_HANS"")"),"安瓢虫")</f>
        <v>安瓢虫</v>
      </c>
    </row>
    <row r="168">
      <c r="A168" s="3" t="str">
        <f t="shared" si="34"/>
        <v>NAME_PkMn_SPINARAK</v>
      </c>
      <c r="B168" s="3" t="s">
        <v>933</v>
      </c>
      <c r="C168" s="3" t="s">
        <v>934</v>
      </c>
      <c r="D168" s="3" t="s">
        <v>935</v>
      </c>
      <c r="E168" s="3" t="s">
        <v>936</v>
      </c>
      <c r="F168" s="5" t="str">
        <f t="shared" si="2"/>
        <v>Spinarak</v>
      </c>
      <c r="G168" s="5" t="str">
        <f t="shared" si="3"/>
        <v>Spinarak</v>
      </c>
      <c r="H168" s="3" t="s">
        <v>937</v>
      </c>
      <c r="I168" s="3" t="s">
        <v>938</v>
      </c>
      <c r="J168" s="5" t="str">
        <f>IFERROR(__xludf.DUMMYFUNCTION("GOOGLETRANSLATE(I168,""zh_HANT"",""zh_HANS"")"),"圆丝蛛")</f>
        <v>圆丝蛛</v>
      </c>
    </row>
    <row r="169">
      <c r="A169" s="3" t="str">
        <f t="shared" si="34"/>
        <v>NAME_PkMn_ARIADOS</v>
      </c>
      <c r="B169" s="3" t="s">
        <v>939</v>
      </c>
      <c r="C169" s="3" t="s">
        <v>940</v>
      </c>
      <c r="D169" s="3" t="s">
        <v>941</v>
      </c>
      <c r="E169" s="3" t="s">
        <v>939</v>
      </c>
      <c r="F169" s="5" t="str">
        <f t="shared" si="2"/>
        <v>Ariados</v>
      </c>
      <c r="G169" s="5" t="str">
        <f t="shared" si="3"/>
        <v>Ariados</v>
      </c>
      <c r="H169" s="3" t="s">
        <v>942</v>
      </c>
      <c r="I169" s="3" t="s">
        <v>943</v>
      </c>
      <c r="J169" s="5" t="str">
        <f t="shared" ref="J169:J170" si="44">I169</f>
        <v>阿利多斯</v>
      </c>
    </row>
    <row r="170">
      <c r="A170" s="3" t="str">
        <f t="shared" si="34"/>
        <v>NAME_PkMn_CROBAT</v>
      </c>
      <c r="B170" s="3" t="s">
        <v>944</v>
      </c>
      <c r="C170" s="3" t="s">
        <v>945</v>
      </c>
      <c r="D170" s="3" t="s">
        <v>946</v>
      </c>
      <c r="E170" s="3" t="s">
        <v>947</v>
      </c>
      <c r="F170" s="5" t="str">
        <f t="shared" si="2"/>
        <v>Crobat</v>
      </c>
      <c r="G170" s="5" t="str">
        <f t="shared" si="3"/>
        <v>Crobat</v>
      </c>
      <c r="H170" s="3" t="s">
        <v>948</v>
      </c>
      <c r="I170" s="3" t="s">
        <v>949</v>
      </c>
      <c r="J170" s="5" t="str">
        <f t="shared" si="44"/>
        <v>叉字蝠</v>
      </c>
    </row>
    <row r="171">
      <c r="A171" s="3" t="str">
        <f t="shared" si="34"/>
        <v>NAME_PkMn_CHINCHOU</v>
      </c>
      <c r="B171" s="3" t="s">
        <v>950</v>
      </c>
      <c r="C171" s="3" t="s">
        <v>951</v>
      </c>
      <c r="D171" s="3" t="s">
        <v>952</v>
      </c>
      <c r="E171" s="3" t="s">
        <v>953</v>
      </c>
      <c r="F171" s="5" t="str">
        <f t="shared" si="2"/>
        <v>Chinchou</v>
      </c>
      <c r="G171" s="5" t="str">
        <f t="shared" si="3"/>
        <v>Chinchou</v>
      </c>
      <c r="H171" s="3" t="s">
        <v>954</v>
      </c>
      <c r="I171" s="3" t="s">
        <v>955</v>
      </c>
      <c r="J171" s="5" t="str">
        <f>IFERROR(__xludf.DUMMYFUNCTION("GOOGLETRANSLATE(I171,""zh_HANT"",""zh_HANS"")"),"灯笼鱼")</f>
        <v>灯笼鱼</v>
      </c>
    </row>
    <row r="172">
      <c r="A172" s="3" t="str">
        <f t="shared" si="34"/>
        <v>NAME_PkMn_LANTURN</v>
      </c>
      <c r="B172" s="3" t="s">
        <v>956</v>
      </c>
      <c r="C172" s="3" t="s">
        <v>957</v>
      </c>
      <c r="D172" s="5" t="str">
        <f t="shared" ref="D172:D173" si="45">B172</f>
        <v>Lanturn</v>
      </c>
      <c r="E172" s="5" t="str">
        <f t="shared" ref="E172:E173" si="46">B172</f>
        <v>Lanturn</v>
      </c>
      <c r="F172" s="5" t="str">
        <f t="shared" si="2"/>
        <v>Lanturn</v>
      </c>
      <c r="G172" s="5" t="str">
        <f t="shared" si="3"/>
        <v>Lanturn</v>
      </c>
      <c r="H172" s="3" t="s">
        <v>958</v>
      </c>
      <c r="I172" s="3" t="s">
        <v>959</v>
      </c>
      <c r="J172" s="5" t="str">
        <f>IFERROR(__xludf.DUMMYFUNCTION("GOOGLETRANSLATE(I172,""zh_HANT"",""zh_HANS"")"),"电灯怪")</f>
        <v>电灯怪</v>
      </c>
    </row>
    <row r="173">
      <c r="A173" s="3" t="str">
        <f t="shared" si="34"/>
        <v>NAME_PkMn_PICHU</v>
      </c>
      <c r="B173" s="3" t="s">
        <v>960</v>
      </c>
      <c r="C173" s="3" t="s">
        <v>961</v>
      </c>
      <c r="D173" s="5" t="str">
        <f t="shared" si="45"/>
        <v>Pichu</v>
      </c>
      <c r="E173" s="5" t="str">
        <f t="shared" si="46"/>
        <v>Pichu</v>
      </c>
      <c r="F173" s="5" t="str">
        <f t="shared" si="2"/>
        <v>Pichu</v>
      </c>
      <c r="G173" s="5" t="str">
        <f t="shared" si="3"/>
        <v>Pichu</v>
      </c>
      <c r="H173" s="3" t="s">
        <v>962</v>
      </c>
      <c r="I173" s="3" t="s">
        <v>963</v>
      </c>
      <c r="J173" s="5" t="str">
        <f>I173</f>
        <v>皮丘</v>
      </c>
    </row>
    <row r="174">
      <c r="A174" s="3" t="str">
        <f t="shared" si="34"/>
        <v>NAME_PkMn_CLEFFA</v>
      </c>
      <c r="B174" s="3" t="s">
        <v>964</v>
      </c>
      <c r="C174" s="3" t="s">
        <v>965</v>
      </c>
      <c r="D174" s="3" t="s">
        <v>966</v>
      </c>
      <c r="E174" s="3" t="s">
        <v>967</v>
      </c>
      <c r="F174" s="5" t="str">
        <f t="shared" si="2"/>
        <v>Cleffa</v>
      </c>
      <c r="G174" s="5" t="str">
        <f t="shared" si="3"/>
        <v>Cleffa</v>
      </c>
      <c r="H174" s="3" t="s">
        <v>968</v>
      </c>
      <c r="I174" s="3" t="s">
        <v>969</v>
      </c>
      <c r="J174" s="5" t="str">
        <f>IFERROR(__xludf.DUMMYFUNCTION("GOOGLETRANSLATE(I174,""zh_HANT"",""zh_HANS"")"),"皮宝宝")</f>
        <v>皮宝宝</v>
      </c>
    </row>
    <row r="175">
      <c r="A175" s="3" t="str">
        <f t="shared" si="34"/>
        <v>NAME_PkMn_IGGLYBUFF</v>
      </c>
      <c r="B175" s="3" t="s">
        <v>970</v>
      </c>
      <c r="C175" s="3" t="s">
        <v>971</v>
      </c>
      <c r="D175" s="3" t="s">
        <v>972</v>
      </c>
      <c r="E175" s="3" t="s">
        <v>973</v>
      </c>
      <c r="F175" s="5" t="str">
        <f t="shared" si="2"/>
        <v>Igglybuff</v>
      </c>
      <c r="G175" s="5" t="str">
        <f t="shared" si="3"/>
        <v>Igglybuff</v>
      </c>
      <c r="H175" s="3" t="s">
        <v>974</v>
      </c>
      <c r="I175" s="3" t="s">
        <v>975</v>
      </c>
      <c r="J175" s="5" t="str">
        <f>IFERROR(__xludf.DUMMYFUNCTION("GOOGLETRANSLATE(I175,""zh_HANT"",""zh_HANS"")"),"宝宝丁")</f>
        <v>宝宝丁</v>
      </c>
    </row>
    <row r="176">
      <c r="A176" s="3" t="str">
        <f t="shared" si="34"/>
        <v>NAME_PkMn_TOGEPI</v>
      </c>
      <c r="B176" s="3" t="s">
        <v>976</v>
      </c>
      <c r="C176" s="3" t="s">
        <v>977</v>
      </c>
      <c r="D176" s="5" t="str">
        <f t="shared" ref="D176:D179" si="47">B176</f>
        <v>Togepi</v>
      </c>
      <c r="E176" s="5" t="str">
        <f t="shared" ref="E176:E179" si="48">B176</f>
        <v>Togepi</v>
      </c>
      <c r="F176" s="5" t="str">
        <f t="shared" si="2"/>
        <v>Togepi</v>
      </c>
      <c r="G176" s="5" t="str">
        <f t="shared" si="3"/>
        <v>Togepi</v>
      </c>
      <c r="H176" s="3" t="s">
        <v>978</v>
      </c>
      <c r="I176" s="3" t="s">
        <v>979</v>
      </c>
      <c r="J176" s="5" t="str">
        <f t="shared" ref="J176:J178" si="49">I176</f>
        <v>波克比</v>
      </c>
    </row>
    <row r="177">
      <c r="A177" s="3" t="str">
        <f t="shared" si="34"/>
        <v>NAME_PkMn_TOGETIC</v>
      </c>
      <c r="B177" s="3" t="s">
        <v>980</v>
      </c>
      <c r="C177" s="3" t="s">
        <v>981</v>
      </c>
      <c r="D177" s="5" t="str">
        <f t="shared" si="47"/>
        <v>Togetic</v>
      </c>
      <c r="E177" s="5" t="str">
        <f t="shared" si="48"/>
        <v>Togetic</v>
      </c>
      <c r="F177" s="5" t="str">
        <f t="shared" si="2"/>
        <v>Togetic</v>
      </c>
      <c r="G177" s="5" t="str">
        <f t="shared" si="3"/>
        <v>Togetic</v>
      </c>
      <c r="H177" s="3" t="s">
        <v>982</v>
      </c>
      <c r="I177" s="3" t="s">
        <v>983</v>
      </c>
      <c r="J177" s="5" t="str">
        <f t="shared" si="49"/>
        <v>波克基古</v>
      </c>
    </row>
    <row r="178">
      <c r="A178" s="3" t="str">
        <f t="shared" si="34"/>
        <v>NAME_PkMn_NATU</v>
      </c>
      <c r="B178" s="3" t="s">
        <v>984</v>
      </c>
      <c r="C178" s="3" t="s">
        <v>985</v>
      </c>
      <c r="D178" s="5" t="str">
        <f t="shared" si="47"/>
        <v>Natu</v>
      </c>
      <c r="E178" s="5" t="str">
        <f t="shared" si="48"/>
        <v>Natu</v>
      </c>
      <c r="F178" s="5" t="str">
        <f t="shared" si="2"/>
        <v>Natu</v>
      </c>
      <c r="G178" s="5" t="str">
        <f t="shared" si="3"/>
        <v>Natu</v>
      </c>
      <c r="H178" s="3" t="s">
        <v>986</v>
      </c>
      <c r="I178" s="3" t="s">
        <v>987</v>
      </c>
      <c r="J178" s="5" t="str">
        <f t="shared" si="49"/>
        <v>天然雀</v>
      </c>
    </row>
    <row r="179">
      <c r="A179" s="3" t="str">
        <f t="shared" si="34"/>
        <v>NAME_PkMn_XATU</v>
      </c>
      <c r="B179" s="3" t="s">
        <v>988</v>
      </c>
      <c r="C179" s="3" t="s">
        <v>989</v>
      </c>
      <c r="D179" s="5" t="str">
        <f t="shared" si="47"/>
        <v>Xatu</v>
      </c>
      <c r="E179" s="5" t="str">
        <f t="shared" si="48"/>
        <v>Xatu</v>
      </c>
      <c r="F179" s="5" t="str">
        <f t="shared" si="2"/>
        <v>Xatu</v>
      </c>
      <c r="G179" s="5" t="str">
        <f t="shared" si="3"/>
        <v>Xatu</v>
      </c>
      <c r="H179" s="3" t="s">
        <v>990</v>
      </c>
      <c r="I179" s="3" t="s">
        <v>991</v>
      </c>
      <c r="J179" s="5" t="str">
        <f>IFERROR(__xludf.DUMMYFUNCTION("GOOGLETRANSLATE(I179,""zh_HANT"",""zh_HANS"")"),"天然鸟")</f>
        <v>天然鸟</v>
      </c>
    </row>
    <row r="180">
      <c r="A180" s="3" t="str">
        <f t="shared" si="34"/>
        <v>NAME_PkMn_MAREEP</v>
      </c>
      <c r="B180" s="3" t="s">
        <v>992</v>
      </c>
      <c r="C180" s="3" t="s">
        <v>993</v>
      </c>
      <c r="D180" s="3" t="s">
        <v>994</v>
      </c>
      <c r="E180" s="3" t="s">
        <v>995</v>
      </c>
      <c r="F180" s="5" t="str">
        <f t="shared" si="2"/>
        <v>Mareep</v>
      </c>
      <c r="G180" s="5" t="str">
        <f t="shared" si="3"/>
        <v>Mareep</v>
      </c>
      <c r="H180" s="3" t="s">
        <v>996</v>
      </c>
      <c r="I180" s="3" t="s">
        <v>997</v>
      </c>
      <c r="J180" s="5" t="str">
        <f t="shared" ref="J180:J181" si="50">I180</f>
        <v>咩利羊</v>
      </c>
    </row>
    <row r="181">
      <c r="A181" s="3" t="str">
        <f t="shared" si="34"/>
        <v>NAME_PkMn_FLAAFFY</v>
      </c>
      <c r="B181" s="3" t="s">
        <v>998</v>
      </c>
      <c r="C181" s="3" t="s">
        <v>999</v>
      </c>
      <c r="D181" s="3" t="s">
        <v>1000</v>
      </c>
      <c r="E181" s="3" t="s">
        <v>1001</v>
      </c>
      <c r="F181" s="5" t="str">
        <f t="shared" si="2"/>
        <v>Flaaffy</v>
      </c>
      <c r="G181" s="5" t="str">
        <f t="shared" si="3"/>
        <v>Flaaffy</v>
      </c>
      <c r="H181" s="3" t="s">
        <v>1002</v>
      </c>
      <c r="I181" s="3" t="s">
        <v>1003</v>
      </c>
      <c r="J181" s="5" t="str">
        <f t="shared" si="50"/>
        <v>茸茸羊</v>
      </c>
    </row>
    <row r="182">
      <c r="A182" s="3" t="str">
        <f t="shared" si="34"/>
        <v>NAME_PkMn_AMPHAROS</v>
      </c>
      <c r="B182" s="3" t="s">
        <v>1004</v>
      </c>
      <c r="C182" s="3" t="s">
        <v>1005</v>
      </c>
      <c r="D182" s="3" t="s">
        <v>1006</v>
      </c>
      <c r="E182" s="3" t="s">
        <v>1007</v>
      </c>
      <c r="F182" s="5" t="str">
        <f t="shared" si="2"/>
        <v>Ampharos</v>
      </c>
      <c r="G182" s="5" t="str">
        <f t="shared" si="3"/>
        <v>Ampharos</v>
      </c>
      <c r="H182" s="3" t="s">
        <v>1008</v>
      </c>
      <c r="I182" s="5" t="str">
        <f>IFERROR(__xludf.DUMMYFUNCTION("GOOGLETRANSLATE(J182,""zh_HANS"",""zh_HANT"")"),"電龍")</f>
        <v>電龍</v>
      </c>
      <c r="J182" s="3" t="s">
        <v>1009</v>
      </c>
    </row>
    <row r="183">
      <c r="A183" s="3" t="str">
        <f t="shared" si="34"/>
        <v>NAME_PkMn_BELLOSSOM</v>
      </c>
      <c r="B183" s="3" t="s">
        <v>1010</v>
      </c>
      <c r="C183" s="3" t="s">
        <v>1011</v>
      </c>
      <c r="D183" s="3" t="s">
        <v>1012</v>
      </c>
      <c r="E183" s="3" t="s">
        <v>1013</v>
      </c>
      <c r="F183" s="5" t="str">
        <f t="shared" si="2"/>
        <v>Bellossom</v>
      </c>
      <c r="G183" s="5" t="str">
        <f t="shared" si="3"/>
        <v>Bellossom</v>
      </c>
      <c r="H183" s="3" t="s">
        <v>1014</v>
      </c>
      <c r="I183" s="3" t="s">
        <v>1015</v>
      </c>
      <c r="J183" s="5" t="str">
        <f>IFERROR(__xludf.DUMMYFUNCTION("GOOGLETRANSLATE(I183,""zh_HANT"",""zh_HANS"")"),"美丽花")</f>
        <v>美丽花</v>
      </c>
    </row>
    <row r="184">
      <c r="A184" s="3" t="str">
        <f t="shared" si="34"/>
        <v>NAME_PkMn_MARILL</v>
      </c>
      <c r="B184" s="3" t="s">
        <v>1016</v>
      </c>
      <c r="C184" s="3" t="s">
        <v>1017</v>
      </c>
      <c r="D184" s="5" t="str">
        <f t="shared" ref="D184:D185" si="51">B184</f>
        <v>Marill</v>
      </c>
      <c r="E184" s="5" t="str">
        <f t="shared" ref="E184:E185" si="52">B184</f>
        <v>Marill</v>
      </c>
      <c r="F184" s="5" t="str">
        <f t="shared" si="2"/>
        <v>Marill</v>
      </c>
      <c r="G184" s="5" t="str">
        <f t="shared" si="3"/>
        <v>Marill</v>
      </c>
      <c r="H184" s="3" t="s">
        <v>1018</v>
      </c>
      <c r="I184" s="3" t="s">
        <v>1019</v>
      </c>
      <c r="J184" s="5" t="str">
        <f>IFERROR(__xludf.DUMMYFUNCTION("GOOGLETRANSLATE(I184,""zh_HANT"",""zh_HANS"")"),"玛力露")</f>
        <v>玛力露</v>
      </c>
    </row>
    <row r="185">
      <c r="A185" s="3" t="str">
        <f t="shared" si="34"/>
        <v>NAME_PkMn_AZUMARILL</v>
      </c>
      <c r="B185" s="3" t="s">
        <v>1020</v>
      </c>
      <c r="C185" s="3" t="s">
        <v>1021</v>
      </c>
      <c r="D185" s="5" t="str">
        <f t="shared" si="51"/>
        <v>Azumarill</v>
      </c>
      <c r="E185" s="5" t="str">
        <f t="shared" si="52"/>
        <v>Azumarill</v>
      </c>
      <c r="F185" s="5" t="str">
        <f t="shared" si="2"/>
        <v>Azumarill</v>
      </c>
      <c r="G185" s="5" t="str">
        <f t="shared" si="3"/>
        <v>Azumarill</v>
      </c>
      <c r="H185" s="3" t="s">
        <v>1022</v>
      </c>
      <c r="I185" s="3" t="s">
        <v>1023</v>
      </c>
      <c r="J185" s="5" t="str">
        <f>IFERROR(__xludf.DUMMYFUNCTION("GOOGLETRANSLATE(I185,""zh_HANT"",""zh_HANS"")"),"玛力露丽")</f>
        <v>玛力露丽</v>
      </c>
    </row>
    <row r="186">
      <c r="A186" s="3" t="str">
        <f t="shared" si="34"/>
        <v>NAME_PkMn_SUDOWOODO</v>
      </c>
      <c r="B186" s="3" t="s">
        <v>1024</v>
      </c>
      <c r="C186" s="3" t="s">
        <v>1025</v>
      </c>
      <c r="D186" s="3" t="s">
        <v>1026</v>
      </c>
      <c r="E186" s="3" t="s">
        <v>1027</v>
      </c>
      <c r="F186" s="5" t="str">
        <f t="shared" si="2"/>
        <v>Sudowoodo</v>
      </c>
      <c r="G186" s="5" t="str">
        <f t="shared" si="3"/>
        <v>Sudowoodo</v>
      </c>
      <c r="H186" s="3" t="s">
        <v>1028</v>
      </c>
      <c r="I186" s="3" t="s">
        <v>1029</v>
      </c>
      <c r="J186" s="5" t="str">
        <f>IFERROR(__xludf.DUMMYFUNCTION("GOOGLETRANSLATE(I186,""zh_HANT"",""zh_HANS"")"),"树才怪")</f>
        <v>树才怪</v>
      </c>
    </row>
    <row r="187">
      <c r="A187" s="3" t="str">
        <f t="shared" si="34"/>
        <v>NAME_PkMn_POLITOED</v>
      </c>
      <c r="B187" s="3" t="s">
        <v>1030</v>
      </c>
      <c r="C187" s="3" t="s">
        <v>1031</v>
      </c>
      <c r="D187" s="3" t="s">
        <v>1032</v>
      </c>
      <c r="E187" s="3" t="s">
        <v>1033</v>
      </c>
      <c r="F187" s="5" t="str">
        <f t="shared" si="2"/>
        <v>Politoed</v>
      </c>
      <c r="G187" s="5" t="str">
        <f t="shared" si="3"/>
        <v>Politoed</v>
      </c>
      <c r="H187" s="3" t="s">
        <v>1034</v>
      </c>
      <c r="I187" s="3" t="s">
        <v>1035</v>
      </c>
      <c r="J187" s="5" t="str">
        <f t="shared" ref="J187:J190" si="53">I187</f>
        <v>蚊香蛙皇</v>
      </c>
    </row>
    <row r="188">
      <c r="A188" s="3" t="str">
        <f t="shared" si="34"/>
        <v>NAME_PkMn_HOPPIP</v>
      </c>
      <c r="B188" s="3" t="s">
        <v>1036</v>
      </c>
      <c r="C188" s="3" t="s">
        <v>1037</v>
      </c>
      <c r="D188" s="3" t="s">
        <v>1038</v>
      </c>
      <c r="E188" s="3" t="s">
        <v>1039</v>
      </c>
      <c r="F188" s="5" t="str">
        <f t="shared" si="2"/>
        <v>Hoppip</v>
      </c>
      <c r="G188" s="5" t="str">
        <f t="shared" si="3"/>
        <v>Hoppip</v>
      </c>
      <c r="H188" s="3" t="s">
        <v>1040</v>
      </c>
      <c r="I188" s="3" t="s">
        <v>1041</v>
      </c>
      <c r="J188" s="5" t="str">
        <f t="shared" si="53"/>
        <v>毽子草</v>
      </c>
    </row>
    <row r="189">
      <c r="A189" s="3" t="str">
        <f t="shared" si="34"/>
        <v>NAME_PkMn_SKIPLOOM</v>
      </c>
      <c r="B189" s="3" t="s">
        <v>1042</v>
      </c>
      <c r="C189" s="3" t="s">
        <v>1043</v>
      </c>
      <c r="D189" s="3" t="s">
        <v>1044</v>
      </c>
      <c r="E189" s="3" t="s">
        <v>1045</v>
      </c>
      <c r="F189" s="5" t="str">
        <f t="shared" si="2"/>
        <v>Skiploom</v>
      </c>
      <c r="G189" s="5" t="str">
        <f t="shared" si="3"/>
        <v>Skiploom</v>
      </c>
      <c r="H189" s="3" t="s">
        <v>1046</v>
      </c>
      <c r="I189" s="3" t="s">
        <v>1047</v>
      </c>
      <c r="J189" s="5" t="str">
        <f t="shared" si="53"/>
        <v>毽子花</v>
      </c>
    </row>
    <row r="190">
      <c r="A190" s="3" t="str">
        <f t="shared" si="34"/>
        <v>NAME_PkMn_JUMPLUFF</v>
      </c>
      <c r="B190" s="3" t="s">
        <v>1048</v>
      </c>
      <c r="C190" s="3" t="s">
        <v>1049</v>
      </c>
      <c r="D190" s="3" t="s">
        <v>1050</v>
      </c>
      <c r="E190" s="3" t="s">
        <v>1051</v>
      </c>
      <c r="F190" s="5" t="str">
        <f t="shared" si="2"/>
        <v>Jumpluff</v>
      </c>
      <c r="G190" s="5" t="str">
        <f t="shared" si="3"/>
        <v>Jumpluff</v>
      </c>
      <c r="H190" s="3" t="s">
        <v>1052</v>
      </c>
      <c r="I190" s="3" t="s">
        <v>1053</v>
      </c>
      <c r="J190" s="5" t="str">
        <f t="shared" si="53"/>
        <v>毽子棉</v>
      </c>
    </row>
    <row r="191">
      <c r="A191" s="3" t="str">
        <f t="shared" si="34"/>
        <v>NAME_PkMn_AIPOM</v>
      </c>
      <c r="B191" s="3" t="s">
        <v>1054</v>
      </c>
      <c r="C191" s="3" t="s">
        <v>1055</v>
      </c>
      <c r="D191" s="3" t="s">
        <v>1056</v>
      </c>
      <c r="E191" s="3" t="s">
        <v>1057</v>
      </c>
      <c r="F191" s="5" t="str">
        <f t="shared" si="2"/>
        <v>Aipom</v>
      </c>
      <c r="G191" s="5" t="str">
        <f t="shared" si="3"/>
        <v>Aipom</v>
      </c>
      <c r="H191" s="3" t="s">
        <v>1058</v>
      </c>
      <c r="I191" s="3" t="s">
        <v>1059</v>
      </c>
      <c r="J191" s="5" t="str">
        <f>IFERROR(__xludf.DUMMYFUNCTION("GOOGLETRANSLATE(I191,""zh_HANT"",""zh_HANS"")"),"长尾怪手")</f>
        <v>长尾怪手</v>
      </c>
    </row>
    <row r="192">
      <c r="A192" s="3" t="str">
        <f t="shared" si="34"/>
        <v>NAME_PkMn_SUNKERN</v>
      </c>
      <c r="B192" s="3" t="s">
        <v>1060</v>
      </c>
      <c r="C192" s="3" t="s">
        <v>1061</v>
      </c>
      <c r="D192" s="3" t="s">
        <v>1062</v>
      </c>
      <c r="E192" s="3" t="s">
        <v>1063</v>
      </c>
      <c r="F192" s="5" t="str">
        <f t="shared" si="2"/>
        <v>Sunkern</v>
      </c>
      <c r="G192" s="5" t="str">
        <f t="shared" si="3"/>
        <v>Sunkern</v>
      </c>
      <c r="H192" s="3" t="s">
        <v>1064</v>
      </c>
      <c r="I192" s="3" t="s">
        <v>1065</v>
      </c>
      <c r="J192" s="5" t="str">
        <f>IFERROR(__xludf.DUMMYFUNCTION("GOOGLETRANSLATE(I192,""zh_HANT"",""zh_HANS"")"),"向日种子")</f>
        <v>向日种子</v>
      </c>
    </row>
    <row r="193">
      <c r="A193" s="3" t="str">
        <f t="shared" si="34"/>
        <v>NAME_PkMn_SUNFLORA</v>
      </c>
      <c r="B193" s="3" t="s">
        <v>1066</v>
      </c>
      <c r="C193" s="3" t="s">
        <v>1067</v>
      </c>
      <c r="D193" s="3" t="s">
        <v>1068</v>
      </c>
      <c r="E193" s="3" t="s">
        <v>1069</v>
      </c>
      <c r="F193" s="5" t="str">
        <f t="shared" si="2"/>
        <v>Sunflora</v>
      </c>
      <c r="G193" s="5" t="str">
        <f t="shared" si="3"/>
        <v>Sunflora</v>
      </c>
      <c r="H193" s="3" t="s">
        <v>1070</v>
      </c>
      <c r="I193" s="3" t="s">
        <v>1071</v>
      </c>
      <c r="J193" s="5" t="str">
        <f t="shared" ref="J193:J194" si="54">I193</f>
        <v>向日花怪</v>
      </c>
    </row>
    <row r="194">
      <c r="A194" s="3" t="str">
        <f t="shared" si="34"/>
        <v>NAME_PkMn_YANMA</v>
      </c>
      <c r="B194" s="3" t="s">
        <v>1072</v>
      </c>
      <c r="C194" s="3" t="s">
        <v>1073</v>
      </c>
      <c r="D194" s="5" t="str">
        <f>B194</f>
        <v>Yanma</v>
      </c>
      <c r="E194" s="5" t="str">
        <f>B194</f>
        <v>Yanma</v>
      </c>
      <c r="F194" s="5" t="str">
        <f t="shared" si="2"/>
        <v>Yanma</v>
      </c>
      <c r="G194" s="5" t="str">
        <f t="shared" si="3"/>
        <v>Yanma</v>
      </c>
      <c r="H194" s="3" t="s">
        <v>1074</v>
      </c>
      <c r="I194" s="3" t="s">
        <v>1075</v>
      </c>
      <c r="J194" s="5" t="str">
        <f t="shared" si="54"/>
        <v>蜻蜻蜓</v>
      </c>
    </row>
    <row r="195">
      <c r="A195" s="3" t="str">
        <f t="shared" si="34"/>
        <v>NAME_PkMn_WOOPER</v>
      </c>
      <c r="B195" s="3" t="s">
        <v>1076</v>
      </c>
      <c r="C195" s="3" t="s">
        <v>1077</v>
      </c>
      <c r="D195" s="3" t="s">
        <v>1078</v>
      </c>
      <c r="E195" s="3" t="s">
        <v>1079</v>
      </c>
      <c r="F195" s="5" t="str">
        <f t="shared" si="2"/>
        <v>Wooper</v>
      </c>
      <c r="G195" s="5" t="str">
        <f t="shared" si="3"/>
        <v>Wooper</v>
      </c>
      <c r="H195" s="3" t="s">
        <v>1080</v>
      </c>
      <c r="I195" s="3" t="s">
        <v>1081</v>
      </c>
      <c r="J195" s="5" t="str">
        <f>IFERROR(__xludf.DUMMYFUNCTION("GOOGLETRANSLATE(I195,""zh_HANT"",""zh_HANS"")"),"乌波")</f>
        <v>乌波</v>
      </c>
    </row>
    <row r="196">
      <c r="A196" s="3" t="str">
        <f t="shared" si="34"/>
        <v>NAME_PkMn_QUAGSIRE</v>
      </c>
      <c r="B196" s="3" t="s">
        <v>1082</v>
      </c>
      <c r="C196" s="3" t="s">
        <v>1083</v>
      </c>
      <c r="D196" s="3" t="s">
        <v>1084</v>
      </c>
      <c r="E196" s="3" t="s">
        <v>1085</v>
      </c>
      <c r="F196" s="5" t="str">
        <f t="shared" si="2"/>
        <v>Quagsire</v>
      </c>
      <c r="G196" s="5" t="str">
        <f t="shared" si="3"/>
        <v>Quagsire</v>
      </c>
      <c r="H196" s="3" t="s">
        <v>1086</v>
      </c>
      <c r="I196" s="3" t="s">
        <v>1087</v>
      </c>
      <c r="J196" s="5" t="str">
        <f>I196</f>
        <v>沼王</v>
      </c>
    </row>
    <row r="197">
      <c r="A197" s="3" t="str">
        <f t="shared" si="34"/>
        <v>NAME_PkMn_ESPEON</v>
      </c>
      <c r="B197" s="3" t="s">
        <v>1088</v>
      </c>
      <c r="C197" s="3" t="s">
        <v>1089</v>
      </c>
      <c r="D197" s="3" t="s">
        <v>1090</v>
      </c>
      <c r="E197" s="3" t="s">
        <v>1091</v>
      </c>
      <c r="F197" s="5" t="str">
        <f t="shared" si="2"/>
        <v>Espeon</v>
      </c>
      <c r="G197" s="5" t="str">
        <f t="shared" si="3"/>
        <v>Espeon</v>
      </c>
      <c r="H197" s="3" t="s">
        <v>1092</v>
      </c>
      <c r="I197" s="3" t="s">
        <v>1093</v>
      </c>
      <c r="J197" s="5" t="str">
        <f>IFERROR(__xludf.DUMMYFUNCTION("GOOGLETRANSLATE(I197,""zh_HANT"",""zh_HANS"")"),"太阳伊布")</f>
        <v>太阳伊布</v>
      </c>
    </row>
    <row r="198">
      <c r="A198" s="3" t="str">
        <f t="shared" si="34"/>
        <v>NAME_PkMn_UMBREON</v>
      </c>
      <c r="B198" s="3" t="s">
        <v>1094</v>
      </c>
      <c r="C198" s="3" t="s">
        <v>1095</v>
      </c>
      <c r="D198" s="3" t="s">
        <v>1096</v>
      </c>
      <c r="E198" s="3" t="s">
        <v>1097</v>
      </c>
      <c r="F198" s="5" t="str">
        <f t="shared" si="2"/>
        <v>Umbreon</v>
      </c>
      <c r="G198" s="5" t="str">
        <f t="shared" si="3"/>
        <v>Umbreon</v>
      </c>
      <c r="H198" s="3" t="s">
        <v>1098</v>
      </c>
      <c r="I198" s="3" t="s">
        <v>1099</v>
      </c>
      <c r="J198" s="5" t="str">
        <f>I198</f>
        <v>月亮伊布</v>
      </c>
    </row>
    <row r="199">
      <c r="A199" s="3" t="str">
        <f t="shared" si="34"/>
        <v>NAME_PkMn_MURKROW</v>
      </c>
      <c r="B199" s="3" t="s">
        <v>1100</v>
      </c>
      <c r="C199" s="3" t="s">
        <v>1101</v>
      </c>
      <c r="D199" s="3" t="s">
        <v>1102</v>
      </c>
      <c r="E199" s="3" t="s">
        <v>1103</v>
      </c>
      <c r="F199" s="5" t="str">
        <f t="shared" si="2"/>
        <v>Murkrow</v>
      </c>
      <c r="G199" s="5" t="str">
        <f t="shared" si="3"/>
        <v>Murkrow</v>
      </c>
      <c r="H199" s="3" t="s">
        <v>1104</v>
      </c>
      <c r="I199" s="3" t="s">
        <v>1105</v>
      </c>
      <c r="J199" s="5" t="str">
        <f>IFERROR(__xludf.DUMMYFUNCTION("GOOGLETRANSLATE(I199,""zh_HANT"",""zh_HANS"")"),"黑暗鸦")</f>
        <v>黑暗鸦</v>
      </c>
    </row>
    <row r="200">
      <c r="A200" s="3" t="str">
        <f t="shared" si="34"/>
        <v>NAME_PkMn_SLOWKING</v>
      </c>
      <c r="B200" s="3" t="s">
        <v>1106</v>
      </c>
      <c r="C200" s="3" t="s">
        <v>1107</v>
      </c>
      <c r="D200" s="3" t="s">
        <v>1108</v>
      </c>
      <c r="E200" s="3" t="s">
        <v>1109</v>
      </c>
      <c r="F200" s="5" t="str">
        <f t="shared" si="2"/>
        <v>Slowking</v>
      </c>
      <c r="G200" s="5" t="str">
        <f t="shared" si="3"/>
        <v>Slowking</v>
      </c>
      <c r="H200" s="3" t="s">
        <v>1110</v>
      </c>
      <c r="I200" s="3" t="s">
        <v>1111</v>
      </c>
      <c r="J200" s="5" t="str">
        <f>I200</f>
        <v>呆呆王</v>
      </c>
    </row>
    <row r="201">
      <c r="A201" s="3" t="str">
        <f t="shared" si="34"/>
        <v>NAME_PkMn_MISDREAVUS</v>
      </c>
      <c r="B201" s="3" t="s">
        <v>1112</v>
      </c>
      <c r="C201" s="3" t="s">
        <v>1113</v>
      </c>
      <c r="D201" s="3" t="s">
        <v>1114</v>
      </c>
      <c r="E201" s="3" t="s">
        <v>1115</v>
      </c>
      <c r="F201" s="5" t="str">
        <f t="shared" si="2"/>
        <v>Misdreavus</v>
      </c>
      <c r="G201" s="5" t="str">
        <f t="shared" si="3"/>
        <v>Misdreavus</v>
      </c>
      <c r="H201" s="3" t="s">
        <v>1116</v>
      </c>
      <c r="I201" s="3" t="s">
        <v>1117</v>
      </c>
      <c r="J201" s="5" t="str">
        <f>IFERROR(__xludf.DUMMYFUNCTION("GOOGLETRANSLATE(I201,""zh_HANT"",""zh_HANS"")"),"梦妖")</f>
        <v>梦妖</v>
      </c>
    </row>
    <row r="202">
      <c r="A202" s="3" t="str">
        <f t="shared" si="34"/>
        <v>NAME_PkMn_UNOWN</v>
      </c>
      <c r="B202" s="3" t="s">
        <v>1118</v>
      </c>
      <c r="C202" s="3" t="s">
        <v>1119</v>
      </c>
      <c r="D202" s="3" t="s">
        <v>1120</v>
      </c>
      <c r="E202" s="3" t="s">
        <v>1121</v>
      </c>
      <c r="F202" s="5" t="str">
        <f t="shared" si="2"/>
        <v>Unown</v>
      </c>
      <c r="G202" s="5" t="str">
        <f t="shared" si="3"/>
        <v>Unown</v>
      </c>
      <c r="H202" s="3" t="s">
        <v>1122</v>
      </c>
      <c r="I202" s="3" t="s">
        <v>1123</v>
      </c>
      <c r="J202" s="5" t="str">
        <f>IFERROR(__xludf.DUMMYFUNCTION("GOOGLETRANSLATE(I202,""zh_HANT"",""zh_HANS"")"),"未知图腾")</f>
        <v>未知图腾</v>
      </c>
    </row>
    <row r="203">
      <c r="A203" s="3" t="str">
        <f t="shared" si="34"/>
        <v>NAME_PkMn_WOBBUFFET</v>
      </c>
      <c r="B203" s="3" t="s">
        <v>1124</v>
      </c>
      <c r="C203" s="3" t="s">
        <v>1125</v>
      </c>
      <c r="D203" s="3" t="s">
        <v>1126</v>
      </c>
      <c r="E203" s="3" t="s">
        <v>1127</v>
      </c>
      <c r="F203" s="5" t="str">
        <f t="shared" si="2"/>
        <v>Wobbuffet</v>
      </c>
      <c r="G203" s="5" t="str">
        <f t="shared" si="3"/>
        <v>Wobbuffet</v>
      </c>
      <c r="H203" s="3" t="s">
        <v>1128</v>
      </c>
      <c r="I203" s="3" t="s">
        <v>1129</v>
      </c>
      <c r="J203" s="5" t="str">
        <f t="shared" ref="J203:J206" si="55">I203</f>
        <v>果然翁</v>
      </c>
    </row>
    <row r="204">
      <c r="A204" s="3" t="str">
        <f t="shared" si="34"/>
        <v>NAME_PkMn_GIRAFARIG</v>
      </c>
      <c r="B204" s="3" t="s">
        <v>1130</v>
      </c>
      <c r="C204" s="3" t="s">
        <v>1131</v>
      </c>
      <c r="D204" s="5" t="str">
        <f>B204</f>
        <v>Girafarig</v>
      </c>
      <c r="E204" s="5" t="str">
        <f>B204</f>
        <v>Girafarig</v>
      </c>
      <c r="F204" s="5" t="str">
        <f t="shared" si="2"/>
        <v>Girafarig</v>
      </c>
      <c r="G204" s="5" t="str">
        <f t="shared" si="3"/>
        <v>Girafarig</v>
      </c>
      <c r="H204" s="6" t="s">
        <v>1132</v>
      </c>
      <c r="I204" s="3" t="s">
        <v>1133</v>
      </c>
      <c r="J204" s="5" t="str">
        <f t="shared" si="55"/>
        <v>麒麟奇</v>
      </c>
    </row>
    <row r="205">
      <c r="A205" s="3" t="str">
        <f t="shared" si="34"/>
        <v>NAME_PkMn_PINECO</v>
      </c>
      <c r="B205" s="3" t="s">
        <v>1134</v>
      </c>
      <c r="C205" s="3" t="s">
        <v>1135</v>
      </c>
      <c r="D205" s="3" t="s">
        <v>1136</v>
      </c>
      <c r="E205" s="3" t="s">
        <v>1137</v>
      </c>
      <c r="F205" s="5" t="str">
        <f t="shared" si="2"/>
        <v>Pineco</v>
      </c>
      <c r="G205" s="5" t="str">
        <f t="shared" si="3"/>
        <v>Pineco</v>
      </c>
      <c r="H205" s="3" t="s">
        <v>1138</v>
      </c>
      <c r="I205" s="3" t="s">
        <v>1139</v>
      </c>
      <c r="J205" s="5" t="str">
        <f t="shared" si="55"/>
        <v>榛果球</v>
      </c>
    </row>
    <row r="206">
      <c r="A206" s="3" t="str">
        <f t="shared" si="34"/>
        <v>NAME_PkMn_FORRETRESS</v>
      </c>
      <c r="B206" s="3" t="s">
        <v>1140</v>
      </c>
      <c r="C206" s="3" t="s">
        <v>1141</v>
      </c>
      <c r="D206" s="3" t="s">
        <v>1142</v>
      </c>
      <c r="E206" s="3" t="s">
        <v>1143</v>
      </c>
      <c r="F206" s="5" t="str">
        <f t="shared" si="2"/>
        <v>Forretress</v>
      </c>
      <c r="G206" s="5" t="str">
        <f t="shared" si="3"/>
        <v>Forretress</v>
      </c>
      <c r="H206" s="3" t="s">
        <v>1144</v>
      </c>
      <c r="I206" s="3" t="s">
        <v>1145</v>
      </c>
      <c r="J206" s="5" t="str">
        <f t="shared" si="55"/>
        <v>佛烈托斯</v>
      </c>
    </row>
    <row r="207">
      <c r="A207" s="3" t="str">
        <f t="shared" si="34"/>
        <v>NAME_PkMn_DUNSPARCE</v>
      </c>
      <c r="B207" s="3" t="s">
        <v>1146</v>
      </c>
      <c r="C207" s="3" t="s">
        <v>1147</v>
      </c>
      <c r="D207" s="3" t="s">
        <v>1148</v>
      </c>
      <c r="E207" s="3" t="s">
        <v>1149</v>
      </c>
      <c r="F207" s="5" t="str">
        <f t="shared" si="2"/>
        <v>Dunsparce</v>
      </c>
      <c r="G207" s="5" t="str">
        <f t="shared" si="3"/>
        <v>Dunsparce</v>
      </c>
      <c r="H207" s="3" t="s">
        <v>1150</v>
      </c>
      <c r="I207" s="3" t="s">
        <v>1151</v>
      </c>
      <c r="J207" s="5" t="str">
        <f>IFERROR(__xludf.DUMMYFUNCTION("GOOGLETRANSLATE(I207,""zh_HANT"",""zh_HANS"")"),"土龙弟弟")</f>
        <v>土龙弟弟</v>
      </c>
    </row>
    <row r="208">
      <c r="A208" s="3" t="str">
        <f t="shared" si="34"/>
        <v>NAME_PkMn_GLIGAR</v>
      </c>
      <c r="B208" s="3" t="s">
        <v>1152</v>
      </c>
      <c r="C208" s="3" t="s">
        <v>1153</v>
      </c>
      <c r="D208" s="3" t="s">
        <v>1154</v>
      </c>
      <c r="E208" s="3" t="s">
        <v>1155</v>
      </c>
      <c r="F208" s="5" t="str">
        <f t="shared" si="2"/>
        <v>Gligar</v>
      </c>
      <c r="G208" s="5" t="str">
        <f t="shared" si="3"/>
        <v>Gligar</v>
      </c>
      <c r="H208" s="3" t="s">
        <v>1156</v>
      </c>
      <c r="I208" s="3" t="s">
        <v>1157</v>
      </c>
      <c r="J208" s="5" t="str">
        <f>IFERROR(__xludf.DUMMYFUNCTION("GOOGLETRANSLATE(I208,""zh_HANT"",""zh_HANS"")"),"天蝎")</f>
        <v>天蝎</v>
      </c>
    </row>
    <row r="209">
      <c r="A209" s="3" t="str">
        <f t="shared" si="34"/>
        <v>NAME_PkMn_STEELIX</v>
      </c>
      <c r="B209" s="3" t="s">
        <v>1158</v>
      </c>
      <c r="C209" s="3" t="s">
        <v>1159</v>
      </c>
      <c r="D209" s="5" t="str">
        <f t="shared" ref="D209:D212" si="56">B209</f>
        <v>Steelix</v>
      </c>
      <c r="E209" s="3" t="s">
        <v>1160</v>
      </c>
      <c r="F209" s="5" t="str">
        <f t="shared" si="2"/>
        <v>Steelix</v>
      </c>
      <c r="G209" s="5" t="str">
        <f t="shared" si="3"/>
        <v>Steelix</v>
      </c>
      <c r="H209" s="3" t="s">
        <v>1161</v>
      </c>
      <c r="I209" s="5" t="str">
        <f>IFERROR(__xludf.DUMMYFUNCTION("GOOGLETRANSLATE(J209,""zh_HANS"",""zh_HANT"")"),"大鋼蛇")</f>
        <v>大鋼蛇</v>
      </c>
      <c r="J209" s="3" t="s">
        <v>1162</v>
      </c>
    </row>
    <row r="210">
      <c r="A210" s="3" t="str">
        <f t="shared" si="34"/>
        <v>NAME_PkMn_SNUBBULL</v>
      </c>
      <c r="B210" s="3" t="s">
        <v>1163</v>
      </c>
      <c r="C210" s="3" t="s">
        <v>1164</v>
      </c>
      <c r="D210" s="5" t="str">
        <f t="shared" si="56"/>
        <v>Snubbull</v>
      </c>
      <c r="E210" s="5" t="str">
        <f t="shared" ref="E210:E211" si="57">B210</f>
        <v>Snubbull</v>
      </c>
      <c r="F210" s="5" t="str">
        <f t="shared" si="2"/>
        <v>Snubbull</v>
      </c>
      <c r="G210" s="5" t="str">
        <f t="shared" si="3"/>
        <v>Snubbull</v>
      </c>
      <c r="H210" s="3" t="s">
        <v>1165</v>
      </c>
      <c r="I210" s="3" t="s">
        <v>1166</v>
      </c>
      <c r="J210" s="5" t="str">
        <f>IFERROR(__xludf.DUMMYFUNCTION("GOOGLETRANSLATE(I210,""zh_HANT"",""zh_HANS"")"),"布鲁")</f>
        <v>布鲁</v>
      </c>
    </row>
    <row r="211">
      <c r="A211" s="3" t="str">
        <f t="shared" si="34"/>
        <v>NAME_PkMn_GRANBULL</v>
      </c>
      <c r="B211" s="3" t="s">
        <v>1167</v>
      </c>
      <c r="C211" s="3" t="s">
        <v>1168</v>
      </c>
      <c r="D211" s="5" t="str">
        <f t="shared" si="56"/>
        <v>Granbull</v>
      </c>
      <c r="E211" s="5" t="str">
        <f t="shared" si="57"/>
        <v>Granbull</v>
      </c>
      <c r="F211" s="5" t="str">
        <f t="shared" si="2"/>
        <v>Granbull</v>
      </c>
      <c r="G211" s="5" t="str">
        <f t="shared" si="3"/>
        <v>Granbull</v>
      </c>
      <c r="H211" s="3" t="s">
        <v>1169</v>
      </c>
      <c r="I211" s="3" t="s">
        <v>1170</v>
      </c>
      <c r="J211" s="5" t="str">
        <f>IFERROR(__xludf.DUMMYFUNCTION("GOOGLETRANSLATE(I211,""zh_HANT"",""zh_HANS"")"),"布鲁皇")</f>
        <v>布鲁皇</v>
      </c>
    </row>
    <row r="212">
      <c r="A212" s="3" t="str">
        <f t="shared" si="34"/>
        <v>NAME_PkMn_QWILFISH</v>
      </c>
      <c r="B212" s="3" t="s">
        <v>1171</v>
      </c>
      <c r="C212" s="3" t="s">
        <v>1172</v>
      </c>
      <c r="D212" s="5" t="str">
        <f t="shared" si="56"/>
        <v>Qwilfish</v>
      </c>
      <c r="E212" s="3" t="s">
        <v>1173</v>
      </c>
      <c r="F212" s="5" t="str">
        <f t="shared" si="2"/>
        <v>Qwilfish</v>
      </c>
      <c r="G212" s="5" t="str">
        <f t="shared" si="3"/>
        <v>Qwilfish</v>
      </c>
      <c r="H212" s="3" t="s">
        <v>1174</v>
      </c>
      <c r="I212" s="3" t="s">
        <v>1175</v>
      </c>
      <c r="J212" s="5" t="str">
        <f>IFERROR(__xludf.DUMMYFUNCTION("GOOGLETRANSLATE(I212,""zh_HANT"",""zh_HANS"")"),"千针鱼")</f>
        <v>千针鱼</v>
      </c>
    </row>
    <row r="213">
      <c r="A213" s="3" t="str">
        <f t="shared" si="34"/>
        <v>NAME_PkMn_SCIZOR</v>
      </c>
      <c r="B213" s="3" t="s">
        <v>1176</v>
      </c>
      <c r="C213" s="3" t="s">
        <v>1177</v>
      </c>
      <c r="D213" s="3" t="s">
        <v>1178</v>
      </c>
      <c r="E213" s="3" t="s">
        <v>1179</v>
      </c>
      <c r="F213" s="5" t="str">
        <f t="shared" si="2"/>
        <v>Scizor</v>
      </c>
      <c r="G213" s="5" t="str">
        <f t="shared" si="3"/>
        <v>Scizor</v>
      </c>
      <c r="H213" s="3" t="s">
        <v>1180</v>
      </c>
      <c r="I213" s="5" t="str">
        <f>IFERROR(__xludf.DUMMYFUNCTION("GOOGLETRANSLATE(J213,""zh_HANS"",""zh_HANT"")"),"巨鉗螳螂")</f>
        <v>巨鉗螳螂</v>
      </c>
      <c r="J213" s="3" t="s">
        <v>1181</v>
      </c>
    </row>
    <row r="214">
      <c r="A214" s="3" t="str">
        <f t="shared" si="34"/>
        <v>NAME_PkMn_SHUCKLE</v>
      </c>
      <c r="B214" s="3" t="s">
        <v>1182</v>
      </c>
      <c r="C214" s="3" t="s">
        <v>1183</v>
      </c>
      <c r="D214" s="3" t="s">
        <v>1184</v>
      </c>
      <c r="E214" s="3" t="s">
        <v>1185</v>
      </c>
      <c r="F214" s="5" t="str">
        <f t="shared" si="2"/>
        <v>Shuckle</v>
      </c>
      <c r="G214" s="5" t="str">
        <f t="shared" si="3"/>
        <v>Shuckle</v>
      </c>
      <c r="H214" s="3" t="s">
        <v>1186</v>
      </c>
      <c r="I214" s="3" t="s">
        <v>1187</v>
      </c>
      <c r="J214" s="5" t="str">
        <f>IFERROR(__xludf.DUMMYFUNCTION("GOOGLETRANSLATE(I214,""zh_HANT"",""zh_HANS"")"),"壶壶")</f>
        <v>壶壶</v>
      </c>
    </row>
    <row r="215">
      <c r="A215" s="3" t="str">
        <f t="shared" si="34"/>
        <v>NAME_PkMn_HERACROSS</v>
      </c>
      <c r="B215" s="3" t="s">
        <v>1188</v>
      </c>
      <c r="C215" s="3" t="s">
        <v>1189</v>
      </c>
      <c r="D215" s="3" t="s">
        <v>1190</v>
      </c>
      <c r="E215" s="3" t="s">
        <v>1191</v>
      </c>
      <c r="F215" s="5" t="str">
        <f t="shared" si="2"/>
        <v>Heracross</v>
      </c>
      <c r="G215" s="5" t="str">
        <f t="shared" si="3"/>
        <v>Heracross</v>
      </c>
      <c r="H215" s="3" t="s">
        <v>1192</v>
      </c>
      <c r="I215" s="5" t="str">
        <f>IFERROR(__xludf.DUMMYFUNCTION("GOOGLETRANSLATE(J215,""zh_HANS"",""zh_HANT"")"),"赫拉克羅斯")</f>
        <v>赫拉克羅斯</v>
      </c>
      <c r="J215" s="3" t="s">
        <v>1193</v>
      </c>
    </row>
    <row r="216">
      <c r="A216" s="3" t="str">
        <f t="shared" si="34"/>
        <v>NAME_PkMn_SNEASEL</v>
      </c>
      <c r="B216" s="3" t="s">
        <v>1194</v>
      </c>
      <c r="C216" s="3" t="s">
        <v>1195</v>
      </c>
      <c r="D216" s="3" t="s">
        <v>1196</v>
      </c>
      <c r="E216" s="3" t="s">
        <v>1197</v>
      </c>
      <c r="F216" s="5" t="str">
        <f t="shared" si="2"/>
        <v>Sneasel</v>
      </c>
      <c r="G216" s="5" t="str">
        <f t="shared" si="3"/>
        <v>Sneasel</v>
      </c>
      <c r="H216" s="3" t="s">
        <v>1198</v>
      </c>
      <c r="I216" s="3" t="s">
        <v>1199</v>
      </c>
      <c r="J216" s="5" t="str">
        <f>I216</f>
        <v>狃拉</v>
      </c>
    </row>
    <row r="217">
      <c r="A217" s="3" t="str">
        <f t="shared" si="34"/>
        <v>NAME_PkMn_TEDDIURSA</v>
      </c>
      <c r="B217" s="3" t="s">
        <v>1200</v>
      </c>
      <c r="C217" s="3" t="s">
        <v>1201</v>
      </c>
      <c r="D217" s="5" t="str">
        <f t="shared" ref="D217:D218" si="58">B217</f>
        <v>Teddiursa</v>
      </c>
      <c r="E217" s="5" t="str">
        <f t="shared" ref="E217:E218" si="59">B217</f>
        <v>Teddiursa</v>
      </c>
      <c r="F217" s="5" t="str">
        <f t="shared" si="2"/>
        <v>Teddiursa</v>
      </c>
      <c r="G217" s="5" t="str">
        <f t="shared" si="3"/>
        <v>Teddiursa</v>
      </c>
      <c r="H217" s="3" t="s">
        <v>1202</v>
      </c>
      <c r="I217" s="3" t="s">
        <v>1203</v>
      </c>
      <c r="J217" s="5" t="str">
        <f>IFERROR(__xludf.DUMMYFUNCTION("GOOGLETRANSLATE(I217,""zh_HANT"",""zh_HANS"")"),"熊宝宝")</f>
        <v>熊宝宝</v>
      </c>
    </row>
    <row r="218">
      <c r="A218" s="3" t="str">
        <f t="shared" si="34"/>
        <v>NAME_PkMn_URSARING</v>
      </c>
      <c r="B218" s="3" t="s">
        <v>1204</v>
      </c>
      <c r="C218" s="3" t="s">
        <v>1205</v>
      </c>
      <c r="D218" s="5" t="str">
        <f t="shared" si="58"/>
        <v>Ursaring</v>
      </c>
      <c r="E218" s="5" t="str">
        <f t="shared" si="59"/>
        <v>Ursaring</v>
      </c>
      <c r="F218" s="5" t="str">
        <f t="shared" si="2"/>
        <v>Ursaring</v>
      </c>
      <c r="G218" s="5" t="str">
        <f t="shared" si="3"/>
        <v>Ursaring</v>
      </c>
      <c r="H218" s="3" t="s">
        <v>1206</v>
      </c>
      <c r="I218" s="3" t="s">
        <v>1207</v>
      </c>
      <c r="J218" s="5" t="str">
        <f>IFERROR(__xludf.DUMMYFUNCTION("GOOGLETRANSLATE(I218,""zh_HANT"",""zh_HANS"")"),"圈圈熊")</f>
        <v>圈圈熊</v>
      </c>
    </row>
    <row r="219">
      <c r="A219" s="3" t="str">
        <f t="shared" si="34"/>
        <v>NAME_PkMn_SLUGMA</v>
      </c>
      <c r="B219" s="3" t="s">
        <v>1208</v>
      </c>
      <c r="C219" s="3" t="s">
        <v>1209</v>
      </c>
      <c r="D219" s="3" t="s">
        <v>1210</v>
      </c>
      <c r="E219" s="3" t="s">
        <v>1211</v>
      </c>
      <c r="F219" s="5" t="str">
        <f t="shared" si="2"/>
        <v>Slugma</v>
      </c>
      <c r="G219" s="5" t="str">
        <f t="shared" si="3"/>
        <v>Slugma</v>
      </c>
      <c r="H219" s="3" t="s">
        <v>1212</v>
      </c>
      <c r="I219" s="3" t="s">
        <v>1213</v>
      </c>
      <c r="J219" s="5" t="str">
        <f>IFERROR(__xludf.DUMMYFUNCTION("GOOGLETRANSLATE(I219,""zh_HANT"",""zh_HANS"")"),"熔岩虫")</f>
        <v>熔岩虫</v>
      </c>
    </row>
    <row r="220">
      <c r="A220" s="3" t="str">
        <f t="shared" si="34"/>
        <v>NAME_PkMn_MAGCARGO</v>
      </c>
      <c r="B220" s="3" t="s">
        <v>1214</v>
      </c>
      <c r="C220" s="3" t="s">
        <v>1215</v>
      </c>
      <c r="D220" s="3" t="s">
        <v>1216</v>
      </c>
      <c r="E220" s="5" t="str">
        <f>B220</f>
        <v>Magcargo</v>
      </c>
      <c r="F220" s="5" t="str">
        <f t="shared" si="2"/>
        <v>Magcargo</v>
      </c>
      <c r="G220" s="5" t="str">
        <f t="shared" si="3"/>
        <v>Magcargo</v>
      </c>
      <c r="H220" s="3" t="s">
        <v>1217</v>
      </c>
      <c r="I220" s="3" t="s">
        <v>1218</v>
      </c>
      <c r="J220" s="5" t="str">
        <f>IFERROR(__xludf.DUMMYFUNCTION("GOOGLETRANSLATE(I220,""zh_HANT"",""zh_HANS"")"),"熔岩蜗牛")</f>
        <v>熔岩蜗牛</v>
      </c>
    </row>
    <row r="221">
      <c r="A221" s="3" t="str">
        <f t="shared" si="34"/>
        <v>NAME_PkMn_SWINUB</v>
      </c>
      <c r="B221" s="3" t="s">
        <v>1219</v>
      </c>
      <c r="C221" s="3" t="s">
        <v>1220</v>
      </c>
      <c r="D221" s="3" t="s">
        <v>1221</v>
      </c>
      <c r="E221" s="3" t="s">
        <v>1222</v>
      </c>
      <c r="F221" s="5" t="str">
        <f t="shared" si="2"/>
        <v>Swinub</v>
      </c>
      <c r="G221" s="5" t="str">
        <f t="shared" si="3"/>
        <v>Swinub</v>
      </c>
      <c r="H221" s="3" t="s">
        <v>1223</v>
      </c>
      <c r="I221" s="3" t="s">
        <v>1224</v>
      </c>
      <c r="J221" s="5" t="str">
        <f>IFERROR(__xludf.DUMMYFUNCTION("GOOGLETRANSLATE(I221,""zh_HANT"",""zh_HANS"")"),"小山猪")</f>
        <v>小山猪</v>
      </c>
    </row>
    <row r="222">
      <c r="A222" s="3" t="str">
        <f t="shared" si="34"/>
        <v>NAME_PkMn_PILOSWINE</v>
      </c>
      <c r="B222" s="3" t="s">
        <v>1225</v>
      </c>
      <c r="C222" s="3" t="s">
        <v>1226</v>
      </c>
      <c r="D222" s="3" t="s">
        <v>1227</v>
      </c>
      <c r="E222" s="3" t="s">
        <v>1228</v>
      </c>
      <c r="F222" s="5" t="str">
        <f t="shared" si="2"/>
        <v>Piloswine</v>
      </c>
      <c r="G222" s="5" t="str">
        <f t="shared" si="3"/>
        <v>Piloswine</v>
      </c>
      <c r="H222" s="3" t="s">
        <v>1229</v>
      </c>
      <c r="I222" s="3" t="s">
        <v>1230</v>
      </c>
      <c r="J222" s="5" t="str">
        <f>IFERROR(__xludf.DUMMYFUNCTION("GOOGLETRANSLATE(I222,""zh_HANT"",""zh_HANS"")"),"长毛猪")</f>
        <v>长毛猪</v>
      </c>
    </row>
    <row r="223">
      <c r="A223" s="3" t="str">
        <f t="shared" si="34"/>
        <v>NAME_PkMn_CORSOLA</v>
      </c>
      <c r="B223" s="3" t="s">
        <v>1231</v>
      </c>
      <c r="C223" s="3" t="s">
        <v>1232</v>
      </c>
      <c r="D223" s="3" t="s">
        <v>1233</v>
      </c>
      <c r="E223" s="3" t="s">
        <v>1234</v>
      </c>
      <c r="F223" s="5" t="str">
        <f t="shared" si="2"/>
        <v>Corsola</v>
      </c>
      <c r="G223" s="5" t="str">
        <f t="shared" si="3"/>
        <v>Corsola</v>
      </c>
      <c r="H223" s="3" t="s">
        <v>1235</v>
      </c>
      <c r="I223" s="3" t="s">
        <v>1236</v>
      </c>
      <c r="J223" s="5" t="str">
        <f>IFERROR(__xludf.DUMMYFUNCTION("GOOGLETRANSLATE(I223,""zh_HANT"",""zh_HANS"")"),"太阳珊瑚")</f>
        <v>太阳珊瑚</v>
      </c>
    </row>
    <row r="224">
      <c r="A224" s="3" t="str">
        <f t="shared" si="34"/>
        <v>NAME_PkMn_REMORAID</v>
      </c>
      <c r="B224" s="3" t="s">
        <v>1237</v>
      </c>
      <c r="C224" s="3" t="s">
        <v>1238</v>
      </c>
      <c r="D224" s="3" t="s">
        <v>1239</v>
      </c>
      <c r="E224" s="5" t="str">
        <f t="shared" ref="E224:E225" si="60">B224</f>
        <v>Remoraid</v>
      </c>
      <c r="F224" s="5" t="str">
        <f t="shared" si="2"/>
        <v>Remoraid</v>
      </c>
      <c r="G224" s="5" t="str">
        <f t="shared" si="3"/>
        <v>Remoraid</v>
      </c>
      <c r="H224" s="3" t="s">
        <v>1240</v>
      </c>
      <c r="I224" s="3" t="s">
        <v>1241</v>
      </c>
      <c r="J224" s="5" t="str">
        <f>IFERROR(__xludf.DUMMYFUNCTION("GOOGLETRANSLATE(I224,""zh_HANT"",""zh_HANS"")"),"铁炮鱼")</f>
        <v>铁炮鱼</v>
      </c>
    </row>
    <row r="225">
      <c r="A225" s="3" t="str">
        <f t="shared" si="34"/>
        <v>NAME_PkMn_OCTILLERY</v>
      </c>
      <c r="B225" s="3" t="s">
        <v>1242</v>
      </c>
      <c r="C225" s="3" t="s">
        <v>1243</v>
      </c>
      <c r="D225" s="5" t="str">
        <f>B225</f>
        <v>Octillery</v>
      </c>
      <c r="E225" s="5" t="str">
        <f t="shared" si="60"/>
        <v>Octillery</v>
      </c>
      <c r="F225" s="5" t="str">
        <f t="shared" si="2"/>
        <v>Octillery</v>
      </c>
      <c r="G225" s="5" t="str">
        <f t="shared" si="3"/>
        <v>Octillery</v>
      </c>
      <c r="H225" s="3" t="s">
        <v>1244</v>
      </c>
      <c r="I225" s="3" t="s">
        <v>1245</v>
      </c>
      <c r="J225" s="5" t="str">
        <f>IFERROR(__xludf.DUMMYFUNCTION("GOOGLETRANSLATE(I225,""zh_HANT"",""zh_HANS"")"),"章鱼桶")</f>
        <v>章鱼桶</v>
      </c>
    </row>
    <row r="226">
      <c r="A226" s="3" t="str">
        <f t="shared" si="34"/>
        <v>NAME_PkMn_DELIBIRD</v>
      </c>
      <c r="B226" s="3" t="s">
        <v>1246</v>
      </c>
      <c r="C226" s="3" t="s">
        <v>1247</v>
      </c>
      <c r="D226" s="3" t="s">
        <v>1248</v>
      </c>
      <c r="E226" s="3" t="s">
        <v>1249</v>
      </c>
      <c r="F226" s="5" t="str">
        <f t="shared" si="2"/>
        <v>Delibird</v>
      </c>
      <c r="G226" s="5" t="str">
        <f t="shared" si="3"/>
        <v>Delibird</v>
      </c>
      <c r="H226" s="3" t="s">
        <v>1250</v>
      </c>
      <c r="I226" s="3" t="s">
        <v>1251</v>
      </c>
      <c r="J226" s="5" t="str">
        <f>IFERROR(__xludf.DUMMYFUNCTION("GOOGLETRANSLATE(I226,""zh_HANT"",""zh_HANS"")"),"信使鸟")</f>
        <v>信使鸟</v>
      </c>
    </row>
    <row r="227">
      <c r="A227" s="3" t="str">
        <f t="shared" si="34"/>
        <v>NAME_PkMn_MANTINE</v>
      </c>
      <c r="B227" s="3" t="s">
        <v>1252</v>
      </c>
      <c r="C227" s="3" t="s">
        <v>1253</v>
      </c>
      <c r="D227" s="3" t="s">
        <v>1254</v>
      </c>
      <c r="E227" s="3" t="s">
        <v>1255</v>
      </c>
      <c r="F227" s="5" t="str">
        <f t="shared" si="2"/>
        <v>Mantine</v>
      </c>
      <c r="G227" s="5" t="str">
        <f t="shared" si="3"/>
        <v>Mantine</v>
      </c>
      <c r="H227" s="3" t="s">
        <v>1256</v>
      </c>
      <c r="I227" s="3" t="s">
        <v>1257</v>
      </c>
      <c r="J227" s="5" t="str">
        <f>IFERROR(__xludf.DUMMYFUNCTION("GOOGLETRANSLATE(I227,""zh_HANT"",""zh_HANS"")"),"巨翅飞鱼")</f>
        <v>巨翅飞鱼</v>
      </c>
    </row>
    <row r="228">
      <c r="A228" s="3" t="str">
        <f t="shared" si="34"/>
        <v>NAME_PkMn_SKARMORY</v>
      </c>
      <c r="B228" s="3" t="s">
        <v>1258</v>
      </c>
      <c r="C228" s="3" t="s">
        <v>1259</v>
      </c>
      <c r="D228" s="3" t="s">
        <v>1260</v>
      </c>
      <c r="E228" s="3" t="s">
        <v>1261</v>
      </c>
      <c r="F228" s="5" t="str">
        <f t="shared" si="2"/>
        <v>Skarmory</v>
      </c>
      <c r="G228" s="5" t="str">
        <f t="shared" si="3"/>
        <v>Skarmory</v>
      </c>
      <c r="H228" s="3" t="s">
        <v>1262</v>
      </c>
      <c r="I228" s="3" t="s">
        <v>1263</v>
      </c>
      <c r="J228" s="5" t="str">
        <f>IFERROR(__xludf.DUMMYFUNCTION("GOOGLETRANSLATE(I228,""zh_HANT"",""zh_HANS"")"),"盔甲鸟")</f>
        <v>盔甲鸟</v>
      </c>
    </row>
    <row r="229">
      <c r="A229" s="3" t="str">
        <f t="shared" si="34"/>
        <v>NAME_PkMn_HOUNDOOR</v>
      </c>
      <c r="B229" s="3" t="s">
        <v>1264</v>
      </c>
      <c r="C229" s="3" t="s">
        <v>1265</v>
      </c>
      <c r="D229" s="3" t="s">
        <v>1266</v>
      </c>
      <c r="E229" s="3" t="s">
        <v>1267</v>
      </c>
      <c r="F229" s="5" t="str">
        <f t="shared" si="2"/>
        <v>Houndoor</v>
      </c>
      <c r="G229" s="5" t="str">
        <f t="shared" si="3"/>
        <v>Houndoor</v>
      </c>
      <c r="H229" s="3" t="s">
        <v>1268</v>
      </c>
      <c r="I229" s="3" t="s">
        <v>1269</v>
      </c>
      <c r="J229" s="5" t="str">
        <f>IFERROR(__xludf.DUMMYFUNCTION("GOOGLETRANSLATE(I229,""zh_HANT"",""zh_HANS"")"),"戴鲁比")</f>
        <v>戴鲁比</v>
      </c>
    </row>
    <row r="230">
      <c r="A230" s="3" t="str">
        <f t="shared" si="34"/>
        <v>NAME_PkMn_HOUNDOOM</v>
      </c>
      <c r="B230" s="3" t="s">
        <v>1270</v>
      </c>
      <c r="C230" s="3" t="s">
        <v>1271</v>
      </c>
      <c r="D230" s="3" t="s">
        <v>1272</v>
      </c>
      <c r="E230" s="3" t="s">
        <v>1273</v>
      </c>
      <c r="F230" s="5" t="str">
        <f t="shared" si="2"/>
        <v>Houndoom</v>
      </c>
      <c r="G230" s="5" t="str">
        <f t="shared" si="3"/>
        <v>Houndoom</v>
      </c>
      <c r="H230" s="3" t="s">
        <v>1274</v>
      </c>
      <c r="I230" s="5" t="str">
        <f>IFERROR(__xludf.DUMMYFUNCTION("GOOGLETRANSLATE(J230,""zh_HANS"",""zh_HANT"")"),"黑魯加")</f>
        <v>黑魯加</v>
      </c>
      <c r="J230" s="7" t="s">
        <v>1275</v>
      </c>
    </row>
    <row r="231">
      <c r="A231" s="3" t="str">
        <f t="shared" si="34"/>
        <v>NAME_PkMn_KINGDRA</v>
      </c>
      <c r="B231" s="3" t="s">
        <v>1276</v>
      </c>
      <c r="C231" s="3" t="s">
        <v>1277</v>
      </c>
      <c r="D231" s="3" t="s">
        <v>1278</v>
      </c>
      <c r="E231" s="3" t="s">
        <v>1279</v>
      </c>
      <c r="F231" s="5" t="str">
        <f t="shared" si="2"/>
        <v>Kingdra</v>
      </c>
      <c r="G231" s="5" t="str">
        <f t="shared" si="3"/>
        <v>Kingdra</v>
      </c>
      <c r="H231" s="3" t="s">
        <v>1280</v>
      </c>
      <c r="I231" s="3" t="s">
        <v>1281</v>
      </c>
      <c r="J231" s="5" t="str">
        <f>IFERROR(__xludf.DUMMYFUNCTION("GOOGLETRANSLATE(I231,""zh_HANT"",""zh_HANS"")"),"刺龙王")</f>
        <v>刺龙王</v>
      </c>
    </row>
    <row r="232">
      <c r="A232" s="3" t="str">
        <f t="shared" si="34"/>
        <v>NAME_PkMn_PHANPY</v>
      </c>
      <c r="B232" s="3" t="s">
        <v>1282</v>
      </c>
      <c r="C232" s="3" t="s">
        <v>1283</v>
      </c>
      <c r="D232" s="5" t="str">
        <f t="shared" ref="D232:D234" si="61">B232</f>
        <v>Phanpy</v>
      </c>
      <c r="E232" s="5" t="str">
        <f t="shared" ref="E232:E234" si="62">B232</f>
        <v>Phanpy</v>
      </c>
      <c r="F232" s="5" t="str">
        <f t="shared" si="2"/>
        <v>Phanpy</v>
      </c>
      <c r="G232" s="5" t="str">
        <f t="shared" si="3"/>
        <v>Phanpy</v>
      </c>
      <c r="H232" s="3" t="s">
        <v>1284</v>
      </c>
      <c r="I232" s="3" t="s">
        <v>1285</v>
      </c>
      <c r="J232" s="5" t="str">
        <f>I232</f>
        <v>小小象</v>
      </c>
    </row>
    <row r="233">
      <c r="A233" s="3" t="str">
        <f t="shared" si="34"/>
        <v>NAME_PkMn_DONPHAN</v>
      </c>
      <c r="B233" s="3" t="s">
        <v>1286</v>
      </c>
      <c r="C233" s="3" t="s">
        <v>1287</v>
      </c>
      <c r="D233" s="5" t="str">
        <f t="shared" si="61"/>
        <v>Donphan</v>
      </c>
      <c r="E233" s="5" t="str">
        <f t="shared" si="62"/>
        <v>Donphan</v>
      </c>
      <c r="F233" s="5" t="str">
        <f t="shared" si="2"/>
        <v>Donphan</v>
      </c>
      <c r="G233" s="5" t="str">
        <f t="shared" si="3"/>
        <v>Donphan</v>
      </c>
      <c r="H233" s="3" t="s">
        <v>1288</v>
      </c>
      <c r="I233" s="3" t="s">
        <v>1289</v>
      </c>
      <c r="J233" s="5" t="str">
        <f>IFERROR(__xludf.DUMMYFUNCTION("GOOGLETRANSLATE(I233,""zh_HANT"",""zh_HANS"")"),"顿甲")</f>
        <v>顿甲</v>
      </c>
    </row>
    <row r="234">
      <c r="A234" s="3" t="str">
        <f t="shared" si="34"/>
        <v>NAME_PkMn_PORYGON2</v>
      </c>
      <c r="B234" s="3" t="s">
        <v>1290</v>
      </c>
      <c r="C234" s="3" t="s">
        <v>1291</v>
      </c>
      <c r="D234" s="5" t="str">
        <f t="shared" si="61"/>
        <v>Porygon2</v>
      </c>
      <c r="E234" s="5" t="str">
        <f t="shared" si="62"/>
        <v>Porygon2</v>
      </c>
      <c r="F234" s="5" t="str">
        <f t="shared" si="2"/>
        <v>Porygon2</v>
      </c>
      <c r="G234" s="5" t="str">
        <f t="shared" si="3"/>
        <v>Porygon2</v>
      </c>
      <c r="H234" s="5" t="str">
        <f>CONCATENATE(H138,"２")</f>
        <v>폴리곤２</v>
      </c>
      <c r="I234" s="5" t="str">
        <f>CONCATENATE(I138,"Ⅱ")</f>
        <v>多邊獸Ⅱ</v>
      </c>
      <c r="J234" s="5" t="str">
        <f>CONCATENATE(J138,"２型")</f>
        <v>多边兽２型</v>
      </c>
    </row>
    <row r="235">
      <c r="A235" s="3" t="str">
        <f t="shared" si="34"/>
        <v>NAME_PkMn_STANTLER</v>
      </c>
      <c r="B235" s="3" t="s">
        <v>1292</v>
      </c>
      <c r="C235" s="3" t="s">
        <v>1293</v>
      </c>
      <c r="D235" s="3" t="s">
        <v>1294</v>
      </c>
      <c r="E235" s="3" t="s">
        <v>1295</v>
      </c>
      <c r="F235" s="5" t="str">
        <f t="shared" si="2"/>
        <v>Stantler</v>
      </c>
      <c r="G235" s="5" t="str">
        <f t="shared" si="3"/>
        <v>Stantler</v>
      </c>
      <c r="H235" s="3" t="s">
        <v>1296</v>
      </c>
      <c r="I235" s="3" t="s">
        <v>1297</v>
      </c>
      <c r="J235" s="5" t="str">
        <f>IFERROR(__xludf.DUMMYFUNCTION("GOOGLETRANSLATE(I235,""zh_HANT"",""zh_HANS"")"),"惊角鹿")</f>
        <v>惊角鹿</v>
      </c>
    </row>
    <row r="236">
      <c r="A236" s="3" t="str">
        <f t="shared" si="34"/>
        <v>NAME_PkMn_SMEARGLE</v>
      </c>
      <c r="B236" s="3" t="s">
        <v>1298</v>
      </c>
      <c r="C236" s="3" t="s">
        <v>1299</v>
      </c>
      <c r="D236" s="3" t="s">
        <v>1300</v>
      </c>
      <c r="E236" s="3" t="s">
        <v>1301</v>
      </c>
      <c r="F236" s="5" t="str">
        <f t="shared" si="2"/>
        <v>Smeargle</v>
      </c>
      <c r="G236" s="5" t="str">
        <f t="shared" si="3"/>
        <v>Smeargle</v>
      </c>
      <c r="H236" s="3" t="s">
        <v>1302</v>
      </c>
      <c r="I236" s="3" t="s">
        <v>1303</v>
      </c>
      <c r="J236" s="5" t="str">
        <f>IFERROR(__xludf.DUMMYFUNCTION("GOOGLETRANSLATE(I236,""zh_HANT"",""zh_HANS"")"),"图图犬")</f>
        <v>图图犬</v>
      </c>
    </row>
    <row r="237">
      <c r="A237" s="3" t="str">
        <f t="shared" si="34"/>
        <v>NAME_PkMn_TYROGUE</v>
      </c>
      <c r="B237" s="3" t="s">
        <v>1304</v>
      </c>
      <c r="C237" s="3" t="s">
        <v>1305</v>
      </c>
      <c r="D237" s="3" t="s">
        <v>1306</v>
      </c>
      <c r="E237" s="3" t="s">
        <v>1307</v>
      </c>
      <c r="F237" s="5" t="str">
        <f t="shared" si="2"/>
        <v>Tyrogue</v>
      </c>
      <c r="G237" s="5" t="str">
        <f t="shared" si="3"/>
        <v>Tyrogue</v>
      </c>
      <c r="H237" s="3" t="s">
        <v>1308</v>
      </c>
      <c r="I237" s="3" t="s">
        <v>1309</v>
      </c>
      <c r="J237" s="5" t="str">
        <f>IFERROR(__xludf.DUMMYFUNCTION("GOOGLETRANSLATE(I237,""zh_HANT"",""zh_HANS"")"),"无畏小子")</f>
        <v>无畏小子</v>
      </c>
    </row>
    <row r="238">
      <c r="A238" s="3" t="str">
        <f t="shared" si="34"/>
        <v>NAME_PkMn_HITMONTOP</v>
      </c>
      <c r="B238" s="3" t="s">
        <v>1310</v>
      </c>
      <c r="C238" s="3" t="s">
        <v>1311</v>
      </c>
      <c r="D238" s="3" t="s">
        <v>1312</v>
      </c>
      <c r="E238" s="3" t="s">
        <v>1312</v>
      </c>
      <c r="F238" s="5" t="str">
        <f t="shared" si="2"/>
        <v>Hitmontop</v>
      </c>
      <c r="G238" s="5" t="str">
        <f t="shared" si="3"/>
        <v>Hitmontop</v>
      </c>
      <c r="H238" s="3" t="s">
        <v>1313</v>
      </c>
      <c r="I238" s="3" t="s">
        <v>1314</v>
      </c>
      <c r="J238" s="5" t="str">
        <f>IFERROR(__xludf.DUMMYFUNCTION("GOOGLETRANSLATE(I238,""zh_HANT"",""zh_HANS"")"),"战舞郎")</f>
        <v>战舞郎</v>
      </c>
    </row>
    <row r="239">
      <c r="A239" s="3" t="str">
        <f t="shared" si="34"/>
        <v>NAME_PkMn_SMOOCHUM</v>
      </c>
      <c r="B239" s="3" t="s">
        <v>1315</v>
      </c>
      <c r="C239" s="3" t="s">
        <v>1316</v>
      </c>
      <c r="D239" s="3" t="s">
        <v>1317</v>
      </c>
      <c r="E239" s="3" t="s">
        <v>1318</v>
      </c>
      <c r="F239" s="5" t="str">
        <f t="shared" si="2"/>
        <v>Smoochum</v>
      </c>
      <c r="G239" s="5" t="str">
        <f t="shared" si="3"/>
        <v>Smoochum</v>
      </c>
      <c r="H239" s="3" t="s">
        <v>1319</v>
      </c>
      <c r="I239" s="3" t="s">
        <v>1320</v>
      </c>
      <c r="J239" s="5" t="str">
        <f>I239</f>
        <v>迷唇娃</v>
      </c>
    </row>
    <row r="240">
      <c r="A240" s="3" t="str">
        <f t="shared" si="34"/>
        <v>NAME_PkMn_ELEKID</v>
      </c>
      <c r="B240" s="3" t="s">
        <v>1321</v>
      </c>
      <c r="C240" s="3" t="s">
        <v>1322</v>
      </c>
      <c r="D240" s="3" t="s">
        <v>1323</v>
      </c>
      <c r="E240" s="5" t="str">
        <f t="shared" ref="E240:E242" si="63">B240</f>
        <v>Elekid</v>
      </c>
      <c r="F240" s="5" t="str">
        <f t="shared" si="2"/>
        <v>Elekid</v>
      </c>
      <c r="G240" s="5" t="str">
        <f t="shared" si="3"/>
        <v>Elekid</v>
      </c>
      <c r="H240" s="3" t="s">
        <v>1324</v>
      </c>
      <c r="I240" s="3" t="s">
        <v>1325</v>
      </c>
      <c r="J240" s="5" t="str">
        <f>IFERROR(__xludf.DUMMYFUNCTION("GOOGLETRANSLATE(I240,""zh_HANT"",""zh_HANS"")"),"电击怪")</f>
        <v>电击怪</v>
      </c>
    </row>
    <row r="241">
      <c r="A241" s="3" t="str">
        <f t="shared" si="34"/>
        <v>NAME_PkMn_MAGBY</v>
      </c>
      <c r="B241" s="3" t="s">
        <v>1326</v>
      </c>
      <c r="C241" s="3" t="s">
        <v>1327</v>
      </c>
      <c r="D241" s="5" t="str">
        <f>B241</f>
        <v>Magby</v>
      </c>
      <c r="E241" s="5" t="str">
        <f t="shared" si="63"/>
        <v>Magby</v>
      </c>
      <c r="F241" s="5" t="str">
        <f t="shared" si="2"/>
        <v>Magby</v>
      </c>
      <c r="G241" s="5" t="str">
        <f t="shared" si="3"/>
        <v>Magby</v>
      </c>
      <c r="H241" s="3" t="s">
        <v>1328</v>
      </c>
      <c r="I241" s="3" t="s">
        <v>1329</v>
      </c>
      <c r="J241" s="5" t="str">
        <f>IFERROR(__xludf.DUMMYFUNCTION("GOOGLETRANSLATE(I241,""zh_HANT"",""zh_HANS"")"),"鸭嘴宝宝")</f>
        <v>鸭嘴宝宝</v>
      </c>
    </row>
    <row r="242">
      <c r="A242" s="3" t="str">
        <f t="shared" si="34"/>
        <v>NAME_PkMn_MILTANK</v>
      </c>
      <c r="B242" s="3" t="s">
        <v>1330</v>
      </c>
      <c r="C242" s="3" t="s">
        <v>1331</v>
      </c>
      <c r="D242" s="3" t="s">
        <v>1332</v>
      </c>
      <c r="E242" s="5" t="str">
        <f t="shared" si="63"/>
        <v>Miltank</v>
      </c>
      <c r="F242" s="5" t="str">
        <f t="shared" si="2"/>
        <v>Miltank</v>
      </c>
      <c r="G242" s="5" t="str">
        <f t="shared" si="3"/>
        <v>Miltank</v>
      </c>
      <c r="H242" s="3" t="s">
        <v>1333</v>
      </c>
      <c r="I242" s="3" t="s">
        <v>1334</v>
      </c>
      <c r="J242" s="5" t="str">
        <f t="shared" ref="J242:J248" si="64">I242</f>
        <v>大奶罐</v>
      </c>
    </row>
    <row r="243">
      <c r="A243" s="3" t="str">
        <f t="shared" si="34"/>
        <v>NAME_PkMn_BLISSEY</v>
      </c>
      <c r="B243" s="3" t="s">
        <v>1335</v>
      </c>
      <c r="C243" s="3" t="s">
        <v>1336</v>
      </c>
      <c r="D243" s="3" t="s">
        <v>1337</v>
      </c>
      <c r="E243" s="3" t="s">
        <v>1338</v>
      </c>
      <c r="F243" s="5" t="str">
        <f t="shared" si="2"/>
        <v>Blissey</v>
      </c>
      <c r="G243" s="5" t="str">
        <f t="shared" si="3"/>
        <v>Blissey</v>
      </c>
      <c r="H243" s="3" t="s">
        <v>1339</v>
      </c>
      <c r="I243" s="3" t="s">
        <v>1340</v>
      </c>
      <c r="J243" s="5" t="str">
        <f t="shared" si="64"/>
        <v>幸福蛋</v>
      </c>
    </row>
    <row r="244">
      <c r="A244" s="3" t="str">
        <f t="shared" si="34"/>
        <v>NAME_PkMn_RAIKOU</v>
      </c>
      <c r="B244" s="3" t="s">
        <v>1341</v>
      </c>
      <c r="C244" s="3" t="s">
        <v>1342</v>
      </c>
      <c r="D244" s="5" t="str">
        <f t="shared" ref="D244:D246" si="65">B244</f>
        <v>Raikou</v>
      </c>
      <c r="E244" s="5" t="str">
        <f t="shared" ref="E244:E248" si="66">B244</f>
        <v>Raikou</v>
      </c>
      <c r="F244" s="5" t="str">
        <f t="shared" si="2"/>
        <v>Raikou</v>
      </c>
      <c r="G244" s="5" t="str">
        <f t="shared" si="3"/>
        <v>Raikou</v>
      </c>
      <c r="H244" s="3" t="s">
        <v>1343</v>
      </c>
      <c r="I244" s="3" t="s">
        <v>1344</v>
      </c>
      <c r="J244" s="5" t="str">
        <f t="shared" si="64"/>
        <v>雷公</v>
      </c>
    </row>
    <row r="245">
      <c r="A245" s="3" t="str">
        <f t="shared" si="34"/>
        <v>NAME_PkMn_ENTEI</v>
      </c>
      <c r="B245" s="3" t="s">
        <v>1345</v>
      </c>
      <c r="C245" s="3" t="s">
        <v>1346</v>
      </c>
      <c r="D245" s="5" t="str">
        <f t="shared" si="65"/>
        <v>Entei</v>
      </c>
      <c r="E245" s="5" t="str">
        <f t="shared" si="66"/>
        <v>Entei</v>
      </c>
      <c r="F245" s="5" t="str">
        <f t="shared" si="2"/>
        <v>Entei</v>
      </c>
      <c r="G245" s="5" t="str">
        <f t="shared" si="3"/>
        <v>Entei</v>
      </c>
      <c r="H245" s="3" t="s">
        <v>1347</v>
      </c>
      <c r="I245" s="3" t="s">
        <v>1348</v>
      </c>
      <c r="J245" s="5" t="str">
        <f t="shared" si="64"/>
        <v>炎帝</v>
      </c>
    </row>
    <row r="246">
      <c r="A246" s="3" t="str">
        <f t="shared" si="34"/>
        <v>NAME_PkMn_SUICUNE</v>
      </c>
      <c r="B246" s="3" t="s">
        <v>1349</v>
      </c>
      <c r="C246" s="3" t="s">
        <v>1350</v>
      </c>
      <c r="D246" s="5" t="str">
        <f t="shared" si="65"/>
        <v>Suicune</v>
      </c>
      <c r="E246" s="5" t="str">
        <f t="shared" si="66"/>
        <v>Suicune</v>
      </c>
      <c r="F246" s="5" t="str">
        <f t="shared" si="2"/>
        <v>Suicune</v>
      </c>
      <c r="G246" s="5" t="str">
        <f t="shared" si="3"/>
        <v>Suicune</v>
      </c>
      <c r="H246" s="3" t="s">
        <v>1347</v>
      </c>
      <c r="I246" s="3" t="s">
        <v>1351</v>
      </c>
      <c r="J246" s="5" t="str">
        <f t="shared" si="64"/>
        <v>水君</v>
      </c>
    </row>
    <row r="247">
      <c r="A247" s="3" t="str">
        <f t="shared" si="34"/>
        <v>NAME_PkMn_LARVITAR</v>
      </c>
      <c r="B247" s="3" t="s">
        <v>1352</v>
      </c>
      <c r="C247" s="3" t="s">
        <v>1353</v>
      </c>
      <c r="D247" s="3" t="s">
        <v>1354</v>
      </c>
      <c r="E247" s="5" t="str">
        <f t="shared" si="66"/>
        <v>Larvitar</v>
      </c>
      <c r="F247" s="5" t="str">
        <f t="shared" si="2"/>
        <v>Larvitar</v>
      </c>
      <c r="G247" s="5" t="str">
        <f t="shared" si="3"/>
        <v>Larvitar</v>
      </c>
      <c r="H247" s="3" t="s">
        <v>1355</v>
      </c>
      <c r="I247" s="3" t="s">
        <v>1356</v>
      </c>
      <c r="J247" s="5" t="str">
        <f t="shared" si="64"/>
        <v>幼基拉斯</v>
      </c>
    </row>
    <row r="248">
      <c r="A248" s="3" t="str">
        <f t="shared" si="34"/>
        <v>NAME_PkMn_PUPITAR</v>
      </c>
      <c r="B248" s="3" t="s">
        <v>1357</v>
      </c>
      <c r="C248" s="3" t="s">
        <v>1358</v>
      </c>
      <c r="D248" s="3" t="s">
        <v>1359</v>
      </c>
      <c r="E248" s="5" t="str">
        <f t="shared" si="66"/>
        <v>Pupitar</v>
      </c>
      <c r="F248" s="5" t="str">
        <f t="shared" si="2"/>
        <v>Pupitar</v>
      </c>
      <c r="G248" s="5" t="str">
        <f t="shared" si="3"/>
        <v>Pupitar</v>
      </c>
      <c r="H248" s="3" t="s">
        <v>1360</v>
      </c>
      <c r="I248" s="3" t="s">
        <v>1361</v>
      </c>
      <c r="J248" s="5" t="str">
        <f t="shared" si="64"/>
        <v>沙基拉斯</v>
      </c>
    </row>
    <row r="249">
      <c r="A249" s="3" t="str">
        <f t="shared" si="34"/>
        <v>NAME_PkMn_TYRANITAR</v>
      </c>
      <c r="B249" s="3" t="s">
        <v>1362</v>
      </c>
      <c r="C249" s="3" t="s">
        <v>1363</v>
      </c>
      <c r="D249" s="3" t="s">
        <v>1364</v>
      </c>
      <c r="E249" s="3" t="s">
        <v>1365</v>
      </c>
      <c r="F249" s="5" t="str">
        <f t="shared" si="2"/>
        <v>Tyranitar</v>
      </c>
      <c r="G249" s="5" t="str">
        <f t="shared" si="3"/>
        <v>Tyranitar</v>
      </c>
      <c r="H249" s="3" t="s">
        <v>1366</v>
      </c>
      <c r="I249" s="5" t="str">
        <f>J249</f>
        <v>班基拉斯</v>
      </c>
      <c r="J249" s="3" t="s">
        <v>1367</v>
      </c>
    </row>
    <row r="250">
      <c r="A250" s="3" t="str">
        <f t="shared" si="34"/>
        <v>NAME_PkMn_LUGIA</v>
      </c>
      <c r="B250" s="3" t="s">
        <v>1368</v>
      </c>
      <c r="C250" s="3" t="s">
        <v>1369</v>
      </c>
      <c r="D250" s="5" t="str">
        <f t="shared" ref="D250:D252" si="67">B250</f>
        <v>Lugia</v>
      </c>
      <c r="E250" s="5" t="str">
        <f t="shared" ref="E250:E252" si="68">B250</f>
        <v>Lugia</v>
      </c>
      <c r="F250" s="5" t="str">
        <f t="shared" si="2"/>
        <v>Lugia</v>
      </c>
      <c r="G250" s="5" t="str">
        <f t="shared" si="3"/>
        <v>Lugia</v>
      </c>
      <c r="H250" s="3" t="s">
        <v>1370</v>
      </c>
      <c r="I250" s="3" t="s">
        <v>1371</v>
      </c>
      <c r="J250" s="5" t="str">
        <f>IFERROR(__xludf.DUMMYFUNCTION("GOOGLETRANSLATE(I250,""zh_HANT"",""zh_HANS"")"),"洛奇亚")</f>
        <v>洛奇亚</v>
      </c>
    </row>
    <row r="251">
      <c r="A251" s="3" t="s">
        <v>1372</v>
      </c>
      <c r="B251" s="3" t="s">
        <v>1373</v>
      </c>
      <c r="C251" s="3" t="s">
        <v>1374</v>
      </c>
      <c r="D251" s="5" t="str">
        <f t="shared" si="67"/>
        <v>Ho-Oh</v>
      </c>
      <c r="E251" s="5" t="str">
        <f t="shared" si="68"/>
        <v>Ho-Oh</v>
      </c>
      <c r="F251" s="5" t="str">
        <f t="shared" si="2"/>
        <v>Ho-Oh</v>
      </c>
      <c r="G251" s="5" t="str">
        <f t="shared" si="3"/>
        <v>Ho-Oh</v>
      </c>
      <c r="H251" s="3" t="s">
        <v>1375</v>
      </c>
      <c r="I251" s="3" t="s">
        <v>1376</v>
      </c>
      <c r="J251" s="5" t="str">
        <f>IFERROR(__xludf.DUMMYFUNCTION("GOOGLETRANSLATE(I251,""zh_HANT"",""zh_HANS"")"),"凤王")</f>
        <v>凤王</v>
      </c>
    </row>
    <row r="252">
      <c r="A252" s="3" t="str">
        <f t="shared" ref="A252:A439" si="69">CONCATENATE("NAME_PkMn_", UPPER(B252))</f>
        <v>NAME_PkMn_CELEBI</v>
      </c>
      <c r="B252" s="3" t="s">
        <v>1377</v>
      </c>
      <c r="C252" s="3" t="s">
        <v>1378</v>
      </c>
      <c r="D252" s="5" t="str">
        <f t="shared" si="67"/>
        <v>Celebi</v>
      </c>
      <c r="E252" s="5" t="str">
        <f t="shared" si="68"/>
        <v>Celebi</v>
      </c>
      <c r="F252" s="5" t="str">
        <f t="shared" si="2"/>
        <v>Celebi</v>
      </c>
      <c r="G252" s="5" t="str">
        <f t="shared" si="3"/>
        <v>Celebi</v>
      </c>
      <c r="H252" s="3" t="s">
        <v>1379</v>
      </c>
      <c r="I252" s="3" t="s">
        <v>1380</v>
      </c>
      <c r="J252" s="5" t="str">
        <f>IFERROR(__xludf.DUMMYFUNCTION("GOOGLETRANSLATE(I252,""zh_HANT"",""zh_HANS"")"),"时拉比")</f>
        <v>时拉比</v>
      </c>
    </row>
    <row r="253">
      <c r="A253" s="3" t="str">
        <f t="shared" si="69"/>
        <v>NAME_PkMn_TREECKO</v>
      </c>
      <c r="B253" s="3" t="s">
        <v>1381</v>
      </c>
      <c r="C253" s="3" t="s">
        <v>1382</v>
      </c>
      <c r="D253" s="3" t="s">
        <v>1383</v>
      </c>
      <c r="E253" s="3" t="s">
        <v>1384</v>
      </c>
      <c r="F253" s="5" t="str">
        <f t="shared" si="2"/>
        <v>Treecko</v>
      </c>
      <c r="G253" s="5" t="str">
        <f t="shared" si="3"/>
        <v>Treecko</v>
      </c>
      <c r="H253" s="3" t="s">
        <v>1385</v>
      </c>
      <c r="I253" s="3" t="s">
        <v>1386</v>
      </c>
      <c r="J253" s="5" t="str">
        <f>IFERROR(__xludf.DUMMYFUNCTION("GOOGLETRANSLATE(I253,""zh_HANT"",""zh_HANS"")"),"木守宫")</f>
        <v>木守宫</v>
      </c>
    </row>
    <row r="254">
      <c r="A254" s="3" t="str">
        <f t="shared" si="69"/>
        <v>NAME_PkMn_GROVYLE</v>
      </c>
      <c r="B254" s="3" t="s">
        <v>1387</v>
      </c>
      <c r="C254" s="3" t="s">
        <v>1388</v>
      </c>
      <c r="D254" s="3" t="s">
        <v>1389</v>
      </c>
      <c r="E254" s="3" t="s">
        <v>1390</v>
      </c>
      <c r="F254" s="5" t="str">
        <f t="shared" si="2"/>
        <v>Grovyle</v>
      </c>
      <c r="G254" s="5" t="str">
        <f t="shared" si="3"/>
        <v>Grovyle</v>
      </c>
      <c r="H254" s="3" t="s">
        <v>1391</v>
      </c>
      <c r="I254" s="3" t="s">
        <v>1392</v>
      </c>
      <c r="J254" s="5" t="str">
        <f>I254</f>
        <v>森林蜥蜴</v>
      </c>
    </row>
    <row r="255">
      <c r="A255" s="3" t="str">
        <f t="shared" si="69"/>
        <v>NAME_PkMn_SCEPTILE</v>
      </c>
      <c r="B255" s="3" t="s">
        <v>1393</v>
      </c>
      <c r="C255" s="3" t="s">
        <v>1394</v>
      </c>
      <c r="D255" s="3" t="s">
        <v>1395</v>
      </c>
      <c r="E255" s="3" t="s">
        <v>1396</v>
      </c>
      <c r="F255" s="5" t="str">
        <f t="shared" si="2"/>
        <v>Sceptile</v>
      </c>
      <c r="G255" s="5" t="str">
        <f t="shared" si="3"/>
        <v>Sceptile</v>
      </c>
      <c r="H255" s="3" t="s">
        <v>1397</v>
      </c>
      <c r="I255" s="5" t="str">
        <f>J255</f>
        <v>蜥蜴王</v>
      </c>
      <c r="J255" s="3" t="s">
        <v>1398</v>
      </c>
    </row>
    <row r="256">
      <c r="A256" s="3" t="str">
        <f t="shared" si="69"/>
        <v>NAME_PkMn_TORCHIC</v>
      </c>
      <c r="B256" s="3" t="s">
        <v>1399</v>
      </c>
      <c r="C256" s="3" t="s">
        <v>1400</v>
      </c>
      <c r="D256" s="3" t="s">
        <v>1401</v>
      </c>
      <c r="E256" s="3" t="s">
        <v>1402</v>
      </c>
      <c r="F256" s="5" t="str">
        <f t="shared" si="2"/>
        <v>Torchic</v>
      </c>
      <c r="G256" s="5" t="str">
        <f t="shared" si="3"/>
        <v>Torchic</v>
      </c>
      <c r="H256" s="3" t="s">
        <v>1403</v>
      </c>
      <c r="I256" s="3" t="s">
        <v>1404</v>
      </c>
      <c r="J256" s="5" t="str">
        <f>IFERROR(__xludf.DUMMYFUNCTION("GOOGLETRANSLATE(I256,""zh_HANT"",""zh_HANS"")"),"火稚鸡")</f>
        <v>火稚鸡</v>
      </c>
    </row>
    <row r="257">
      <c r="A257" s="3" t="str">
        <f t="shared" si="69"/>
        <v>NAME_PkMn_COMBUSKEN</v>
      </c>
      <c r="B257" s="3" t="s">
        <v>1405</v>
      </c>
      <c r="C257" s="3" t="s">
        <v>1406</v>
      </c>
      <c r="D257" s="3" t="s">
        <v>1407</v>
      </c>
      <c r="E257" s="3" t="s">
        <v>1408</v>
      </c>
      <c r="F257" s="5" t="str">
        <f t="shared" si="2"/>
        <v>Combusken</v>
      </c>
      <c r="G257" s="5" t="str">
        <f t="shared" si="3"/>
        <v>Combusken</v>
      </c>
      <c r="H257" s="3" t="s">
        <v>1409</v>
      </c>
      <c r="I257" s="3" t="s">
        <v>1410</v>
      </c>
      <c r="J257" s="5" t="str">
        <f>IFERROR(__xludf.DUMMYFUNCTION("GOOGLETRANSLATE(I257,""zh_HANT"",""zh_HANS"")"),"力壮鸡")</f>
        <v>力壮鸡</v>
      </c>
    </row>
    <row r="258">
      <c r="A258" s="3" t="str">
        <f t="shared" si="69"/>
        <v>NAME_PkMn_BLAZIKEN</v>
      </c>
      <c r="B258" s="3" t="s">
        <v>1411</v>
      </c>
      <c r="C258" s="3" t="s">
        <v>1412</v>
      </c>
      <c r="D258" s="3" t="s">
        <v>1413</v>
      </c>
      <c r="E258" s="3" t="s">
        <v>1414</v>
      </c>
      <c r="F258" s="5" t="str">
        <f t="shared" si="2"/>
        <v>Blaziken</v>
      </c>
      <c r="G258" s="5" t="str">
        <f t="shared" si="3"/>
        <v>Blaziken</v>
      </c>
      <c r="H258" s="3" t="s">
        <v>1415</v>
      </c>
      <c r="I258" s="5" t="str">
        <f>IFERROR(__xludf.DUMMYFUNCTION("GOOGLETRANSLATE(J258,""zh_HANS"",""zh_HANT"")"),"火焰雞")</f>
        <v>火焰雞</v>
      </c>
      <c r="J258" s="3" t="s">
        <v>1416</v>
      </c>
    </row>
    <row r="259">
      <c r="A259" s="3" t="str">
        <f t="shared" si="69"/>
        <v>NAME_PkMn_MUDKIP</v>
      </c>
      <c r="B259" s="3" t="s">
        <v>1417</v>
      </c>
      <c r="C259" s="3" t="s">
        <v>1418</v>
      </c>
      <c r="D259" s="3" t="s">
        <v>1419</v>
      </c>
      <c r="E259" s="8" t="s">
        <v>1420</v>
      </c>
      <c r="F259" s="5" t="str">
        <f t="shared" si="2"/>
        <v>Mudkip</v>
      </c>
      <c r="G259" s="5" t="str">
        <f t="shared" si="3"/>
        <v>Mudkip</v>
      </c>
      <c r="H259" s="3" t="s">
        <v>1421</v>
      </c>
      <c r="I259" s="3" t="s">
        <v>1422</v>
      </c>
      <c r="J259" s="5" t="str">
        <f>IFERROR(__xludf.DUMMYFUNCTION("GOOGLETRANSLATE(I259,""zh_HANT"",""zh_HANS"")"),"水跃鱼")</f>
        <v>水跃鱼</v>
      </c>
    </row>
    <row r="260">
      <c r="A260" s="3" t="str">
        <f t="shared" si="69"/>
        <v>NAME_PkMn_MARSHTOMP</v>
      </c>
      <c r="B260" s="3" t="s">
        <v>1423</v>
      </c>
      <c r="C260" s="3" t="s">
        <v>1424</v>
      </c>
      <c r="D260" s="3" t="s">
        <v>1425</v>
      </c>
      <c r="E260" s="3" t="s">
        <v>1426</v>
      </c>
      <c r="F260" s="5" t="str">
        <f t="shared" si="2"/>
        <v>Marshtomp</v>
      </c>
      <c r="G260" s="5" t="str">
        <f t="shared" si="3"/>
        <v>Marshtomp</v>
      </c>
      <c r="H260" s="3" t="s">
        <v>1427</v>
      </c>
      <c r="I260" s="3" t="s">
        <v>1428</v>
      </c>
      <c r="J260" s="5" t="str">
        <f>IFERROR(__xludf.DUMMYFUNCTION("GOOGLETRANSLATE(I260,""zh_HANT"",""zh_HANS"")"),"沼跃鱼")</f>
        <v>沼跃鱼</v>
      </c>
    </row>
    <row r="261">
      <c r="A261" s="3" t="str">
        <f t="shared" si="69"/>
        <v>NAME_PkMn_SWAMPERT</v>
      </c>
      <c r="B261" s="3" t="s">
        <v>1429</v>
      </c>
      <c r="C261" s="3" t="s">
        <v>1430</v>
      </c>
      <c r="D261" s="3" t="s">
        <v>1431</v>
      </c>
      <c r="E261" s="3" t="s">
        <v>1432</v>
      </c>
      <c r="F261" s="5" t="str">
        <f t="shared" si="2"/>
        <v>Swampert</v>
      </c>
      <c r="G261" s="5" t="str">
        <f t="shared" si="3"/>
        <v>Swampert</v>
      </c>
      <c r="H261" s="3" t="s">
        <v>1433</v>
      </c>
      <c r="I261" s="5" t="str">
        <f>J261</f>
        <v>巨沼怪</v>
      </c>
      <c r="J261" s="3" t="s">
        <v>1434</v>
      </c>
    </row>
    <row r="262">
      <c r="A262" s="3" t="str">
        <f t="shared" si="69"/>
        <v>NAME_PkMn_POOCHYENA</v>
      </c>
      <c r="B262" s="3" t="s">
        <v>1435</v>
      </c>
      <c r="C262" s="3" t="s">
        <v>1436</v>
      </c>
      <c r="D262" s="3" t="s">
        <v>1437</v>
      </c>
      <c r="E262" s="3" t="s">
        <v>1438</v>
      </c>
      <c r="F262" s="5" t="str">
        <f t="shared" si="2"/>
        <v>Poochyena</v>
      </c>
      <c r="G262" s="5" t="str">
        <f t="shared" si="3"/>
        <v>Poochyena</v>
      </c>
      <c r="H262" s="3" t="s">
        <v>1439</v>
      </c>
      <c r="I262" s="3" t="s">
        <v>1440</v>
      </c>
      <c r="J262" s="5" t="str">
        <f t="shared" ref="J262:J263" si="70">I262</f>
        <v>土狼犬</v>
      </c>
    </row>
    <row r="263">
      <c r="A263" s="3" t="str">
        <f t="shared" si="69"/>
        <v>NAME_PkMn_MIGHTYENA</v>
      </c>
      <c r="B263" s="3" t="s">
        <v>1441</v>
      </c>
      <c r="C263" s="3" t="s">
        <v>1442</v>
      </c>
      <c r="D263" s="3" t="s">
        <v>1443</v>
      </c>
      <c r="E263" s="3" t="s">
        <v>1444</v>
      </c>
      <c r="F263" s="5" t="str">
        <f t="shared" si="2"/>
        <v>Mightyena</v>
      </c>
      <c r="G263" s="5" t="str">
        <f t="shared" si="3"/>
        <v>Mightyena</v>
      </c>
      <c r="H263" s="3" t="s">
        <v>1445</v>
      </c>
      <c r="I263" s="3" t="s">
        <v>1446</v>
      </c>
      <c r="J263" s="5" t="str">
        <f t="shared" si="70"/>
        <v>大狼犬</v>
      </c>
    </row>
    <row r="264">
      <c r="A264" s="3" t="str">
        <f t="shared" si="69"/>
        <v>NAME_PkMn_ZIGZAGOON</v>
      </c>
      <c r="B264" s="3" t="s">
        <v>1447</v>
      </c>
      <c r="C264" s="3" t="s">
        <v>1448</v>
      </c>
      <c r="D264" s="3" t="s">
        <v>1449</v>
      </c>
      <c r="E264" s="3" t="s">
        <v>1450</v>
      </c>
      <c r="F264" s="5" t="str">
        <f t="shared" si="2"/>
        <v>Zigzagoon</v>
      </c>
      <c r="G264" s="5" t="str">
        <f t="shared" si="3"/>
        <v>Zigzagoon</v>
      </c>
      <c r="H264" s="3" t="s">
        <v>1451</v>
      </c>
      <c r="I264" s="3" t="s">
        <v>1452</v>
      </c>
      <c r="J264" s="5" t="str">
        <f>IFERROR(__xludf.DUMMYFUNCTION("GOOGLETRANSLATE(I264,""zh_HANT"",""zh_HANS"")"),"蛇纹熊")</f>
        <v>蛇纹熊</v>
      </c>
    </row>
    <row r="265">
      <c r="A265" s="3" t="str">
        <f t="shared" si="69"/>
        <v>NAME_PkMn_LINOONE</v>
      </c>
      <c r="B265" s="3" t="s">
        <v>1453</v>
      </c>
      <c r="C265" s="3" t="s">
        <v>1454</v>
      </c>
      <c r="D265" s="3" t="s">
        <v>1455</v>
      </c>
      <c r="E265" s="3" t="s">
        <v>1456</v>
      </c>
      <c r="F265" s="5" t="str">
        <f t="shared" si="2"/>
        <v>Linoone</v>
      </c>
      <c r="G265" s="5" t="str">
        <f t="shared" si="3"/>
        <v>Linoone</v>
      </c>
      <c r="H265" s="3" t="s">
        <v>1457</v>
      </c>
      <c r="I265" s="3" t="s">
        <v>1458</v>
      </c>
      <c r="J265" s="5" t="str">
        <f>IFERROR(__xludf.DUMMYFUNCTION("GOOGLETRANSLATE(I265,""zh_HANT"",""zh_HANS"")"),"直冲熊")</f>
        <v>直冲熊</v>
      </c>
    </row>
    <row r="266">
      <c r="A266" s="3" t="str">
        <f t="shared" si="69"/>
        <v>NAME_PkMn_WURMPLE</v>
      </c>
      <c r="B266" s="3" t="s">
        <v>1459</v>
      </c>
      <c r="C266" s="3" t="s">
        <v>1460</v>
      </c>
      <c r="D266" s="3" t="s">
        <v>1461</v>
      </c>
      <c r="E266" s="3" t="s">
        <v>1462</v>
      </c>
      <c r="F266" s="5" t="str">
        <f t="shared" si="2"/>
        <v>Wurmple</v>
      </c>
      <c r="G266" s="5" t="str">
        <f t="shared" si="3"/>
        <v>Wurmple</v>
      </c>
      <c r="H266" s="3" t="s">
        <v>1463</v>
      </c>
      <c r="I266" s="3" t="s">
        <v>1464</v>
      </c>
      <c r="J266" s="5" t="str">
        <f>IFERROR(__xludf.DUMMYFUNCTION("GOOGLETRANSLATE(I266,""zh_HANT"",""zh_HANS"")"),"刺尾虫")</f>
        <v>刺尾虫</v>
      </c>
    </row>
    <row r="267">
      <c r="A267" s="3" t="str">
        <f t="shared" si="69"/>
        <v>NAME_PkMn_SILCOON</v>
      </c>
      <c r="B267" s="3" t="s">
        <v>1465</v>
      </c>
      <c r="C267" s="3" t="s">
        <v>1466</v>
      </c>
      <c r="D267" s="3" t="s">
        <v>1467</v>
      </c>
      <c r="E267" s="3" t="s">
        <v>1468</v>
      </c>
      <c r="F267" s="5" t="str">
        <f t="shared" si="2"/>
        <v>Silcoon</v>
      </c>
      <c r="G267" s="5" t="str">
        <f t="shared" si="3"/>
        <v>Silcoon</v>
      </c>
      <c r="H267" s="3" t="s">
        <v>1469</v>
      </c>
      <c r="I267" s="3" t="s">
        <v>1470</v>
      </c>
      <c r="J267" s="5" t="str">
        <f>IFERROR(__xludf.DUMMYFUNCTION("GOOGLETRANSLATE(I267,""zh_HANT"",""zh_HANS"")"),"甲壳茧")</f>
        <v>甲壳茧</v>
      </c>
    </row>
    <row r="268">
      <c r="A268" s="3" t="str">
        <f t="shared" si="69"/>
        <v>NAME_PkMn_BEAUTIFLY</v>
      </c>
      <c r="B268" s="3" t="s">
        <v>1471</v>
      </c>
      <c r="C268" s="3" t="s">
        <v>1472</v>
      </c>
      <c r="D268" s="3" t="s">
        <v>1473</v>
      </c>
      <c r="E268" s="3" t="s">
        <v>1474</v>
      </c>
      <c r="F268" s="5" t="str">
        <f t="shared" si="2"/>
        <v>Beautifly</v>
      </c>
      <c r="G268" s="5" t="str">
        <f t="shared" si="3"/>
        <v>Beautifly</v>
      </c>
      <c r="H268" s="3" t="s">
        <v>1475</v>
      </c>
      <c r="I268" s="3" t="s">
        <v>1476</v>
      </c>
      <c r="J268" s="5" t="str">
        <f>IFERROR(__xludf.DUMMYFUNCTION("GOOGLETRANSLATE(I268,""zh_HANT"",""zh_HANS"")"),"狩猎凤蝶")</f>
        <v>狩猎凤蝶</v>
      </c>
    </row>
    <row r="269">
      <c r="A269" s="3" t="str">
        <f t="shared" si="69"/>
        <v>NAME_PkMn_CASCOON</v>
      </c>
      <c r="B269" s="3" t="s">
        <v>1477</v>
      </c>
      <c r="C269" s="3" t="s">
        <v>1478</v>
      </c>
      <c r="D269" s="3" t="s">
        <v>1479</v>
      </c>
      <c r="E269" s="3" t="s">
        <v>1480</v>
      </c>
      <c r="F269" s="5" t="str">
        <f t="shared" si="2"/>
        <v>Cascoon</v>
      </c>
      <c r="G269" s="5" t="str">
        <f t="shared" si="3"/>
        <v>Cascoon</v>
      </c>
      <c r="H269" s="3" t="s">
        <v>1481</v>
      </c>
      <c r="I269" s="3" t="s">
        <v>1482</v>
      </c>
      <c r="J269" s="5" t="str">
        <f>IFERROR(__xludf.DUMMYFUNCTION("GOOGLETRANSLATE(I269,""zh_HANT"",""zh_HANS"")"),"盾甲茧")</f>
        <v>盾甲茧</v>
      </c>
    </row>
    <row r="270">
      <c r="A270" s="3" t="str">
        <f t="shared" si="69"/>
        <v>NAME_PkMn_DUSTOX</v>
      </c>
      <c r="B270" s="3" t="s">
        <v>1483</v>
      </c>
      <c r="C270" s="3" t="s">
        <v>1484</v>
      </c>
      <c r="D270" s="3" t="s">
        <v>1485</v>
      </c>
      <c r="E270" s="3" t="s">
        <v>1486</v>
      </c>
      <c r="F270" s="5" t="str">
        <f t="shared" si="2"/>
        <v>Dustox</v>
      </c>
      <c r="G270" s="5" t="str">
        <f t="shared" si="3"/>
        <v>Dustox</v>
      </c>
      <c r="H270" s="3" t="s">
        <v>1487</v>
      </c>
      <c r="I270" s="3" t="s">
        <v>1488</v>
      </c>
      <c r="J270" s="5" t="str">
        <f>I270</f>
        <v>毒粉蛾</v>
      </c>
    </row>
    <row r="271">
      <c r="A271" s="3" t="str">
        <f t="shared" si="69"/>
        <v>NAME_PkMn_LOTAD</v>
      </c>
      <c r="B271" s="3" t="s">
        <v>1489</v>
      </c>
      <c r="C271" s="3" t="s">
        <v>1490</v>
      </c>
      <c r="D271" s="3" t="s">
        <v>1491</v>
      </c>
      <c r="E271" s="3" t="s">
        <v>1492</v>
      </c>
      <c r="F271" s="5" t="str">
        <f t="shared" si="2"/>
        <v>Lotad</v>
      </c>
      <c r="G271" s="5" t="str">
        <f t="shared" si="3"/>
        <v>Lotad</v>
      </c>
      <c r="H271" s="3" t="s">
        <v>1493</v>
      </c>
      <c r="I271" s="3" t="s">
        <v>1494</v>
      </c>
      <c r="J271" s="5" t="str">
        <f>IFERROR(__xludf.DUMMYFUNCTION("GOOGLETRANSLATE(I271,""zh_HANT"",""zh_HANS"")"),"莲叶童子")</f>
        <v>莲叶童子</v>
      </c>
    </row>
    <row r="272">
      <c r="A272" s="3" t="str">
        <f t="shared" si="69"/>
        <v>NAME_PkMn_LOMBRE</v>
      </c>
      <c r="B272" s="3" t="s">
        <v>1495</v>
      </c>
      <c r="C272" s="3" t="s">
        <v>1496</v>
      </c>
      <c r="D272" s="5" t="str">
        <f t="shared" ref="D272:D273" si="71">B272</f>
        <v>Lombre</v>
      </c>
      <c r="E272" s="3" t="s">
        <v>1497</v>
      </c>
      <c r="F272" s="5" t="str">
        <f t="shared" si="2"/>
        <v>Lombre</v>
      </c>
      <c r="G272" s="5" t="str">
        <f t="shared" si="3"/>
        <v>Lombre</v>
      </c>
      <c r="H272" s="3" t="s">
        <v>1498</v>
      </c>
      <c r="I272" s="3" t="s">
        <v>1499</v>
      </c>
      <c r="J272" s="5" t="str">
        <f>IFERROR(__xludf.DUMMYFUNCTION("GOOGLETRANSLATE(I272,""zh_HANT"",""zh_HANS"")"),"莲帽小童")</f>
        <v>莲帽小童</v>
      </c>
    </row>
    <row r="273">
      <c r="A273" s="3" t="str">
        <f t="shared" si="69"/>
        <v>NAME_PkMn_LUDICOLO</v>
      </c>
      <c r="B273" s="3" t="s">
        <v>1500</v>
      </c>
      <c r="C273" s="3" t="s">
        <v>1501</v>
      </c>
      <c r="D273" s="5" t="str">
        <f t="shared" si="71"/>
        <v>Ludicolo</v>
      </c>
      <c r="E273" s="3" t="s">
        <v>1502</v>
      </c>
      <c r="F273" s="5" t="str">
        <f t="shared" si="2"/>
        <v>Ludicolo</v>
      </c>
      <c r="G273" s="5" t="str">
        <f t="shared" si="3"/>
        <v>Ludicolo</v>
      </c>
      <c r="H273" s="3" t="s">
        <v>1503</v>
      </c>
      <c r="I273" s="3" t="s">
        <v>1504</v>
      </c>
      <c r="J273" s="5" t="str">
        <f>IFERROR(__xludf.DUMMYFUNCTION("GOOGLETRANSLATE(I273,""zh_HANT"",""zh_HANS"")"),"乐天河童")</f>
        <v>乐天河童</v>
      </c>
    </row>
    <row r="274">
      <c r="A274" s="3" t="str">
        <f t="shared" si="69"/>
        <v>NAME_PkMn_SEEDOT</v>
      </c>
      <c r="B274" s="3" t="s">
        <v>1505</v>
      </c>
      <c r="C274" s="3" t="s">
        <v>1506</v>
      </c>
      <c r="D274" s="3" t="s">
        <v>1507</v>
      </c>
      <c r="E274" s="3" t="s">
        <v>1508</v>
      </c>
      <c r="F274" s="5" t="str">
        <f t="shared" si="2"/>
        <v>Seedot</v>
      </c>
      <c r="G274" s="5" t="str">
        <f t="shared" si="3"/>
        <v>Seedot</v>
      </c>
      <c r="H274" s="3" t="s">
        <v>1509</v>
      </c>
      <c r="I274" s="3" t="s">
        <v>1510</v>
      </c>
      <c r="J274" s="5" t="str">
        <f>IFERROR(__xludf.DUMMYFUNCTION("GOOGLETRANSLATE(I274,""zh_HANT"",""zh_HANS"")"),"橡实果")</f>
        <v>橡实果</v>
      </c>
    </row>
    <row r="275">
      <c r="A275" s="3" t="str">
        <f t="shared" si="69"/>
        <v>NAME_PkMn_NUZLEAF</v>
      </c>
      <c r="B275" s="3" t="s">
        <v>1511</v>
      </c>
      <c r="C275" s="3" t="s">
        <v>1512</v>
      </c>
      <c r="D275" s="3" t="s">
        <v>1513</v>
      </c>
      <c r="E275" s="3" t="s">
        <v>1514</v>
      </c>
      <c r="F275" s="5" t="str">
        <f t="shared" si="2"/>
        <v>Nuzleaf</v>
      </c>
      <c r="G275" s="5" t="str">
        <f t="shared" si="3"/>
        <v>Nuzleaf</v>
      </c>
      <c r="H275" s="3" t="s">
        <v>1515</v>
      </c>
      <c r="I275" s="3" t="s">
        <v>1516</v>
      </c>
      <c r="J275" s="5" t="str">
        <f>IFERROR(__xludf.DUMMYFUNCTION("GOOGLETRANSLATE(I275,""zh_HANT"",""zh_HANS"")"),"长鼻叶")</f>
        <v>长鼻叶</v>
      </c>
    </row>
    <row r="276">
      <c r="A276" s="3" t="str">
        <f t="shared" si="69"/>
        <v>NAME_PkMn_SHIFTRY</v>
      </c>
      <c r="B276" s="3" t="s">
        <v>1517</v>
      </c>
      <c r="C276" s="3" t="s">
        <v>1518</v>
      </c>
      <c r="D276" s="3" t="s">
        <v>1519</v>
      </c>
      <c r="E276" s="3" t="s">
        <v>1520</v>
      </c>
      <c r="F276" s="5" t="str">
        <f t="shared" si="2"/>
        <v>Shiftry</v>
      </c>
      <c r="G276" s="5" t="str">
        <f t="shared" si="3"/>
        <v>Shiftry</v>
      </c>
      <c r="H276" s="3" t="s">
        <v>1521</v>
      </c>
      <c r="I276" s="3" t="s">
        <v>1522</v>
      </c>
      <c r="J276" s="5" t="str">
        <f t="shared" ref="J276:J278" si="72">I276</f>
        <v>狡猾天狗</v>
      </c>
    </row>
    <row r="277">
      <c r="A277" s="3" t="str">
        <f t="shared" si="69"/>
        <v>NAME_PkMn_TAILOW</v>
      </c>
      <c r="B277" s="3" t="s">
        <v>1523</v>
      </c>
      <c r="C277" s="3" t="s">
        <v>1524</v>
      </c>
      <c r="D277" s="3" t="s">
        <v>1525</v>
      </c>
      <c r="E277" s="3" t="s">
        <v>1526</v>
      </c>
      <c r="F277" s="5" t="str">
        <f t="shared" si="2"/>
        <v>Tailow</v>
      </c>
      <c r="G277" s="5" t="str">
        <f t="shared" si="3"/>
        <v>Tailow</v>
      </c>
      <c r="H277" s="3" t="s">
        <v>1527</v>
      </c>
      <c r="I277" s="3" t="s">
        <v>1528</v>
      </c>
      <c r="J277" s="5" t="str">
        <f t="shared" si="72"/>
        <v>傲骨燕</v>
      </c>
    </row>
    <row r="278">
      <c r="A278" s="3" t="str">
        <f t="shared" si="69"/>
        <v>NAME_PkMn_SWELLOW</v>
      </c>
      <c r="B278" s="3" t="s">
        <v>1529</v>
      </c>
      <c r="C278" s="3" t="s">
        <v>1530</v>
      </c>
      <c r="D278" s="3" t="s">
        <v>1531</v>
      </c>
      <c r="E278" s="3" t="s">
        <v>1532</v>
      </c>
      <c r="F278" s="5" t="str">
        <f t="shared" si="2"/>
        <v>Swellow</v>
      </c>
      <c r="G278" s="5" t="str">
        <f t="shared" si="3"/>
        <v>Swellow</v>
      </c>
      <c r="H278" s="3" t="s">
        <v>1533</v>
      </c>
      <c r="I278" s="3" t="s">
        <v>1534</v>
      </c>
      <c r="J278" s="5" t="str">
        <f t="shared" si="72"/>
        <v>大王燕</v>
      </c>
    </row>
    <row r="279">
      <c r="A279" s="3" t="str">
        <f t="shared" si="69"/>
        <v>NAME_PkMn_WINGULL</v>
      </c>
      <c r="B279" s="3" t="s">
        <v>1535</v>
      </c>
      <c r="C279" s="3" t="s">
        <v>1536</v>
      </c>
      <c r="D279" s="3" t="s">
        <v>1537</v>
      </c>
      <c r="E279" s="3" t="s">
        <v>1535</v>
      </c>
      <c r="F279" s="5" t="str">
        <f t="shared" si="2"/>
        <v>Wingull</v>
      </c>
      <c r="G279" s="5" t="str">
        <f t="shared" si="3"/>
        <v>Wingull</v>
      </c>
      <c r="H279" s="3" t="s">
        <v>1538</v>
      </c>
      <c r="I279" s="3" t="s">
        <v>1539</v>
      </c>
      <c r="J279" s="5" t="str">
        <f>IFERROR(__xludf.DUMMYFUNCTION("GOOGLETRANSLATE(I279,""zh_HANT"",""zh_HANS"")"),"长翅鸥")</f>
        <v>长翅鸥</v>
      </c>
    </row>
    <row r="280">
      <c r="A280" s="3" t="str">
        <f t="shared" si="69"/>
        <v>NAME_PkMn_PELIPPER</v>
      </c>
      <c r="B280" s="3" t="s">
        <v>1540</v>
      </c>
      <c r="C280" s="3" t="s">
        <v>1541</v>
      </c>
      <c r="D280" s="3" t="s">
        <v>1542</v>
      </c>
      <c r="E280" s="3" t="s">
        <v>1540</v>
      </c>
      <c r="F280" s="5" t="str">
        <f t="shared" si="2"/>
        <v>Pelipper</v>
      </c>
      <c r="G280" s="5" t="str">
        <f t="shared" si="3"/>
        <v>Pelipper</v>
      </c>
      <c r="H280" s="3" t="s">
        <v>1543</v>
      </c>
      <c r="I280" s="3" t="s">
        <v>1544</v>
      </c>
      <c r="J280" s="5" t="str">
        <f>IFERROR(__xludf.DUMMYFUNCTION("GOOGLETRANSLATE(I280,""zh_HANT"",""zh_HANS"")"),"大嘴鸥")</f>
        <v>大嘴鸥</v>
      </c>
    </row>
    <row r="281">
      <c r="A281" s="3" t="str">
        <f t="shared" si="69"/>
        <v>NAME_PkMn_RALTS</v>
      </c>
      <c r="B281" s="3" t="s">
        <v>1545</v>
      </c>
      <c r="C281" s="3" t="s">
        <v>1546</v>
      </c>
      <c r="D281" s="3" t="s">
        <v>1547</v>
      </c>
      <c r="E281" s="3" t="s">
        <v>1548</v>
      </c>
      <c r="F281" s="5" t="str">
        <f t="shared" si="2"/>
        <v>Ralts</v>
      </c>
      <c r="G281" s="5" t="str">
        <f t="shared" si="3"/>
        <v>Ralts</v>
      </c>
      <c r="H281" s="3" t="s">
        <v>1549</v>
      </c>
      <c r="I281" s="3" t="s">
        <v>1550</v>
      </c>
      <c r="J281" s="5" t="str">
        <f>IFERROR(__xludf.DUMMYFUNCTION("GOOGLETRANSLATE(I281,""zh_HANT"",""zh_HANS"")"),"拉鲁拉丝")</f>
        <v>拉鲁拉丝</v>
      </c>
    </row>
    <row r="282">
      <c r="A282" s="3" t="str">
        <f t="shared" si="69"/>
        <v>NAME_PkMn_KIRLIA</v>
      </c>
      <c r="B282" s="3" t="s">
        <v>1551</v>
      </c>
      <c r="C282" s="3" t="s">
        <v>1552</v>
      </c>
      <c r="D282" s="5" t="str">
        <f t="shared" ref="D282:D283" si="73">B282</f>
        <v>Kirlia</v>
      </c>
      <c r="E282" s="3" t="s">
        <v>1551</v>
      </c>
      <c r="F282" s="5" t="str">
        <f t="shared" si="2"/>
        <v>Kirlia</v>
      </c>
      <c r="G282" s="5" t="str">
        <f t="shared" si="3"/>
        <v>Kirlia</v>
      </c>
      <c r="H282" s="3" t="s">
        <v>1553</v>
      </c>
      <c r="I282" s="3" t="s">
        <v>1554</v>
      </c>
      <c r="J282" s="5" t="str">
        <f>IFERROR(__xludf.DUMMYFUNCTION("GOOGLETRANSLATE(I282,""zh_HANT"",""zh_HANS"")"),"奇鲁莉安")</f>
        <v>奇鲁莉安</v>
      </c>
    </row>
    <row r="283">
      <c r="A283" s="3" t="str">
        <f t="shared" si="69"/>
        <v>NAME_PkMn_GARDEVOIR</v>
      </c>
      <c r="B283" s="3" t="s">
        <v>1555</v>
      </c>
      <c r="C283" s="3" t="s">
        <v>1556</v>
      </c>
      <c r="D283" s="5" t="str">
        <f t="shared" si="73"/>
        <v>Gardevoir</v>
      </c>
      <c r="E283" s="3" t="s">
        <v>1557</v>
      </c>
      <c r="F283" s="5" t="str">
        <f t="shared" si="2"/>
        <v>Gardevoir</v>
      </c>
      <c r="G283" s="5" t="str">
        <f t="shared" si="3"/>
        <v>Gardevoir</v>
      </c>
      <c r="H283" s="3" t="s">
        <v>1558</v>
      </c>
      <c r="I283" s="5" t="str">
        <f>J283</f>
        <v>沙奈朵</v>
      </c>
      <c r="J283" s="3" t="s">
        <v>1559</v>
      </c>
    </row>
    <row r="284">
      <c r="A284" s="3" t="str">
        <f t="shared" si="69"/>
        <v>NAME_PkMn_SURSKIT</v>
      </c>
      <c r="B284" s="3" t="s">
        <v>1560</v>
      </c>
      <c r="C284" s="3" t="s">
        <v>1561</v>
      </c>
      <c r="D284" s="3" t="s">
        <v>1562</v>
      </c>
      <c r="E284" s="3" t="s">
        <v>1563</v>
      </c>
      <c r="F284" s="5" t="str">
        <f t="shared" si="2"/>
        <v>Surskit</v>
      </c>
      <c r="G284" s="5" t="str">
        <f t="shared" si="3"/>
        <v>Surskit</v>
      </c>
      <c r="H284" s="3" t="s">
        <v>1564</v>
      </c>
      <c r="I284" s="3" t="s">
        <v>1565</v>
      </c>
      <c r="J284" s="5" t="str">
        <f t="shared" ref="J284:J287" si="74">I284</f>
        <v>溜溜糖球</v>
      </c>
    </row>
    <row r="285">
      <c r="A285" s="3" t="str">
        <f t="shared" si="69"/>
        <v>NAME_PkMn_MASQUERAIN</v>
      </c>
      <c r="B285" s="3" t="s">
        <v>1566</v>
      </c>
      <c r="C285" s="3" t="s">
        <v>1567</v>
      </c>
      <c r="D285" s="3" t="s">
        <v>1568</v>
      </c>
      <c r="E285" s="3" t="s">
        <v>1569</v>
      </c>
      <c r="F285" s="5" t="str">
        <f t="shared" si="2"/>
        <v>Masquerain</v>
      </c>
      <c r="G285" s="5" t="str">
        <f t="shared" si="3"/>
        <v>Masquerain</v>
      </c>
      <c r="H285" s="3" t="s">
        <v>1570</v>
      </c>
      <c r="I285" s="3" t="s">
        <v>1571</v>
      </c>
      <c r="J285" s="5" t="str">
        <f t="shared" si="74"/>
        <v>雨翅蛾</v>
      </c>
    </row>
    <row r="286">
      <c r="A286" s="3" t="str">
        <f t="shared" si="69"/>
        <v>NAME_PkMn_SHROOMISH</v>
      </c>
      <c r="B286" s="3" t="s">
        <v>1572</v>
      </c>
      <c r="C286" s="3" t="s">
        <v>1573</v>
      </c>
      <c r="D286" s="3" t="s">
        <v>1574</v>
      </c>
      <c r="E286" s="3" t="s">
        <v>1575</v>
      </c>
      <c r="F286" s="5" t="str">
        <f t="shared" si="2"/>
        <v>Shroomish</v>
      </c>
      <c r="G286" s="5" t="str">
        <f t="shared" si="3"/>
        <v>Shroomish</v>
      </c>
      <c r="H286" s="3" t="s">
        <v>1576</v>
      </c>
      <c r="I286" s="3" t="s">
        <v>1577</v>
      </c>
      <c r="J286" s="5" t="str">
        <f t="shared" si="74"/>
        <v>蘑蘑菇</v>
      </c>
    </row>
    <row r="287">
      <c r="A287" s="3" t="str">
        <f t="shared" si="69"/>
        <v>NAME_PkMn_BRELOOM</v>
      </c>
      <c r="B287" s="3" t="s">
        <v>1578</v>
      </c>
      <c r="C287" s="3" t="s">
        <v>1579</v>
      </c>
      <c r="D287" s="3" t="s">
        <v>1580</v>
      </c>
      <c r="E287" s="3" t="s">
        <v>1581</v>
      </c>
      <c r="F287" s="5" t="str">
        <f t="shared" si="2"/>
        <v>Breloom</v>
      </c>
      <c r="G287" s="5" t="str">
        <f t="shared" si="3"/>
        <v>Breloom</v>
      </c>
      <c r="H287" s="3" t="s">
        <v>1582</v>
      </c>
      <c r="I287" s="3" t="s">
        <v>1583</v>
      </c>
      <c r="J287" s="5" t="str">
        <f t="shared" si="74"/>
        <v>斗笠菇</v>
      </c>
    </row>
    <row r="288">
      <c r="A288" s="3" t="str">
        <f t="shared" si="69"/>
        <v>NAME_PkMn_SLAKOTH</v>
      </c>
      <c r="B288" s="3" t="s">
        <v>1584</v>
      </c>
      <c r="C288" s="3" t="s">
        <v>1585</v>
      </c>
      <c r="D288" s="3" t="s">
        <v>1586</v>
      </c>
      <c r="E288" s="3" t="s">
        <v>1587</v>
      </c>
      <c r="F288" s="5" t="str">
        <f t="shared" si="2"/>
        <v>Slakoth</v>
      </c>
      <c r="G288" s="5" t="str">
        <f t="shared" si="3"/>
        <v>Slakoth</v>
      </c>
      <c r="H288" s="3" t="s">
        <v>1588</v>
      </c>
      <c r="I288" s="3" t="s">
        <v>1589</v>
      </c>
      <c r="J288" s="5" t="str">
        <f>IFERROR(__xludf.DUMMYFUNCTION("GOOGLETRANSLATE(I288,""zh_HANT"",""zh_HANS"")"),"懒人獭")</f>
        <v>懒人獭</v>
      </c>
    </row>
    <row r="289">
      <c r="A289" s="3" t="str">
        <f t="shared" si="69"/>
        <v>NAME_PkMn_VIGOROTH</v>
      </c>
      <c r="B289" s="3" t="s">
        <v>1590</v>
      </c>
      <c r="C289" s="3" t="s">
        <v>1591</v>
      </c>
      <c r="D289" s="5" t="str">
        <f>B289</f>
        <v>Vigoroth</v>
      </c>
      <c r="E289" s="3" t="s">
        <v>1592</v>
      </c>
      <c r="F289" s="5" t="str">
        <f t="shared" si="2"/>
        <v>Vigoroth</v>
      </c>
      <c r="G289" s="5" t="str">
        <f t="shared" si="3"/>
        <v>Vigoroth</v>
      </c>
      <c r="H289" s="3" t="s">
        <v>1593</v>
      </c>
      <c r="I289" s="3" t="s">
        <v>1594</v>
      </c>
      <c r="J289" s="5" t="str">
        <f>IFERROR(__xludf.DUMMYFUNCTION("GOOGLETRANSLATE(I289,""zh_HANT"",""zh_HANS"")"),"过动猿")</f>
        <v>过动猿</v>
      </c>
    </row>
    <row r="290">
      <c r="A290" s="3" t="str">
        <f t="shared" si="69"/>
        <v>NAME_PkMn_SLAKING</v>
      </c>
      <c r="B290" s="3" t="s">
        <v>1595</v>
      </c>
      <c r="C290" s="3" t="s">
        <v>1596</v>
      </c>
      <c r="D290" s="3" t="s">
        <v>1597</v>
      </c>
      <c r="E290" s="3" t="s">
        <v>1598</v>
      </c>
      <c r="F290" s="5" t="str">
        <f t="shared" si="2"/>
        <v>Slaking</v>
      </c>
      <c r="G290" s="5" t="str">
        <f t="shared" si="3"/>
        <v>Slaking</v>
      </c>
      <c r="H290" s="3" t="s">
        <v>1599</v>
      </c>
      <c r="I290" s="3" t="s">
        <v>1600</v>
      </c>
      <c r="J290" s="5" t="str">
        <f>IFERROR(__xludf.DUMMYFUNCTION("GOOGLETRANSLATE(I290,""zh_HANT"",""zh_HANS"")"),"请假王")</f>
        <v>请假王</v>
      </c>
    </row>
    <row r="291">
      <c r="A291" s="3" t="str">
        <f t="shared" si="69"/>
        <v>NAME_PkMn_NINCADA</v>
      </c>
      <c r="B291" s="3" t="s">
        <v>1601</v>
      </c>
      <c r="C291" s="3" t="s">
        <v>1602</v>
      </c>
      <c r="D291" s="3" t="s">
        <v>1603</v>
      </c>
      <c r="E291" s="3" t="s">
        <v>1601</v>
      </c>
      <c r="F291" s="5" t="str">
        <f t="shared" si="2"/>
        <v>Nincada</v>
      </c>
      <c r="G291" s="5" t="str">
        <f t="shared" si="3"/>
        <v>Nincada</v>
      </c>
      <c r="H291" s="3" t="s">
        <v>1604</v>
      </c>
      <c r="I291" s="3" t="s">
        <v>1605</v>
      </c>
      <c r="J291" s="5" t="str">
        <f>I291</f>
        <v>土居忍士</v>
      </c>
    </row>
    <row r="292">
      <c r="A292" s="3" t="str">
        <f t="shared" si="69"/>
        <v>NAME_PkMn_NINJASK</v>
      </c>
      <c r="B292" s="3" t="s">
        <v>1606</v>
      </c>
      <c r="C292" s="3" t="s">
        <v>1607</v>
      </c>
      <c r="D292" s="5" t="str">
        <f>B292</f>
        <v>Ninjask</v>
      </c>
      <c r="E292" s="3" t="s">
        <v>1606</v>
      </c>
      <c r="F292" s="5" t="str">
        <f t="shared" si="2"/>
        <v>Ninjask</v>
      </c>
      <c r="G292" s="5" t="str">
        <f t="shared" si="3"/>
        <v>Ninjask</v>
      </c>
      <c r="H292" s="3" t="s">
        <v>1608</v>
      </c>
      <c r="I292" s="3" t="s">
        <v>1609</v>
      </c>
      <c r="J292" s="5" t="str">
        <f>IFERROR(__xludf.DUMMYFUNCTION("GOOGLETRANSLATE(I292,""zh_HANT"",""zh_HANS"")"),"铁面忍者")</f>
        <v>铁面忍者</v>
      </c>
    </row>
    <row r="293">
      <c r="A293" s="3" t="str">
        <f t="shared" si="69"/>
        <v>NAME_PkMn_SHEDINJA</v>
      </c>
      <c r="B293" s="3" t="s">
        <v>1610</v>
      </c>
      <c r="C293" s="3" t="s">
        <v>1611</v>
      </c>
      <c r="D293" s="3" t="s">
        <v>1612</v>
      </c>
      <c r="E293" s="3" t="s">
        <v>1613</v>
      </c>
      <c r="F293" s="5" t="str">
        <f t="shared" si="2"/>
        <v>Shedinja</v>
      </c>
      <c r="G293" s="5" t="str">
        <f t="shared" si="3"/>
        <v>Shedinja</v>
      </c>
      <c r="H293" s="3" t="s">
        <v>1614</v>
      </c>
      <c r="I293" s="3" t="s">
        <v>1615</v>
      </c>
      <c r="J293" s="5" t="str">
        <f>IFERROR(__xludf.DUMMYFUNCTION("GOOGLETRANSLATE(I293,""zh_HANT"",""zh_HANS"")"),"脱壳忍者")</f>
        <v>脱壳忍者</v>
      </c>
    </row>
    <row r="294">
      <c r="A294" s="3" t="str">
        <f t="shared" si="69"/>
        <v>NAME_PkMn_WHISMUR</v>
      </c>
      <c r="B294" s="3" t="s">
        <v>1616</v>
      </c>
      <c r="C294" s="3" t="s">
        <v>1617</v>
      </c>
      <c r="D294" s="3" t="s">
        <v>1618</v>
      </c>
      <c r="E294" s="3" t="s">
        <v>1619</v>
      </c>
      <c r="F294" s="5" t="str">
        <f t="shared" si="2"/>
        <v>Whismur</v>
      </c>
      <c r="G294" s="5" t="str">
        <f t="shared" si="3"/>
        <v>Whismur</v>
      </c>
      <c r="H294" s="3" t="s">
        <v>1620</v>
      </c>
      <c r="I294" s="3" t="s">
        <v>1621</v>
      </c>
      <c r="J294" s="5" t="str">
        <f>I294</f>
        <v>咕妞妞</v>
      </c>
    </row>
    <row r="295">
      <c r="A295" s="3" t="str">
        <f t="shared" si="69"/>
        <v>NAME_PkMn_LOUDRED</v>
      </c>
      <c r="B295" s="3" t="s">
        <v>1622</v>
      </c>
      <c r="C295" s="3" t="s">
        <v>1623</v>
      </c>
      <c r="D295" s="3" t="s">
        <v>1624</v>
      </c>
      <c r="E295" s="3" t="s">
        <v>1625</v>
      </c>
      <c r="F295" s="5" t="str">
        <f t="shared" si="2"/>
        <v>Loudred</v>
      </c>
      <c r="G295" s="5" t="str">
        <f t="shared" si="3"/>
        <v>Loudred</v>
      </c>
      <c r="H295" s="3" t="s">
        <v>1626</v>
      </c>
      <c r="I295" s="3" t="s">
        <v>1627</v>
      </c>
      <c r="J295" s="5" t="str">
        <f>IFERROR(__xludf.DUMMYFUNCTION("GOOGLETRANSLATE(I295,""zh_HANT"",""zh_HANS"")"),"吼爆弹")</f>
        <v>吼爆弹</v>
      </c>
    </row>
    <row r="296">
      <c r="A296" s="3" t="str">
        <f t="shared" si="69"/>
        <v>NAME_PkMn_EXPLOUD</v>
      </c>
      <c r="B296" s="3" t="s">
        <v>1628</v>
      </c>
      <c r="C296" s="3" t="s">
        <v>1629</v>
      </c>
      <c r="D296" s="3" t="s">
        <v>1630</v>
      </c>
      <c r="E296" s="3" t="s">
        <v>1631</v>
      </c>
      <c r="F296" s="5" t="str">
        <f t="shared" si="2"/>
        <v>Exploud</v>
      </c>
      <c r="G296" s="5" t="str">
        <f t="shared" si="3"/>
        <v>Exploud</v>
      </c>
      <c r="H296" s="3" t="s">
        <v>1632</v>
      </c>
      <c r="I296" s="3" t="s">
        <v>1633</v>
      </c>
      <c r="J296" s="5" t="str">
        <f t="shared" ref="J296:J297" si="75">I296</f>
        <v>爆音怪</v>
      </c>
    </row>
    <row r="297">
      <c r="A297" s="3" t="str">
        <f t="shared" si="69"/>
        <v>NAME_PkMn_MAKUHITA</v>
      </c>
      <c r="B297" s="3" t="s">
        <v>1634</v>
      </c>
      <c r="C297" s="3" t="s">
        <v>1635</v>
      </c>
      <c r="D297" s="5" t="str">
        <f t="shared" ref="D297:D299" si="76">B297</f>
        <v>Makuhita</v>
      </c>
      <c r="E297" s="3" t="s">
        <v>1634</v>
      </c>
      <c r="F297" s="5" t="str">
        <f t="shared" si="2"/>
        <v>Makuhita</v>
      </c>
      <c r="G297" s="5" t="str">
        <f t="shared" si="3"/>
        <v>Makuhita</v>
      </c>
      <c r="H297" s="3" t="s">
        <v>1636</v>
      </c>
      <c r="I297" s="3" t="s">
        <v>1637</v>
      </c>
      <c r="J297" s="5" t="str">
        <f t="shared" si="75"/>
        <v>幕下力士</v>
      </c>
    </row>
    <row r="298">
      <c r="A298" s="3" t="str">
        <f t="shared" si="69"/>
        <v>NAME_PkMn_HARIYAMA</v>
      </c>
      <c r="B298" s="3" t="s">
        <v>1638</v>
      </c>
      <c r="C298" s="3" t="s">
        <v>1639</v>
      </c>
      <c r="D298" s="5" t="str">
        <f t="shared" si="76"/>
        <v>Hariyama</v>
      </c>
      <c r="E298" s="3" t="s">
        <v>1638</v>
      </c>
      <c r="F298" s="5" t="str">
        <f t="shared" si="2"/>
        <v>Hariyama</v>
      </c>
      <c r="G298" s="5" t="str">
        <f t="shared" si="3"/>
        <v>Hariyama</v>
      </c>
      <c r="H298" s="3" t="s">
        <v>1640</v>
      </c>
      <c r="I298" s="3" t="s">
        <v>1641</v>
      </c>
      <c r="J298" s="5" t="str">
        <f>IFERROR(__xludf.DUMMYFUNCTION("GOOGLETRANSLATE(I298,""zh_HANT"",""zh_HANS"")"),"铁掌力士")</f>
        <v>铁掌力士</v>
      </c>
    </row>
    <row r="299">
      <c r="A299" s="3" t="str">
        <f t="shared" si="69"/>
        <v>NAME_PkMn_AZURILL</v>
      </c>
      <c r="B299" s="3" t="s">
        <v>1642</v>
      </c>
      <c r="C299" s="3" t="s">
        <v>1643</v>
      </c>
      <c r="D299" s="5" t="str">
        <f t="shared" si="76"/>
        <v>Azurill</v>
      </c>
      <c r="E299" s="3" t="s">
        <v>1642</v>
      </c>
      <c r="F299" s="5" t="str">
        <f t="shared" si="2"/>
        <v>Azurill</v>
      </c>
      <c r="G299" s="5" t="str">
        <f t="shared" si="3"/>
        <v>Azurill</v>
      </c>
      <c r="H299" s="3" t="s">
        <v>1644</v>
      </c>
      <c r="I299" s="3" t="s">
        <v>1645</v>
      </c>
      <c r="J299" s="5" t="str">
        <f>IFERROR(__xludf.DUMMYFUNCTION("GOOGLETRANSLATE(I299,""zh_HANT"",""zh_HANS"")"),"露力丽")</f>
        <v>露力丽</v>
      </c>
    </row>
    <row r="300">
      <c r="A300" s="3" t="str">
        <f t="shared" si="69"/>
        <v>NAME_PkMn_NOSEPASS</v>
      </c>
      <c r="B300" s="3" t="s">
        <v>1646</v>
      </c>
      <c r="C300" s="3" t="s">
        <v>1647</v>
      </c>
      <c r="D300" s="3" t="s">
        <v>1648</v>
      </c>
      <c r="E300" s="3" t="s">
        <v>1649</v>
      </c>
      <c r="F300" s="5" t="str">
        <f t="shared" si="2"/>
        <v>Nosepass</v>
      </c>
      <c r="G300" s="5" t="str">
        <f t="shared" si="3"/>
        <v>Nosepass</v>
      </c>
      <c r="H300" s="3" t="s">
        <v>1650</v>
      </c>
      <c r="I300" s="3" t="s">
        <v>1651</v>
      </c>
      <c r="J300" s="5" t="str">
        <f t="shared" ref="J300:J301" si="77">I300</f>
        <v>朝北鼻</v>
      </c>
    </row>
    <row r="301">
      <c r="A301" s="3" t="str">
        <f t="shared" si="69"/>
        <v>NAME_PkMn_SKITTY</v>
      </c>
      <c r="B301" s="3" t="s">
        <v>1652</v>
      </c>
      <c r="C301" s="3" t="s">
        <v>1653</v>
      </c>
      <c r="D301" s="3" t="s">
        <v>1652</v>
      </c>
      <c r="E301" s="3" t="s">
        <v>1654</v>
      </c>
      <c r="F301" s="5" t="str">
        <f t="shared" si="2"/>
        <v>Skitty</v>
      </c>
      <c r="G301" s="5" t="str">
        <f t="shared" si="3"/>
        <v>Skitty</v>
      </c>
      <c r="H301" s="3" t="s">
        <v>1655</v>
      </c>
      <c r="I301" s="3" t="s">
        <v>1656</v>
      </c>
      <c r="J301" s="5" t="str">
        <f t="shared" si="77"/>
        <v>向尾喵</v>
      </c>
    </row>
    <row r="302">
      <c r="A302" s="3" t="str">
        <f t="shared" si="69"/>
        <v>NAME_PkMn_DELCATTY</v>
      </c>
      <c r="B302" s="3" t="s">
        <v>1657</v>
      </c>
      <c r="C302" s="3" t="s">
        <v>1658</v>
      </c>
      <c r="D302" s="5" t="str">
        <f>B302</f>
        <v>Delcatty</v>
      </c>
      <c r="E302" s="3" t="s">
        <v>1659</v>
      </c>
      <c r="F302" s="5" t="str">
        <f t="shared" si="2"/>
        <v>Delcatty</v>
      </c>
      <c r="G302" s="5" t="str">
        <f t="shared" si="3"/>
        <v>Delcatty</v>
      </c>
      <c r="H302" s="3" t="s">
        <v>1660</v>
      </c>
      <c r="I302" s="3" t="s">
        <v>1661</v>
      </c>
      <c r="J302" s="5" t="str">
        <f>IFERROR(__xludf.DUMMYFUNCTION("GOOGLETRANSLATE(I302,""zh_HANT"",""zh_HANS"")"),"优雅猫")</f>
        <v>优雅猫</v>
      </c>
    </row>
    <row r="303">
      <c r="A303" s="3" t="str">
        <f t="shared" si="69"/>
        <v>NAME_PkMn_SABLEYE</v>
      </c>
      <c r="B303" s="3" t="s">
        <v>1662</v>
      </c>
      <c r="C303" s="3" t="s">
        <v>1663</v>
      </c>
      <c r="D303" s="3" t="s">
        <v>1664</v>
      </c>
      <c r="E303" s="3" t="s">
        <v>1665</v>
      </c>
      <c r="F303" s="5" t="str">
        <f t="shared" si="2"/>
        <v>Sableye</v>
      </c>
      <c r="G303" s="5" t="str">
        <f t="shared" si="3"/>
        <v>Sableye</v>
      </c>
      <c r="H303" s="3" t="s">
        <v>1666</v>
      </c>
      <c r="I303" s="5" t="str">
        <f t="shared" ref="I303:I304" si="78">J303</f>
        <v>勾魂眼</v>
      </c>
      <c r="J303" s="3" t="s">
        <v>1667</v>
      </c>
    </row>
    <row r="304">
      <c r="A304" s="3" t="str">
        <f t="shared" si="69"/>
        <v>NAME_PkMn_MAWILE</v>
      </c>
      <c r="B304" s="3" t="s">
        <v>1668</v>
      </c>
      <c r="C304" s="3" t="s">
        <v>1669</v>
      </c>
      <c r="D304" s="3" t="s">
        <v>1670</v>
      </c>
      <c r="E304" s="3" t="s">
        <v>1671</v>
      </c>
      <c r="F304" s="5" t="str">
        <f t="shared" si="2"/>
        <v>Mawile</v>
      </c>
      <c r="G304" s="5" t="str">
        <f t="shared" si="3"/>
        <v>Mawile</v>
      </c>
      <c r="H304" s="3" t="s">
        <v>1672</v>
      </c>
      <c r="I304" s="5" t="str">
        <f t="shared" si="78"/>
        <v>大嘴娃</v>
      </c>
      <c r="J304" s="3" t="s">
        <v>1673</v>
      </c>
    </row>
    <row r="305">
      <c r="A305" s="3" t="str">
        <f t="shared" si="69"/>
        <v>NAME_PkMn_ARON</v>
      </c>
      <c r="B305" s="3" t="s">
        <v>1674</v>
      </c>
      <c r="C305" s="3" t="s">
        <v>1675</v>
      </c>
      <c r="D305" s="3" t="s">
        <v>1676</v>
      </c>
      <c r="E305" s="3" t="s">
        <v>1677</v>
      </c>
      <c r="F305" s="5" t="str">
        <f t="shared" si="2"/>
        <v>Aron</v>
      </c>
      <c r="G305" s="5" t="str">
        <f t="shared" si="3"/>
        <v>Aron</v>
      </c>
      <c r="H305" s="3" t="s">
        <v>1678</v>
      </c>
      <c r="I305" s="3" t="s">
        <v>1679</v>
      </c>
      <c r="J305" s="5" t="str">
        <f t="shared" ref="J305:J306" si="79">I305</f>
        <v>可可多拉</v>
      </c>
    </row>
    <row r="306">
      <c r="A306" s="3" t="str">
        <f t="shared" si="69"/>
        <v>NAME_PkMn_LAIRON</v>
      </c>
      <c r="B306" s="3" t="s">
        <v>1680</v>
      </c>
      <c r="C306" s="3" t="s">
        <v>1681</v>
      </c>
      <c r="D306" s="3" t="s">
        <v>1682</v>
      </c>
      <c r="E306" s="3" t="s">
        <v>1683</v>
      </c>
      <c r="F306" s="5" t="str">
        <f t="shared" si="2"/>
        <v>Lairon</v>
      </c>
      <c r="G306" s="5" t="str">
        <f t="shared" si="3"/>
        <v>Lairon</v>
      </c>
      <c r="H306" s="3" t="s">
        <v>1684</v>
      </c>
      <c r="I306" s="3" t="s">
        <v>1685</v>
      </c>
      <c r="J306" s="5" t="str">
        <f t="shared" si="79"/>
        <v>可多拉</v>
      </c>
    </row>
    <row r="307">
      <c r="A307" s="3" t="str">
        <f t="shared" si="69"/>
        <v>NAME_PkMn_AGGRON</v>
      </c>
      <c r="B307" s="3" t="s">
        <v>1686</v>
      </c>
      <c r="C307" s="3" t="s">
        <v>1687</v>
      </c>
      <c r="D307" s="3" t="s">
        <v>1688</v>
      </c>
      <c r="E307" s="3" t="s">
        <v>1689</v>
      </c>
      <c r="F307" s="5" t="str">
        <f t="shared" si="2"/>
        <v>Aggron</v>
      </c>
      <c r="G307" s="5" t="str">
        <f t="shared" si="3"/>
        <v>Aggron</v>
      </c>
      <c r="H307" s="3" t="s">
        <v>1690</v>
      </c>
      <c r="I307" s="5" t="str">
        <f>J307</f>
        <v>波士可多拉</v>
      </c>
      <c r="J307" s="3" t="s">
        <v>1691</v>
      </c>
    </row>
    <row r="308">
      <c r="A308" s="3" t="str">
        <f t="shared" si="69"/>
        <v>NAME_PkMn_MEDITITE</v>
      </c>
      <c r="B308" s="3" t="s">
        <v>1692</v>
      </c>
      <c r="C308" s="3" t="s">
        <v>1693</v>
      </c>
      <c r="D308" s="3" t="s">
        <v>1694</v>
      </c>
      <c r="E308" s="3" t="s">
        <v>1695</v>
      </c>
      <c r="F308" s="5" t="str">
        <f t="shared" si="2"/>
        <v>Meditite</v>
      </c>
      <c r="G308" s="5" t="str">
        <f t="shared" si="3"/>
        <v>Meditite</v>
      </c>
      <c r="H308" s="3" t="s">
        <v>1696</v>
      </c>
      <c r="I308" s="3" t="s">
        <v>1697</v>
      </c>
      <c r="J308" s="5" t="str">
        <f>IFERROR(__xludf.DUMMYFUNCTION("GOOGLETRANSLATE(I308,""zh_HANT"",""zh_HANS"")"),"玛沙那")</f>
        <v>玛沙那</v>
      </c>
    </row>
    <row r="309">
      <c r="A309" s="3" t="str">
        <f t="shared" si="69"/>
        <v>NAME_PkMn_MEDICHAM</v>
      </c>
      <c r="B309" s="3" t="s">
        <v>1698</v>
      </c>
      <c r="C309" s="3" t="s">
        <v>1699</v>
      </c>
      <c r="D309" s="3" t="s">
        <v>1700</v>
      </c>
      <c r="E309" s="3" t="s">
        <v>1701</v>
      </c>
      <c r="F309" s="5" t="str">
        <f t="shared" si="2"/>
        <v>Medicham</v>
      </c>
      <c r="G309" s="5" t="str">
        <f t="shared" si="3"/>
        <v>Medicham</v>
      </c>
      <c r="H309" s="3" t="s">
        <v>1702</v>
      </c>
      <c r="I309" s="5" t="str">
        <f>J309</f>
        <v>恰雷姆</v>
      </c>
      <c r="J309" s="3" t="s">
        <v>1703</v>
      </c>
    </row>
    <row r="310">
      <c r="A310" s="3" t="str">
        <f t="shared" si="69"/>
        <v>NAME_PkMn_ELECTRIKE</v>
      </c>
      <c r="B310" s="3" t="s">
        <v>1704</v>
      </c>
      <c r="C310" s="3" t="s">
        <v>1705</v>
      </c>
      <c r="D310" s="3" t="s">
        <v>1706</v>
      </c>
      <c r="E310" s="3" t="s">
        <v>1707</v>
      </c>
      <c r="F310" s="5" t="str">
        <f t="shared" si="2"/>
        <v>Electrike</v>
      </c>
      <c r="G310" s="5" t="str">
        <f t="shared" si="3"/>
        <v>Electrike</v>
      </c>
      <c r="H310" s="3" t="s">
        <v>1708</v>
      </c>
      <c r="I310" s="3" t="s">
        <v>1709</v>
      </c>
      <c r="J310" s="5" t="str">
        <f>IFERROR(__xludf.DUMMYFUNCTION("GOOGLETRANSLATE(I310,""zh_HANT"",""zh_HANS"")"),"落雷兽")</f>
        <v>落雷兽</v>
      </c>
    </row>
    <row r="311">
      <c r="A311" s="3" t="str">
        <f t="shared" si="69"/>
        <v>NAME_PkMn_MANECTRIC</v>
      </c>
      <c r="B311" s="3" t="s">
        <v>1710</v>
      </c>
      <c r="C311" s="3" t="s">
        <v>1711</v>
      </c>
      <c r="D311" s="3" t="s">
        <v>1712</v>
      </c>
      <c r="E311" s="3" t="s">
        <v>1713</v>
      </c>
      <c r="F311" s="5" t="str">
        <f t="shared" si="2"/>
        <v>Manectric</v>
      </c>
      <c r="G311" s="5" t="str">
        <f t="shared" si="3"/>
        <v>Manectric</v>
      </c>
      <c r="H311" s="3" t="s">
        <v>1714</v>
      </c>
      <c r="I311" s="5" t="str">
        <f>IFERROR(__xludf.DUMMYFUNCTION("GOOGLETRANSLATE(J311,""zh_HANS"",""zh_HANT"")"),"雷電獸")</f>
        <v>雷電獸</v>
      </c>
      <c r="J311" s="3" t="s">
        <v>1715</v>
      </c>
    </row>
    <row r="312">
      <c r="A312" s="3" t="str">
        <f t="shared" si="69"/>
        <v>NAME_PkMn_PLUSLE</v>
      </c>
      <c r="B312" s="3" t="s">
        <v>1716</v>
      </c>
      <c r="C312" s="3" t="s">
        <v>1717</v>
      </c>
      <c r="D312" s="3" t="s">
        <v>1718</v>
      </c>
      <c r="E312" s="3" t="s">
        <v>1716</v>
      </c>
      <c r="F312" s="5" t="str">
        <f t="shared" si="2"/>
        <v>Plusle</v>
      </c>
      <c r="G312" s="5" t="str">
        <f t="shared" si="3"/>
        <v>Plusle</v>
      </c>
      <c r="H312" s="3" t="s">
        <v>1719</v>
      </c>
      <c r="I312" s="3" t="s">
        <v>1720</v>
      </c>
      <c r="J312" s="5" t="str">
        <f>IFERROR(__xludf.DUMMYFUNCTION("GOOGLETRANSLATE(I312,""zh_HANT"",""zh_HANS"")"),"正电拍拍")</f>
        <v>正电拍拍</v>
      </c>
    </row>
    <row r="313">
      <c r="A313" s="3" t="str">
        <f t="shared" si="69"/>
        <v>NAME_PkMn_MINUM</v>
      </c>
      <c r="B313" s="3" t="s">
        <v>1721</v>
      </c>
      <c r="C313" s="3" t="s">
        <v>1722</v>
      </c>
      <c r="D313" s="3" t="s">
        <v>1723</v>
      </c>
      <c r="E313" s="3" t="s">
        <v>1724</v>
      </c>
      <c r="F313" s="5" t="str">
        <f t="shared" si="2"/>
        <v>Minum</v>
      </c>
      <c r="G313" s="5" t="str">
        <f t="shared" si="3"/>
        <v>Minum</v>
      </c>
      <c r="H313" s="3" t="s">
        <v>1725</v>
      </c>
      <c r="I313" s="3" t="s">
        <v>1726</v>
      </c>
      <c r="J313" s="5" t="str">
        <f>IFERROR(__xludf.DUMMYFUNCTION("GOOGLETRANSLATE(I313,""zh_HANT"",""zh_HANS"")"),"负电拍拍")</f>
        <v>负电拍拍</v>
      </c>
    </row>
    <row r="314">
      <c r="A314" s="3" t="str">
        <f t="shared" si="69"/>
        <v>NAME_PkMn_VOLBEAT</v>
      </c>
      <c r="B314" s="3" t="s">
        <v>1727</v>
      </c>
      <c r="C314" s="3" t="s">
        <v>1728</v>
      </c>
      <c r="D314" s="3" t="s">
        <v>1729</v>
      </c>
      <c r="E314" s="3" t="s">
        <v>1727</v>
      </c>
      <c r="F314" s="5" t="str">
        <f t="shared" si="2"/>
        <v>Volbeat</v>
      </c>
      <c r="G314" s="5" t="str">
        <f t="shared" si="3"/>
        <v>Volbeat</v>
      </c>
      <c r="H314" s="3" t="s">
        <v>1730</v>
      </c>
      <c r="I314" s="3" t="s">
        <v>1731</v>
      </c>
      <c r="J314" s="5" t="str">
        <f>IFERROR(__xludf.DUMMYFUNCTION("GOOGLETRANSLATE(I314,""zh_HANT"",""zh_HANS"")"),"电萤虫")</f>
        <v>电萤虫</v>
      </c>
    </row>
    <row r="315">
      <c r="A315" s="3" t="str">
        <f t="shared" si="69"/>
        <v>NAME_PkMn_ILLUMISE</v>
      </c>
      <c r="B315" s="3" t="s">
        <v>1732</v>
      </c>
      <c r="C315" s="3" t="s">
        <v>1733</v>
      </c>
      <c r="D315" s="3" t="s">
        <v>1734</v>
      </c>
      <c r="E315" s="3" t="s">
        <v>1732</v>
      </c>
      <c r="F315" s="5" t="str">
        <f t="shared" si="2"/>
        <v>Illumise</v>
      </c>
      <c r="G315" s="5" t="str">
        <f t="shared" si="3"/>
        <v>Illumise</v>
      </c>
      <c r="H315" s="3" t="s">
        <v>1735</v>
      </c>
      <c r="I315" s="3" t="s">
        <v>1736</v>
      </c>
      <c r="J315" s="5" t="str">
        <f>IFERROR(__xludf.DUMMYFUNCTION("GOOGLETRANSLATE(I315,""zh_HANT"",""zh_HANS"")"),"甜甜萤")</f>
        <v>甜甜萤</v>
      </c>
    </row>
    <row r="316">
      <c r="A316" s="3" t="str">
        <f t="shared" si="69"/>
        <v>NAME_PkMn_ROSELIA</v>
      </c>
      <c r="B316" s="3" t="s">
        <v>1737</v>
      </c>
      <c r="C316" s="3" t="s">
        <v>1738</v>
      </c>
      <c r="D316" s="3" t="s">
        <v>1739</v>
      </c>
      <c r="E316" s="3" t="s">
        <v>1737</v>
      </c>
      <c r="F316" s="5" t="str">
        <f t="shared" si="2"/>
        <v>Roselia</v>
      </c>
      <c r="G316" s="5" t="str">
        <f t="shared" si="3"/>
        <v>Roselia</v>
      </c>
      <c r="H316" s="3" t="s">
        <v>1740</v>
      </c>
      <c r="I316" s="3" t="s">
        <v>1741</v>
      </c>
      <c r="J316" s="5" t="str">
        <f>IFERROR(__xludf.DUMMYFUNCTION("GOOGLETRANSLATE(I316,""zh_HANT"",""zh_HANS"")"),"毒蔷薇")</f>
        <v>毒蔷薇</v>
      </c>
    </row>
    <row r="317">
      <c r="A317" s="3" t="str">
        <f t="shared" si="69"/>
        <v>NAME_PkMn_GULPIN</v>
      </c>
      <c r="B317" s="3" t="s">
        <v>1742</v>
      </c>
      <c r="C317" s="3" t="s">
        <v>1743</v>
      </c>
      <c r="D317" s="3" t="s">
        <v>1744</v>
      </c>
      <c r="E317" s="3" t="s">
        <v>1745</v>
      </c>
      <c r="F317" s="5" t="str">
        <f t="shared" si="2"/>
        <v>Gulpin</v>
      </c>
      <c r="G317" s="5" t="str">
        <f t="shared" si="3"/>
        <v>Gulpin</v>
      </c>
      <c r="H317" s="3" t="s">
        <v>1746</v>
      </c>
      <c r="I317" s="3" t="s">
        <v>1747</v>
      </c>
      <c r="J317" s="5" t="str">
        <f>IFERROR(__xludf.DUMMYFUNCTION("GOOGLETRANSLATE(I317,""zh_HANT"",""zh_HANS"")"),"溶食兽")</f>
        <v>溶食兽</v>
      </c>
    </row>
    <row r="318">
      <c r="A318" s="3" t="str">
        <f t="shared" si="69"/>
        <v>NAME_PkMn_SWALOT</v>
      </c>
      <c r="B318" s="3" t="s">
        <v>1748</v>
      </c>
      <c r="C318" s="3" t="s">
        <v>1749</v>
      </c>
      <c r="D318" s="3" t="s">
        <v>1750</v>
      </c>
      <c r="E318" s="3" t="s">
        <v>1751</v>
      </c>
      <c r="F318" s="5" t="str">
        <f t="shared" si="2"/>
        <v>Swalot</v>
      </c>
      <c r="G318" s="5" t="str">
        <f t="shared" si="3"/>
        <v>Swalot</v>
      </c>
      <c r="H318" s="3" t="s">
        <v>1752</v>
      </c>
      <c r="I318" s="3" t="s">
        <v>1753</v>
      </c>
      <c r="J318" s="5" t="str">
        <f>IFERROR(__xludf.DUMMYFUNCTION("GOOGLETRANSLATE(I318,""zh_HANT"",""zh_HANS"")"),"吞食兽")</f>
        <v>吞食兽</v>
      </c>
    </row>
    <row r="319">
      <c r="A319" s="3" t="str">
        <f t="shared" si="69"/>
        <v>NAME_PkMn_CARVANHA</v>
      </c>
      <c r="B319" s="3" t="s">
        <v>1754</v>
      </c>
      <c r="C319" s="3" t="s">
        <v>1755</v>
      </c>
      <c r="D319" s="5" t="str">
        <f t="shared" ref="D319:D322" si="80">B319</f>
        <v>Carvanha</v>
      </c>
      <c r="E319" s="3" t="s">
        <v>1756</v>
      </c>
      <c r="F319" s="5" t="str">
        <f t="shared" si="2"/>
        <v>Carvanha</v>
      </c>
      <c r="G319" s="5" t="str">
        <f t="shared" si="3"/>
        <v>Carvanha</v>
      </c>
      <c r="H319" s="3" t="s">
        <v>1757</v>
      </c>
      <c r="I319" s="3" t="s">
        <v>1753</v>
      </c>
      <c r="J319" s="5" t="str">
        <f>IFERROR(__xludf.DUMMYFUNCTION("GOOGLETRANSLATE(I319,""zh_HANT"",""zh_HANS"")"),"吞食兽")</f>
        <v>吞食兽</v>
      </c>
    </row>
    <row r="320">
      <c r="A320" s="3" t="str">
        <f t="shared" si="69"/>
        <v>NAME_PkMn_SHARPEDO</v>
      </c>
      <c r="B320" s="3" t="s">
        <v>1758</v>
      </c>
      <c r="C320" s="3" t="s">
        <v>1759</v>
      </c>
      <c r="D320" s="5" t="str">
        <f t="shared" si="80"/>
        <v>Sharpedo</v>
      </c>
      <c r="E320" s="3" t="s">
        <v>1760</v>
      </c>
      <c r="F320" s="5" t="str">
        <f t="shared" si="2"/>
        <v>Sharpedo</v>
      </c>
      <c r="G320" s="5" t="str">
        <f t="shared" si="3"/>
        <v>Sharpedo</v>
      </c>
      <c r="H320" s="3" t="s">
        <v>1761</v>
      </c>
      <c r="I320" s="5" t="str">
        <f>IFERROR(__xludf.DUMMYFUNCTION("GOOGLETRANSLATE(J320,""zh_HANS"",""zh_HANT"")"),"巨牙鯊")</f>
        <v>巨牙鯊</v>
      </c>
      <c r="J320" s="3" t="s">
        <v>1762</v>
      </c>
    </row>
    <row r="321">
      <c r="A321" s="3" t="str">
        <f t="shared" si="69"/>
        <v>NAME_PkMn_WAILMER</v>
      </c>
      <c r="B321" s="3" t="s">
        <v>1763</v>
      </c>
      <c r="C321" s="3" t="s">
        <v>1764</v>
      </c>
      <c r="D321" s="5" t="str">
        <f t="shared" si="80"/>
        <v>Wailmer</v>
      </c>
      <c r="E321" s="3" t="s">
        <v>1763</v>
      </c>
      <c r="F321" s="5" t="str">
        <f t="shared" si="2"/>
        <v>Wailmer</v>
      </c>
      <c r="G321" s="5" t="str">
        <f t="shared" si="3"/>
        <v>Wailmer</v>
      </c>
      <c r="H321" s="3" t="s">
        <v>1765</v>
      </c>
      <c r="I321" s="3" t="s">
        <v>1766</v>
      </c>
      <c r="J321" s="5" t="str">
        <f>IFERROR(__xludf.DUMMYFUNCTION("GOOGLETRANSLATE(I321,""zh_HANT"",""zh_HANS"")"),"吼吼鲸")</f>
        <v>吼吼鲸</v>
      </c>
    </row>
    <row r="322">
      <c r="A322" s="3" t="str">
        <f t="shared" si="69"/>
        <v>NAME_PkMn_WAILORD</v>
      </c>
      <c r="B322" s="3" t="s">
        <v>1767</v>
      </c>
      <c r="C322" s="3" t="s">
        <v>1768</v>
      </c>
      <c r="D322" s="5" t="str">
        <f t="shared" si="80"/>
        <v>Wailord</v>
      </c>
      <c r="E322" s="3" t="s">
        <v>1767</v>
      </c>
      <c r="F322" s="5" t="str">
        <f t="shared" si="2"/>
        <v>Wailord</v>
      </c>
      <c r="G322" s="5" t="str">
        <f t="shared" si="3"/>
        <v>Wailord</v>
      </c>
      <c r="H322" s="3" t="s">
        <v>1765</v>
      </c>
      <c r="I322" s="3" t="s">
        <v>1769</v>
      </c>
      <c r="J322" s="5" t="str">
        <f>IFERROR(__xludf.DUMMYFUNCTION("GOOGLETRANSLATE(I322,""zh_HANT"",""zh_HANS"")"),"吼鲸王")</f>
        <v>吼鲸王</v>
      </c>
    </row>
    <row r="323">
      <c r="A323" s="3" t="str">
        <f t="shared" si="69"/>
        <v>NAME_PkMn_NUMEL</v>
      </c>
      <c r="B323" s="3" t="s">
        <v>1770</v>
      </c>
      <c r="C323" s="3" t="s">
        <v>1771</v>
      </c>
      <c r="D323" s="3" t="s">
        <v>1772</v>
      </c>
      <c r="E323" s="3" t="s">
        <v>1773</v>
      </c>
      <c r="F323" s="5" t="str">
        <f t="shared" si="2"/>
        <v>Numel</v>
      </c>
      <c r="G323" s="5" t="str">
        <f t="shared" si="3"/>
        <v>Numel</v>
      </c>
      <c r="H323" s="3" t="s">
        <v>1774</v>
      </c>
      <c r="I323" s="3" t="s">
        <v>1775</v>
      </c>
      <c r="J323" s="5" t="str">
        <f>IFERROR(__xludf.DUMMYFUNCTION("GOOGLETRANSLATE(I323,""zh_HANT"",""zh_HANS"")"),"呆火驼")</f>
        <v>呆火驼</v>
      </c>
    </row>
    <row r="324">
      <c r="A324" s="3" t="str">
        <f t="shared" si="69"/>
        <v>NAME_PkMn_CAMERUPT</v>
      </c>
      <c r="B324" s="3" t="s">
        <v>1776</v>
      </c>
      <c r="C324" s="3" t="s">
        <v>1777</v>
      </c>
      <c r="D324" s="5" t="str">
        <f>B324</f>
        <v>Camerupt</v>
      </c>
      <c r="E324" s="3" t="s">
        <v>1776</v>
      </c>
      <c r="F324" s="5" t="str">
        <f t="shared" si="2"/>
        <v>Camerupt</v>
      </c>
      <c r="G324" s="5" t="str">
        <f t="shared" si="3"/>
        <v>Camerupt</v>
      </c>
      <c r="H324" s="3" t="s">
        <v>1778</v>
      </c>
      <c r="I324" s="5" t="str">
        <f>IFERROR(__xludf.DUMMYFUNCTION("GOOGLETRANSLATE(J324,""zh_HANS"",""zh_HANT"")"),"噴火駝")</f>
        <v>噴火駝</v>
      </c>
      <c r="J324" s="3" t="s">
        <v>1779</v>
      </c>
    </row>
    <row r="325">
      <c r="A325" s="3" t="str">
        <f t="shared" si="69"/>
        <v>NAME_PkMn_TORKOAL</v>
      </c>
      <c r="B325" s="3" t="s">
        <v>1780</v>
      </c>
      <c r="C325" s="3" t="s">
        <v>1781</v>
      </c>
      <c r="D325" s="3" t="s">
        <v>1782</v>
      </c>
      <c r="E325" s="3" t="s">
        <v>1783</v>
      </c>
      <c r="F325" s="5" t="str">
        <f t="shared" si="2"/>
        <v>Torkoal</v>
      </c>
      <c r="G325" s="5" t="str">
        <f t="shared" si="3"/>
        <v>Torkoal</v>
      </c>
      <c r="H325" s="3" t="s">
        <v>1784</v>
      </c>
      <c r="I325" s="3" t="s">
        <v>1785</v>
      </c>
      <c r="J325" s="5" t="str">
        <f>IFERROR(__xludf.DUMMYFUNCTION("GOOGLETRANSLATE(I325,""zh_HANT"",""zh_HANS"")"),"煤炭龟")</f>
        <v>煤炭龟</v>
      </c>
    </row>
    <row r="326">
      <c r="A326" s="3" t="str">
        <f t="shared" si="69"/>
        <v>NAME_PkMn_SPOINK</v>
      </c>
      <c r="B326" s="3" t="s">
        <v>1786</v>
      </c>
      <c r="C326" s="3" t="s">
        <v>1787</v>
      </c>
      <c r="D326" s="5" t="str">
        <f>B326</f>
        <v>Spoink</v>
      </c>
      <c r="E326" s="3" t="s">
        <v>1786</v>
      </c>
      <c r="F326" s="5" t="str">
        <f t="shared" si="2"/>
        <v>Spoink</v>
      </c>
      <c r="G326" s="5" t="str">
        <f t="shared" si="3"/>
        <v>Spoink</v>
      </c>
      <c r="H326" s="3" t="s">
        <v>1788</v>
      </c>
      <c r="I326" s="3" t="s">
        <v>1789</v>
      </c>
      <c r="J326" s="5" t="str">
        <f>IFERROR(__xludf.DUMMYFUNCTION("GOOGLETRANSLATE(I326,""zh_HANT"",""zh_HANS"")"),"跳跳猪")</f>
        <v>跳跳猪</v>
      </c>
    </row>
    <row r="327">
      <c r="A327" s="3" t="str">
        <f t="shared" si="69"/>
        <v>NAME_PkMn_GRUMPIG</v>
      </c>
      <c r="B327" s="3" t="s">
        <v>1790</v>
      </c>
      <c r="C327" s="3" t="s">
        <v>1791</v>
      </c>
      <c r="D327" s="3" t="s">
        <v>1792</v>
      </c>
      <c r="E327" s="3" t="s">
        <v>1793</v>
      </c>
      <c r="F327" s="5" t="str">
        <f t="shared" si="2"/>
        <v>Grumpig</v>
      </c>
      <c r="G327" s="5" t="str">
        <f t="shared" si="3"/>
        <v>Grumpig</v>
      </c>
      <c r="H327" s="3" t="s">
        <v>1794</v>
      </c>
      <c r="I327" s="3" t="s">
        <v>1795</v>
      </c>
      <c r="J327" s="5" t="str">
        <f>IFERROR(__xludf.DUMMYFUNCTION("GOOGLETRANSLATE(I327,""zh_HANT"",""zh_HANS"")"),"噗噗猪")</f>
        <v>噗噗猪</v>
      </c>
    </row>
    <row r="328">
      <c r="A328" s="3" t="str">
        <f t="shared" si="69"/>
        <v>NAME_PkMn_SPINDA</v>
      </c>
      <c r="B328" s="3" t="s">
        <v>1796</v>
      </c>
      <c r="C328" s="3" t="s">
        <v>1797</v>
      </c>
      <c r="D328" s="5" t="str">
        <f>B328</f>
        <v>Spinda</v>
      </c>
      <c r="E328" s="3" t="s">
        <v>1798</v>
      </c>
      <c r="F328" s="5" t="str">
        <f t="shared" si="2"/>
        <v>Spinda</v>
      </c>
      <c r="G328" s="5" t="str">
        <f t="shared" si="3"/>
        <v>Spinda</v>
      </c>
      <c r="H328" s="3" t="s">
        <v>1799</v>
      </c>
      <c r="I328" s="3" t="s">
        <v>1800</v>
      </c>
      <c r="J328" s="5" t="str">
        <f>I328</f>
        <v>晃晃斑</v>
      </c>
    </row>
    <row r="329">
      <c r="A329" s="3" t="str">
        <f t="shared" si="69"/>
        <v>NAME_PkMn_TRAPINCH</v>
      </c>
      <c r="B329" s="3" t="s">
        <v>1801</v>
      </c>
      <c r="C329" s="3" t="s">
        <v>1802</v>
      </c>
      <c r="D329" s="3" t="s">
        <v>1803</v>
      </c>
      <c r="E329" s="3" t="s">
        <v>1804</v>
      </c>
      <c r="F329" s="5" t="str">
        <f t="shared" si="2"/>
        <v>Trapinch</v>
      </c>
      <c r="G329" s="5" t="str">
        <f t="shared" si="3"/>
        <v>Trapinch</v>
      </c>
      <c r="H329" s="3" t="s">
        <v>1805</v>
      </c>
      <c r="I329" s="3" t="s">
        <v>1806</v>
      </c>
      <c r="J329" s="5" t="str">
        <f>IFERROR(__xludf.DUMMYFUNCTION("GOOGLETRANSLATE(I329,""zh_HANT"",""zh_HANS"")"),"大颚蚁")</f>
        <v>大颚蚁</v>
      </c>
    </row>
    <row r="330">
      <c r="A330" s="3" t="str">
        <f t="shared" si="69"/>
        <v>NAME_PkMn_VIBRAVA</v>
      </c>
      <c r="B330" s="3" t="s">
        <v>1807</v>
      </c>
      <c r="C330" s="3" t="s">
        <v>1808</v>
      </c>
      <c r="D330" s="3" t="s">
        <v>1809</v>
      </c>
      <c r="E330" s="3" t="s">
        <v>1810</v>
      </c>
      <c r="F330" s="5" t="str">
        <f t="shared" si="2"/>
        <v>Vibrava</v>
      </c>
      <c r="G330" s="5" t="str">
        <f t="shared" si="3"/>
        <v>Vibrava</v>
      </c>
      <c r="H330" s="3" t="s">
        <v>1811</v>
      </c>
      <c r="I330" s="3" t="s">
        <v>1812</v>
      </c>
      <c r="J330" s="5" t="str">
        <f>IFERROR(__xludf.DUMMYFUNCTION("GOOGLETRANSLATE(I330,""zh_HANT"",""zh_HANS"")"),"超音波幼虫")</f>
        <v>超音波幼虫</v>
      </c>
    </row>
    <row r="331">
      <c r="A331" s="3" t="str">
        <f t="shared" si="69"/>
        <v>NAME_PkMn_FLYGON</v>
      </c>
      <c r="B331" s="3" t="s">
        <v>1813</v>
      </c>
      <c r="C331" s="3" t="s">
        <v>1814</v>
      </c>
      <c r="D331" s="3" t="s">
        <v>1815</v>
      </c>
      <c r="E331" s="3" t="s">
        <v>1816</v>
      </c>
      <c r="F331" s="5" t="str">
        <f t="shared" si="2"/>
        <v>Flygon</v>
      </c>
      <c r="G331" s="5" t="str">
        <f t="shared" si="3"/>
        <v>Flygon</v>
      </c>
      <c r="H331" s="3" t="s">
        <v>1817</v>
      </c>
      <c r="I331" s="3" t="s">
        <v>1818</v>
      </c>
      <c r="J331" s="5" t="str">
        <f t="shared" ref="J331:J332" si="81">I331</f>
        <v>沙漠蜻蜓</v>
      </c>
    </row>
    <row r="332">
      <c r="A332" s="3" t="str">
        <f t="shared" si="69"/>
        <v>NAME_PkMn_CACNEA</v>
      </c>
      <c r="B332" s="3" t="s">
        <v>1819</v>
      </c>
      <c r="C332" s="3" t="s">
        <v>1820</v>
      </c>
      <c r="D332" s="3" t="s">
        <v>1821</v>
      </c>
      <c r="E332" s="3" t="s">
        <v>1822</v>
      </c>
      <c r="F332" s="5" t="str">
        <f t="shared" si="2"/>
        <v>Cacnea</v>
      </c>
      <c r="G332" s="5" t="str">
        <f t="shared" si="3"/>
        <v>Cacnea</v>
      </c>
      <c r="H332" s="3" t="s">
        <v>1823</v>
      </c>
      <c r="I332" s="3" t="s">
        <v>1824</v>
      </c>
      <c r="J332" s="5" t="str">
        <f t="shared" si="81"/>
        <v>刺球仙人掌</v>
      </c>
    </row>
    <row r="333">
      <c r="A333" s="3" t="str">
        <f t="shared" si="69"/>
        <v>NAME_PkMn_CACTURNE</v>
      </c>
      <c r="B333" s="3" t="s">
        <v>1825</v>
      </c>
      <c r="C333" s="3" t="s">
        <v>1826</v>
      </c>
      <c r="D333" s="5" t="str">
        <f>B333</f>
        <v>Cacturne</v>
      </c>
      <c r="E333" s="3" t="s">
        <v>1827</v>
      </c>
      <c r="F333" s="5" t="str">
        <f t="shared" si="2"/>
        <v>Cacturne</v>
      </c>
      <c r="G333" s="5" t="str">
        <f t="shared" si="3"/>
        <v>Cacturne</v>
      </c>
      <c r="H333" s="3" t="s">
        <v>1828</v>
      </c>
      <c r="I333" s="3" t="s">
        <v>1829</v>
      </c>
      <c r="J333" s="5" t="str">
        <f>IFERROR(__xludf.DUMMYFUNCTION("GOOGLETRANSLATE(I333,""zh_HANT"",""zh_HANS"")"),"梦歌仙人掌")</f>
        <v>梦歌仙人掌</v>
      </c>
    </row>
    <row r="334">
      <c r="A334" s="3" t="str">
        <f t="shared" si="69"/>
        <v>NAME_PkMn_SWABLU</v>
      </c>
      <c r="B334" s="3" t="s">
        <v>1830</v>
      </c>
      <c r="C334" s="3" t="s">
        <v>1831</v>
      </c>
      <c r="D334" s="3" t="s">
        <v>1832</v>
      </c>
      <c r="E334" s="3" t="s">
        <v>1833</v>
      </c>
      <c r="F334" s="5" t="str">
        <f t="shared" si="2"/>
        <v>Swablu</v>
      </c>
      <c r="G334" s="5" t="str">
        <f t="shared" si="3"/>
        <v>Swablu</v>
      </c>
      <c r="H334" s="3" t="s">
        <v>1834</v>
      </c>
      <c r="I334" s="3" t="s">
        <v>1835</v>
      </c>
      <c r="J334" s="5" t="str">
        <f>IFERROR(__xludf.DUMMYFUNCTION("GOOGLETRANSLATE(I334,""zh_HANT"",""zh_HANS"")"),"青绵鸟")</f>
        <v>青绵鸟</v>
      </c>
    </row>
    <row r="335">
      <c r="A335" s="3" t="str">
        <f t="shared" si="69"/>
        <v>NAME_PkMn_ALTARIA</v>
      </c>
      <c r="B335" s="3" t="s">
        <v>1836</v>
      </c>
      <c r="C335" s="3" t="s">
        <v>1837</v>
      </c>
      <c r="D335" s="5" t="str">
        <f>B335</f>
        <v>Altaria</v>
      </c>
      <c r="E335" s="3" t="s">
        <v>1836</v>
      </c>
      <c r="F335" s="5" t="str">
        <f t="shared" si="2"/>
        <v>Altaria</v>
      </c>
      <c r="G335" s="5" t="str">
        <f t="shared" si="3"/>
        <v>Altaria</v>
      </c>
      <c r="H335" s="3" t="s">
        <v>1838</v>
      </c>
      <c r="I335" s="5" t="str">
        <f>IFERROR(__xludf.DUMMYFUNCTION("GOOGLETRANSLATE(J335,""zh_HANS"",""zh_HANT"")"),"七夕青鳥")</f>
        <v>七夕青鳥</v>
      </c>
      <c r="J335" s="3" t="s">
        <v>1839</v>
      </c>
    </row>
    <row r="336">
      <c r="A336" s="3" t="str">
        <f t="shared" si="69"/>
        <v>NAME_PkMn_ZANGOOSE</v>
      </c>
      <c r="B336" s="3" t="s">
        <v>1840</v>
      </c>
      <c r="C336" s="3" t="s">
        <v>1841</v>
      </c>
      <c r="D336" s="3" t="s">
        <v>1842</v>
      </c>
      <c r="E336" s="3" t="s">
        <v>1843</v>
      </c>
      <c r="F336" s="5" t="str">
        <f t="shared" si="2"/>
        <v>Zangoose</v>
      </c>
      <c r="G336" s="5" t="str">
        <f t="shared" si="3"/>
        <v>Zangoose</v>
      </c>
      <c r="H336" s="3" t="s">
        <v>1844</v>
      </c>
      <c r="I336" s="3" t="s">
        <v>1845</v>
      </c>
      <c r="J336" s="5" t="str">
        <f>IFERROR(__xludf.DUMMYFUNCTION("GOOGLETRANSLATE(I336,""zh_HANT"",""zh_HANS"")"),"猫鼬斩")</f>
        <v>猫鼬斩</v>
      </c>
    </row>
    <row r="337">
      <c r="A337" s="3" t="str">
        <f t="shared" si="69"/>
        <v>NAME_PkMn_SEVIPER</v>
      </c>
      <c r="B337" s="3" t="s">
        <v>1846</v>
      </c>
      <c r="C337" s="3" t="s">
        <v>1847</v>
      </c>
      <c r="D337" s="3" t="s">
        <v>1848</v>
      </c>
      <c r="E337" s="3" t="s">
        <v>1849</v>
      </c>
      <c r="F337" s="5" t="str">
        <f t="shared" si="2"/>
        <v>Seviper</v>
      </c>
      <c r="G337" s="5" t="str">
        <f t="shared" si="3"/>
        <v>Seviper</v>
      </c>
      <c r="H337" s="3" t="s">
        <v>1850</v>
      </c>
      <c r="I337" s="3" t="s">
        <v>1851</v>
      </c>
      <c r="J337" s="5" t="str">
        <f t="shared" ref="J337:J338" si="82">I337</f>
        <v>飯匙蛇</v>
      </c>
    </row>
    <row r="338">
      <c r="A338" s="3" t="str">
        <f t="shared" si="69"/>
        <v>NAME_PkMn_LUNATONE</v>
      </c>
      <c r="B338" s="3" t="s">
        <v>1852</v>
      </c>
      <c r="C338" s="3" t="s">
        <v>1853</v>
      </c>
      <c r="D338" s="3" t="s">
        <v>1854</v>
      </c>
      <c r="E338" s="3" t="s">
        <v>1855</v>
      </c>
      <c r="F338" s="5" t="str">
        <f t="shared" si="2"/>
        <v>Lunatone</v>
      </c>
      <c r="G338" s="5" t="str">
        <f t="shared" si="3"/>
        <v>Lunatone</v>
      </c>
      <c r="H338" s="3" t="s">
        <v>1856</v>
      </c>
      <c r="I338" s="3" t="s">
        <v>1857</v>
      </c>
      <c r="J338" s="5" t="str">
        <f t="shared" si="82"/>
        <v>月石</v>
      </c>
    </row>
    <row r="339">
      <c r="A339" s="3" t="str">
        <f t="shared" si="69"/>
        <v>NAME_PkMn_SOLROCK</v>
      </c>
      <c r="B339" s="3" t="s">
        <v>1858</v>
      </c>
      <c r="C339" s="3" t="s">
        <v>1859</v>
      </c>
      <c r="D339" s="3" t="s">
        <v>1860</v>
      </c>
      <c r="E339" s="3" t="s">
        <v>1861</v>
      </c>
      <c r="F339" s="5" t="str">
        <f t="shared" si="2"/>
        <v>Solrock</v>
      </c>
      <c r="G339" s="5" t="str">
        <f t="shared" si="3"/>
        <v>Solrock</v>
      </c>
      <c r="H339" s="3" t="s">
        <v>1862</v>
      </c>
      <c r="I339" s="3" t="s">
        <v>1863</v>
      </c>
      <c r="J339" s="5" t="str">
        <f>IFERROR(__xludf.DUMMYFUNCTION("GOOGLETRANSLATE(I339,""zh_HANT"",""zh_HANS"")"),"太阳岩")</f>
        <v>太阳岩</v>
      </c>
    </row>
    <row r="340">
      <c r="A340" s="3" t="str">
        <f t="shared" si="69"/>
        <v>NAME_PkMn_BARBOACH</v>
      </c>
      <c r="B340" s="3" t="s">
        <v>1864</v>
      </c>
      <c r="C340" s="3" t="s">
        <v>1865</v>
      </c>
      <c r="D340" s="3" t="s">
        <v>1866</v>
      </c>
      <c r="E340" s="3" t="s">
        <v>1867</v>
      </c>
      <c r="F340" s="5" t="str">
        <f t="shared" si="2"/>
        <v>Barboach</v>
      </c>
      <c r="G340" s="5" t="str">
        <f t="shared" si="3"/>
        <v>Barboach</v>
      </c>
      <c r="H340" s="3" t="s">
        <v>1868</v>
      </c>
      <c r="I340" s="3" t="s">
        <v>1869</v>
      </c>
      <c r="J340" s="5" t="str">
        <f>IFERROR(__xludf.DUMMYFUNCTION("GOOGLETRANSLATE(I340,""zh_HANT"",""zh_HANS"")"),"泥泥鳅")</f>
        <v>泥泥鳅</v>
      </c>
    </row>
    <row r="341">
      <c r="A341" s="3" t="str">
        <f t="shared" si="69"/>
        <v>NAME_PkMn_WHISCASH</v>
      </c>
      <c r="B341" s="3" t="s">
        <v>1870</v>
      </c>
      <c r="C341" s="3" t="s">
        <v>1871</v>
      </c>
      <c r="D341" s="3" t="s">
        <v>1872</v>
      </c>
      <c r="E341" s="3" t="s">
        <v>1873</v>
      </c>
      <c r="F341" s="5" t="str">
        <f t="shared" si="2"/>
        <v>Whiscash</v>
      </c>
      <c r="G341" s="5" t="str">
        <f t="shared" si="3"/>
        <v>Whiscash</v>
      </c>
      <c r="H341" s="3" t="s">
        <v>1874</v>
      </c>
      <c r="I341" s="3" t="s">
        <v>1875</v>
      </c>
      <c r="J341" s="5" t="str">
        <f>IFERROR(__xludf.DUMMYFUNCTION("GOOGLETRANSLATE(I341,""zh_HANT"",""zh_HANS"")"),"鲶鱼王")</f>
        <v>鲶鱼王</v>
      </c>
    </row>
    <row r="342">
      <c r="A342" s="3" t="str">
        <f t="shared" si="69"/>
        <v>NAME_PkMn_CORPHISH</v>
      </c>
      <c r="B342" s="3" t="s">
        <v>1876</v>
      </c>
      <c r="C342" s="3" t="s">
        <v>1877</v>
      </c>
      <c r="D342" s="3" t="s">
        <v>1878</v>
      </c>
      <c r="E342" s="3" t="s">
        <v>1879</v>
      </c>
      <c r="F342" s="5" t="str">
        <f t="shared" si="2"/>
        <v>Corphish</v>
      </c>
      <c r="G342" s="5" t="str">
        <f t="shared" si="3"/>
        <v>Corphish</v>
      </c>
      <c r="H342" s="3" t="s">
        <v>1880</v>
      </c>
      <c r="I342" s="3" t="s">
        <v>1881</v>
      </c>
      <c r="J342" s="5" t="str">
        <f>IFERROR(__xludf.DUMMYFUNCTION("GOOGLETRANSLATE(I342,""zh_HANT"",""zh_HANS"")"),"龙虾小兵")</f>
        <v>龙虾小兵</v>
      </c>
    </row>
    <row r="343">
      <c r="A343" s="3" t="str">
        <f t="shared" si="69"/>
        <v>NAME_PkMn_CRAWDAUNT</v>
      </c>
      <c r="B343" s="3" t="s">
        <v>1882</v>
      </c>
      <c r="C343" s="3" t="s">
        <v>1883</v>
      </c>
      <c r="D343" s="3" t="s">
        <v>1884</v>
      </c>
      <c r="E343" s="3" t="s">
        <v>1885</v>
      </c>
      <c r="F343" s="5" t="str">
        <f t="shared" si="2"/>
        <v>Crawdaunt</v>
      </c>
      <c r="G343" s="5" t="str">
        <f t="shared" si="3"/>
        <v>Crawdaunt</v>
      </c>
      <c r="H343" s="3" t="s">
        <v>1886</v>
      </c>
      <c r="I343" s="3" t="s">
        <v>1887</v>
      </c>
      <c r="J343" s="5" t="str">
        <f>IFERROR(__xludf.DUMMYFUNCTION("GOOGLETRANSLATE(I343,""zh_HANT"",""zh_HANS"")"),"铁螯龙虾")</f>
        <v>铁螯龙虾</v>
      </c>
    </row>
    <row r="344">
      <c r="A344" s="3" t="str">
        <f t="shared" si="69"/>
        <v>NAME_PkMn_BALTOY</v>
      </c>
      <c r="B344" s="3" t="s">
        <v>1888</v>
      </c>
      <c r="C344" s="3" t="s">
        <v>1889</v>
      </c>
      <c r="D344" s="3" t="s">
        <v>1890</v>
      </c>
      <c r="E344" s="3" t="s">
        <v>1891</v>
      </c>
      <c r="F344" s="5" t="str">
        <f t="shared" si="2"/>
        <v>Baltoy</v>
      </c>
      <c r="G344" s="5" t="str">
        <f t="shared" si="3"/>
        <v>Baltoy</v>
      </c>
      <c r="H344" s="3" t="s">
        <v>1892</v>
      </c>
      <c r="I344" s="3" t="s">
        <v>1893</v>
      </c>
      <c r="J344" s="5" t="str">
        <f t="shared" ref="J344:J345" si="83">I344</f>
        <v>天秤偶</v>
      </c>
    </row>
    <row r="345">
      <c r="A345" s="3" t="str">
        <f t="shared" si="69"/>
        <v>NAME_PkMn_CLAYDOL</v>
      </c>
      <c r="B345" s="3" t="s">
        <v>1894</v>
      </c>
      <c r="C345" s="3" t="s">
        <v>1895</v>
      </c>
      <c r="D345" s="3" t="s">
        <v>1896</v>
      </c>
      <c r="E345" s="3" t="s">
        <v>1897</v>
      </c>
      <c r="F345" s="5" t="str">
        <f t="shared" si="2"/>
        <v>Claydol</v>
      </c>
      <c r="G345" s="5" t="str">
        <f t="shared" si="3"/>
        <v>Claydol</v>
      </c>
      <c r="H345" s="3" t="s">
        <v>1898</v>
      </c>
      <c r="I345" s="3" t="s">
        <v>1899</v>
      </c>
      <c r="J345" s="5" t="str">
        <f t="shared" si="83"/>
        <v>念力土偶</v>
      </c>
    </row>
    <row r="346">
      <c r="A346" s="3" t="str">
        <f t="shared" si="69"/>
        <v>NAME_PkMn_LILEEP</v>
      </c>
      <c r="B346" s="3" t="s">
        <v>1900</v>
      </c>
      <c r="C346" s="3" t="s">
        <v>1901</v>
      </c>
      <c r="D346" s="3" t="s">
        <v>1902</v>
      </c>
      <c r="E346" s="3" t="s">
        <v>1903</v>
      </c>
      <c r="F346" s="5" t="str">
        <f t="shared" si="2"/>
        <v>Lileep</v>
      </c>
      <c r="G346" s="5" t="str">
        <f t="shared" si="3"/>
        <v>Lileep</v>
      </c>
      <c r="H346" s="3" t="s">
        <v>1904</v>
      </c>
      <c r="I346" s="3" t="s">
        <v>1905</v>
      </c>
      <c r="J346" s="5" t="str">
        <f>IFERROR(__xludf.DUMMYFUNCTION("GOOGLETRANSLATE(I346,""zh_HANT"",""zh_HANS"")"),"触手百合")</f>
        <v>触手百合</v>
      </c>
    </row>
    <row r="347">
      <c r="A347" s="3" t="str">
        <f t="shared" si="69"/>
        <v>NAME_PkMn_CRADILY</v>
      </c>
      <c r="B347" s="3" t="s">
        <v>1906</v>
      </c>
      <c r="C347" s="3" t="s">
        <v>1907</v>
      </c>
      <c r="D347" s="3" t="s">
        <v>1908</v>
      </c>
      <c r="E347" s="3" t="s">
        <v>1909</v>
      </c>
      <c r="F347" s="5" t="str">
        <f t="shared" si="2"/>
        <v>Cradily</v>
      </c>
      <c r="G347" s="5" t="str">
        <f t="shared" si="3"/>
        <v>Cradily</v>
      </c>
      <c r="H347" s="3" t="s">
        <v>1910</v>
      </c>
      <c r="I347" s="3" t="s">
        <v>1911</v>
      </c>
      <c r="J347" s="5" t="str">
        <f>IFERROR(__xludf.DUMMYFUNCTION("GOOGLETRANSLATE(I347,""zh_HANT"",""zh_HANS"")"),"摇篮百合")</f>
        <v>摇篮百合</v>
      </c>
    </row>
    <row r="348">
      <c r="A348" s="3" t="str">
        <f t="shared" si="69"/>
        <v>NAME_PkMn_ANORITH</v>
      </c>
      <c r="B348" s="3" t="s">
        <v>1912</v>
      </c>
      <c r="C348" s="3" t="s">
        <v>1913</v>
      </c>
      <c r="D348" s="5" t="str">
        <f t="shared" ref="D348:D349" si="84">B348</f>
        <v>Anorith</v>
      </c>
      <c r="E348" s="3" t="s">
        <v>1912</v>
      </c>
      <c r="F348" s="5" t="str">
        <f t="shared" si="2"/>
        <v>Anorith</v>
      </c>
      <c r="G348" s="5" t="str">
        <f t="shared" si="3"/>
        <v>Anorith</v>
      </c>
      <c r="H348" s="3" t="s">
        <v>1914</v>
      </c>
      <c r="I348" s="3" t="s">
        <v>1915</v>
      </c>
      <c r="J348" s="5" t="str">
        <f>IFERROR(__xludf.DUMMYFUNCTION("GOOGLETRANSLATE(I348,""zh_HANT"",""zh_HANS"")"),"太古羽虫")</f>
        <v>太古羽虫</v>
      </c>
    </row>
    <row r="349">
      <c r="A349" s="3" t="str">
        <f t="shared" si="69"/>
        <v>NAME_PkMn_ARMALDO</v>
      </c>
      <c r="B349" s="3" t="s">
        <v>1916</v>
      </c>
      <c r="C349" s="3" t="s">
        <v>1917</v>
      </c>
      <c r="D349" s="5" t="str">
        <f t="shared" si="84"/>
        <v>Armaldo</v>
      </c>
      <c r="E349" s="3" t="s">
        <v>1916</v>
      </c>
      <c r="F349" s="5" t="str">
        <f t="shared" si="2"/>
        <v>Armaldo</v>
      </c>
      <c r="G349" s="5" t="str">
        <f t="shared" si="3"/>
        <v>Armaldo</v>
      </c>
      <c r="H349" s="3" t="s">
        <v>1918</v>
      </c>
      <c r="I349" s="3" t="s">
        <v>1919</v>
      </c>
      <c r="J349" s="5" t="str">
        <f>I349</f>
        <v>太古盔甲</v>
      </c>
    </row>
    <row r="350">
      <c r="A350" s="3" t="str">
        <f t="shared" si="69"/>
        <v>NAME_PkMn_FEEBAS</v>
      </c>
      <c r="B350" s="3" t="s">
        <v>1920</v>
      </c>
      <c r="C350" s="3" t="s">
        <v>1921</v>
      </c>
      <c r="D350" s="3" t="s">
        <v>1922</v>
      </c>
      <c r="E350" s="3" t="s">
        <v>1923</v>
      </c>
      <c r="F350" s="5" t="str">
        <f t="shared" si="2"/>
        <v>Feebas</v>
      </c>
      <c r="G350" s="5" t="str">
        <f t="shared" si="3"/>
        <v>Feebas</v>
      </c>
      <c r="H350" s="3" t="s">
        <v>1924</v>
      </c>
      <c r="I350" s="3" t="s">
        <v>1925</v>
      </c>
      <c r="J350" s="5" t="str">
        <f>IFERROR(__xludf.DUMMYFUNCTION("GOOGLETRANSLATE(I350,""zh_HANT"",""zh_HANS"")"),"丑丑鱼")</f>
        <v>丑丑鱼</v>
      </c>
    </row>
    <row r="351">
      <c r="A351" s="3" t="str">
        <f t="shared" si="69"/>
        <v>NAME_PkMn_MILOTIC</v>
      </c>
      <c r="B351" s="3" t="s">
        <v>1926</v>
      </c>
      <c r="C351" s="3" t="s">
        <v>1927</v>
      </c>
      <c r="D351" s="3" t="s">
        <v>1928</v>
      </c>
      <c r="E351" s="3" t="s">
        <v>1926</v>
      </c>
      <c r="F351" s="5" t="str">
        <f t="shared" si="2"/>
        <v>Milotic</v>
      </c>
      <c r="G351" s="5" t="str">
        <f t="shared" si="3"/>
        <v>Milotic</v>
      </c>
      <c r="H351" s="3" t="s">
        <v>1929</v>
      </c>
      <c r="I351" s="3" t="s">
        <v>1930</v>
      </c>
      <c r="J351" s="5" t="str">
        <f>IFERROR(__xludf.DUMMYFUNCTION("GOOGLETRANSLATE(I351,""zh_HANT"",""zh_HANS"")"),"美纳斯")</f>
        <v>美纳斯</v>
      </c>
    </row>
    <row r="352">
      <c r="A352" s="3" t="str">
        <f t="shared" si="69"/>
        <v>NAME_PkMn_CASTFORM</v>
      </c>
      <c r="B352" s="3" t="s">
        <v>1931</v>
      </c>
      <c r="C352" s="3" t="s">
        <v>1932</v>
      </c>
      <c r="D352" s="3" t="s">
        <v>1933</v>
      </c>
      <c r="E352" s="3" t="s">
        <v>1934</v>
      </c>
      <c r="F352" s="5" t="str">
        <f t="shared" si="2"/>
        <v>Castform</v>
      </c>
      <c r="G352" s="5" t="str">
        <f t="shared" si="3"/>
        <v>Castform</v>
      </c>
      <c r="H352" s="3" t="s">
        <v>1935</v>
      </c>
      <c r="I352" s="3" t="s">
        <v>1936</v>
      </c>
      <c r="J352" s="5" t="str">
        <f>IFERROR(__xludf.DUMMYFUNCTION("GOOGLETRANSLATE(I352,""zh_HANT"",""zh_HANS"")"),"飘浮泡泡")</f>
        <v>飘浮泡泡</v>
      </c>
    </row>
    <row r="353">
      <c r="A353" s="3" t="str">
        <f t="shared" si="69"/>
        <v>NAME_PkMn_KECLEON</v>
      </c>
      <c r="B353" s="3" t="s">
        <v>1937</v>
      </c>
      <c r="C353" s="3" t="s">
        <v>1938</v>
      </c>
      <c r="D353" s="5" t="str">
        <f>B353</f>
        <v>Kecleon</v>
      </c>
      <c r="E353" s="3" t="s">
        <v>1937</v>
      </c>
      <c r="F353" s="5" t="str">
        <f t="shared" si="2"/>
        <v>Kecleon</v>
      </c>
      <c r="G353" s="5" t="str">
        <f t="shared" si="3"/>
        <v>Kecleon</v>
      </c>
      <c r="H353" s="3" t="s">
        <v>1939</v>
      </c>
      <c r="I353" s="3" t="s">
        <v>1940</v>
      </c>
      <c r="J353" s="5" t="str">
        <f>IFERROR(__xludf.DUMMYFUNCTION("GOOGLETRANSLATE(I353,""zh_HANT"",""zh_HANS"")"),"变隐龙")</f>
        <v>变隐龙</v>
      </c>
    </row>
    <row r="354">
      <c r="A354" s="3" t="str">
        <f t="shared" si="69"/>
        <v>NAME_PkMn_SHUPPET</v>
      </c>
      <c r="B354" s="3" t="s">
        <v>1941</v>
      </c>
      <c r="C354" s="3" t="s">
        <v>1942</v>
      </c>
      <c r="D354" s="3" t="s">
        <v>1943</v>
      </c>
      <c r="E354" s="3" t="s">
        <v>1944</v>
      </c>
      <c r="F354" s="5" t="str">
        <f t="shared" si="2"/>
        <v>Shuppet</v>
      </c>
      <c r="G354" s="5" t="str">
        <f t="shared" si="3"/>
        <v>Shuppet</v>
      </c>
      <c r="H354" s="3" t="s">
        <v>1945</v>
      </c>
      <c r="I354" s="3" t="s">
        <v>1946</v>
      </c>
      <c r="J354" s="5" t="str">
        <f>I354</f>
        <v>怨影娃娃</v>
      </c>
    </row>
    <row r="355">
      <c r="A355" s="3" t="str">
        <f t="shared" si="69"/>
        <v>NAME_PkMn_BANETTE</v>
      </c>
      <c r="B355" s="3" t="s">
        <v>1947</v>
      </c>
      <c r="C355" s="3" t="s">
        <v>1948</v>
      </c>
      <c r="D355" s="3" t="s">
        <v>1949</v>
      </c>
      <c r="E355" s="3" t="s">
        <v>1950</v>
      </c>
      <c r="F355" s="5" t="str">
        <f t="shared" si="2"/>
        <v>Banette</v>
      </c>
      <c r="G355" s="5" t="str">
        <f t="shared" si="3"/>
        <v>Banette</v>
      </c>
      <c r="H355" s="3" t="s">
        <v>1951</v>
      </c>
      <c r="I355" s="5" t="str">
        <f>IFERROR(__xludf.DUMMYFUNCTION("GOOGLETRANSLATE(J355,""zh_HANS"",""zh_HANT"")"),"詛咒娃娃")</f>
        <v>詛咒娃娃</v>
      </c>
      <c r="J355" s="3" t="s">
        <v>1952</v>
      </c>
    </row>
    <row r="356">
      <c r="A356" s="3" t="str">
        <f t="shared" si="69"/>
        <v>NAME_PkMn_DUSKULL</v>
      </c>
      <c r="B356" s="3" t="s">
        <v>1953</v>
      </c>
      <c r="C356" s="3" t="s">
        <v>1954</v>
      </c>
      <c r="D356" s="3" t="s">
        <v>1955</v>
      </c>
      <c r="E356" s="3" t="s">
        <v>1956</v>
      </c>
      <c r="F356" s="5" t="str">
        <f t="shared" si="2"/>
        <v>Duskull</v>
      </c>
      <c r="G356" s="5" t="str">
        <f t="shared" si="3"/>
        <v>Duskull</v>
      </c>
      <c r="H356" s="3" t="s">
        <v>1957</v>
      </c>
      <c r="I356" s="3" t="s">
        <v>1958</v>
      </c>
      <c r="J356" s="5" t="str">
        <f>IFERROR(__xludf.DUMMYFUNCTION("GOOGLETRANSLATE(I356,""zh_HANT"",""zh_HANS"")"),"夜巡灵")</f>
        <v>夜巡灵</v>
      </c>
    </row>
    <row r="357">
      <c r="A357" s="3" t="str">
        <f t="shared" si="69"/>
        <v>NAME_PkMn_DUSCLOPS</v>
      </c>
      <c r="B357" s="3" t="s">
        <v>1959</v>
      </c>
      <c r="C357" s="3" t="s">
        <v>1960</v>
      </c>
      <c r="D357" s="3" t="s">
        <v>1961</v>
      </c>
      <c r="E357" s="3" t="s">
        <v>1962</v>
      </c>
      <c r="F357" s="5" t="str">
        <f t="shared" si="2"/>
        <v>Dusclops</v>
      </c>
      <c r="G357" s="5" t="str">
        <f t="shared" si="3"/>
        <v>Dusclops</v>
      </c>
      <c r="H357" s="3" t="s">
        <v>1963</v>
      </c>
      <c r="I357" s="3" t="s">
        <v>1964</v>
      </c>
      <c r="J357" s="5" t="str">
        <f>IFERROR(__xludf.DUMMYFUNCTION("GOOGLETRANSLATE(I357,""zh_HANT"",""zh_HANS"")"),"彷徨夜灵")</f>
        <v>彷徨夜灵</v>
      </c>
    </row>
    <row r="358">
      <c r="A358" s="3" t="str">
        <f t="shared" si="69"/>
        <v>NAME_PkMn_TROPIUS</v>
      </c>
      <c r="B358" s="3" t="s">
        <v>1965</v>
      </c>
      <c r="C358" s="3" t="s">
        <v>1966</v>
      </c>
      <c r="D358" s="5" t="str">
        <f>B358</f>
        <v>Tropius</v>
      </c>
      <c r="E358" s="3" t="s">
        <v>1965</v>
      </c>
      <c r="F358" s="5" t="str">
        <f t="shared" si="2"/>
        <v>Tropius</v>
      </c>
      <c r="G358" s="5" t="str">
        <f t="shared" si="3"/>
        <v>Tropius</v>
      </c>
      <c r="H358" s="3" t="s">
        <v>1967</v>
      </c>
      <c r="I358" s="3" t="s">
        <v>1968</v>
      </c>
      <c r="J358" s="5" t="str">
        <f>IFERROR(__xludf.DUMMYFUNCTION("GOOGLETRANSLATE(I358,""zh_HANT"",""zh_HANS"")"),"热带龙")</f>
        <v>热带龙</v>
      </c>
    </row>
    <row r="359">
      <c r="A359" s="3" t="str">
        <f t="shared" si="69"/>
        <v>NAME_PkMn_CHIMECHO</v>
      </c>
      <c r="B359" s="3" t="s">
        <v>1969</v>
      </c>
      <c r="C359" s="3" t="s">
        <v>1970</v>
      </c>
      <c r="D359" s="3" t="s">
        <v>1971</v>
      </c>
      <c r="E359" s="3" t="s">
        <v>1972</v>
      </c>
      <c r="F359" s="5" t="str">
        <f t="shared" si="2"/>
        <v>Chimecho</v>
      </c>
      <c r="G359" s="5" t="str">
        <f t="shared" si="3"/>
        <v>Chimecho</v>
      </c>
      <c r="H359" s="3" t="s">
        <v>1973</v>
      </c>
      <c r="I359" s="3" t="s">
        <v>1974</v>
      </c>
      <c r="J359" s="5" t="str">
        <f>IFERROR(__xludf.DUMMYFUNCTION("GOOGLETRANSLATE(I359,""zh_HANT"",""zh_HANS"")"),"风铃铃")</f>
        <v>风铃铃</v>
      </c>
    </row>
    <row r="360">
      <c r="A360" s="3" t="str">
        <f t="shared" si="69"/>
        <v>NAME_PkMn_ABSOL</v>
      </c>
      <c r="B360" s="3" t="s">
        <v>1975</v>
      </c>
      <c r="C360" s="3" t="s">
        <v>1976</v>
      </c>
      <c r="D360" s="5" t="str">
        <f>B360</f>
        <v>Absol</v>
      </c>
      <c r="E360" s="3" t="s">
        <v>1975</v>
      </c>
      <c r="F360" s="5" t="str">
        <f t="shared" si="2"/>
        <v>Absol</v>
      </c>
      <c r="G360" s="5" t="str">
        <f t="shared" si="3"/>
        <v>Absol</v>
      </c>
      <c r="H360" s="3" t="s">
        <v>1977</v>
      </c>
      <c r="I360" s="5" t="str">
        <f>IFERROR(__xludf.DUMMYFUNCTION("GOOGLETRANSLATE(J360,""zh_HANS"",""zh_HANT"")"),"阿勃梭魯")</f>
        <v>阿勃梭魯</v>
      </c>
      <c r="J360" s="3" t="s">
        <v>1978</v>
      </c>
    </row>
    <row r="361">
      <c r="A361" s="3" t="str">
        <f t="shared" si="69"/>
        <v>NAME_PkMn_WYNAUT</v>
      </c>
      <c r="B361" s="3" t="s">
        <v>1979</v>
      </c>
      <c r="C361" s="3" t="s">
        <v>1980</v>
      </c>
      <c r="D361" s="3" t="s">
        <v>1981</v>
      </c>
      <c r="E361" s="3" t="s">
        <v>1982</v>
      </c>
      <c r="F361" s="5" t="str">
        <f t="shared" si="2"/>
        <v>Wynaut</v>
      </c>
      <c r="G361" s="5" t="str">
        <f t="shared" si="3"/>
        <v>Wynaut</v>
      </c>
      <c r="H361" s="3" t="s">
        <v>1983</v>
      </c>
      <c r="I361" s="3" t="s">
        <v>1984</v>
      </c>
      <c r="J361" s="5" t="str">
        <f t="shared" ref="J361:J362" si="85">I361</f>
        <v>小果然</v>
      </c>
    </row>
    <row r="362">
      <c r="A362" s="3" t="str">
        <f t="shared" si="69"/>
        <v>NAME_PkMn_SNORUNT</v>
      </c>
      <c r="B362" s="3" t="s">
        <v>1985</v>
      </c>
      <c r="C362" s="3" t="s">
        <v>1986</v>
      </c>
      <c r="D362" s="3" t="s">
        <v>1987</v>
      </c>
      <c r="E362" s="3" t="s">
        <v>1988</v>
      </c>
      <c r="F362" s="5" t="str">
        <f t="shared" si="2"/>
        <v>Snorunt</v>
      </c>
      <c r="G362" s="5" t="str">
        <f t="shared" si="3"/>
        <v>Snorunt</v>
      </c>
      <c r="H362" s="3" t="s">
        <v>1989</v>
      </c>
      <c r="I362" s="3" t="s">
        <v>1990</v>
      </c>
      <c r="J362" s="5" t="str">
        <f t="shared" si="85"/>
        <v>雪童子</v>
      </c>
    </row>
    <row r="363">
      <c r="A363" s="3" t="str">
        <f t="shared" si="69"/>
        <v>NAME_PkMn_GLALIE</v>
      </c>
      <c r="B363" s="3" t="s">
        <v>1991</v>
      </c>
      <c r="C363" s="3" t="s">
        <v>1992</v>
      </c>
      <c r="D363" s="3" t="s">
        <v>1993</v>
      </c>
      <c r="E363" s="3" t="s">
        <v>1994</v>
      </c>
      <c r="F363" s="5" t="str">
        <f t="shared" si="2"/>
        <v>Glalie</v>
      </c>
      <c r="G363" s="5" t="str">
        <f t="shared" si="3"/>
        <v>Glalie</v>
      </c>
      <c r="H363" s="3" t="s">
        <v>1995</v>
      </c>
      <c r="I363" s="5" t="str">
        <f>IFERROR(__xludf.DUMMYFUNCTION("GOOGLETRANSLATE(J363,""zh_HANS"",""zh_HANT"")"),"冰鬼護")</f>
        <v>冰鬼護</v>
      </c>
      <c r="J363" s="3" t="s">
        <v>1996</v>
      </c>
    </row>
    <row r="364">
      <c r="A364" s="3" t="str">
        <f t="shared" si="69"/>
        <v>NAME_PkMn_SPHEAL</v>
      </c>
      <c r="B364" s="3" t="s">
        <v>1997</v>
      </c>
      <c r="C364" s="3" t="s">
        <v>1998</v>
      </c>
      <c r="D364" s="3" t="s">
        <v>1999</v>
      </c>
      <c r="E364" s="3" t="s">
        <v>2000</v>
      </c>
      <c r="F364" s="5" t="str">
        <f t="shared" si="2"/>
        <v>Spheal</v>
      </c>
      <c r="G364" s="5" t="str">
        <f t="shared" si="3"/>
        <v>Spheal</v>
      </c>
      <c r="H364" s="3" t="s">
        <v>2001</v>
      </c>
      <c r="I364" s="3" t="s">
        <v>2002</v>
      </c>
      <c r="J364" s="5" t="str">
        <f>I364</f>
        <v>海豹球</v>
      </c>
    </row>
    <row r="365">
      <c r="A365" s="3" t="str">
        <f t="shared" si="69"/>
        <v>NAME_PkMn_SEALEO</v>
      </c>
      <c r="B365" s="3" t="s">
        <v>2003</v>
      </c>
      <c r="C365" s="3" t="s">
        <v>2004</v>
      </c>
      <c r="D365" s="3" t="s">
        <v>2005</v>
      </c>
      <c r="E365" s="3" t="s">
        <v>2006</v>
      </c>
      <c r="F365" s="5" t="str">
        <f t="shared" si="2"/>
        <v>Sealeo</v>
      </c>
      <c r="G365" s="5" t="str">
        <f t="shared" si="3"/>
        <v>Sealeo</v>
      </c>
      <c r="H365" s="3" t="s">
        <v>2007</v>
      </c>
      <c r="I365" s="3" t="s">
        <v>2008</v>
      </c>
      <c r="J365" s="5" t="str">
        <f>IFERROR(__xludf.DUMMYFUNCTION("GOOGLETRANSLATE(I365,""zh_HANT"",""zh_HANS"")"),"海魔狮")</f>
        <v>海魔狮</v>
      </c>
    </row>
    <row r="366">
      <c r="A366" s="3" t="str">
        <f t="shared" si="69"/>
        <v>NAME_PkMn_WALREIN</v>
      </c>
      <c r="B366" s="3" t="s">
        <v>2009</v>
      </c>
      <c r="C366" s="3" t="s">
        <v>2010</v>
      </c>
      <c r="D366" s="3" t="s">
        <v>2011</v>
      </c>
      <c r="E366" s="3" t="s">
        <v>2012</v>
      </c>
      <c r="F366" s="5" t="str">
        <f t="shared" si="2"/>
        <v>Walrein</v>
      </c>
      <c r="G366" s="5" t="str">
        <f t="shared" si="3"/>
        <v>Walrein</v>
      </c>
      <c r="H366" s="3" t="s">
        <v>2013</v>
      </c>
      <c r="I366" s="3" t="s">
        <v>2014</v>
      </c>
      <c r="J366" s="5" t="str">
        <f>IFERROR(__xludf.DUMMYFUNCTION("GOOGLETRANSLATE(I366,""zh_HANT"",""zh_HANS"")"),"帝牙海狮")</f>
        <v>帝牙海狮</v>
      </c>
    </row>
    <row r="367">
      <c r="A367" s="3" t="str">
        <f t="shared" si="69"/>
        <v>NAME_PkMn_CLAMPERL</v>
      </c>
      <c r="B367" s="3" t="s">
        <v>2015</v>
      </c>
      <c r="C367" s="3" t="s">
        <v>2016</v>
      </c>
      <c r="D367" s="3" t="s">
        <v>2017</v>
      </c>
      <c r="E367" s="3" t="s">
        <v>2018</v>
      </c>
      <c r="F367" s="5" t="str">
        <f t="shared" si="2"/>
        <v>Clamperl</v>
      </c>
      <c r="G367" s="5" t="str">
        <f t="shared" si="3"/>
        <v>Clamperl</v>
      </c>
      <c r="H367" s="3" t="s">
        <v>2019</v>
      </c>
      <c r="I367" s="3" t="s">
        <v>2020</v>
      </c>
      <c r="J367" s="5" t="str">
        <f>I367</f>
        <v>珍珠貝</v>
      </c>
    </row>
    <row r="368">
      <c r="A368" s="3" t="str">
        <f t="shared" si="69"/>
        <v>NAME_PkMn_HUNTAIL</v>
      </c>
      <c r="B368" s="3" t="s">
        <v>2021</v>
      </c>
      <c r="C368" s="3" t="s">
        <v>2022</v>
      </c>
      <c r="D368" s="3" t="s">
        <v>2023</v>
      </c>
      <c r="E368" s="3" t="s">
        <v>2024</v>
      </c>
      <c r="F368" s="5" t="str">
        <f t="shared" si="2"/>
        <v>Huntail</v>
      </c>
      <c r="G368" s="5" t="str">
        <f t="shared" si="3"/>
        <v>Huntail</v>
      </c>
      <c r="H368" s="3" t="s">
        <v>2025</v>
      </c>
      <c r="I368" s="3" t="s">
        <v>2026</v>
      </c>
      <c r="J368" s="5" t="str">
        <f>IFERROR(__xludf.DUMMYFUNCTION("GOOGLETRANSLATE(I368,""zh_HANT"",""zh_HANS"")"),"猎斑鱼")</f>
        <v>猎斑鱼</v>
      </c>
    </row>
    <row r="369">
      <c r="A369" s="3" t="str">
        <f t="shared" si="69"/>
        <v>NAME_PkMn_GOREBYSS</v>
      </c>
      <c r="B369" s="3" t="s">
        <v>2027</v>
      </c>
      <c r="C369" s="3" t="s">
        <v>2028</v>
      </c>
      <c r="D369" s="3" t="s">
        <v>2029</v>
      </c>
      <c r="E369" s="3" t="s">
        <v>2030</v>
      </c>
      <c r="F369" s="5" t="str">
        <f t="shared" si="2"/>
        <v>Gorebyss</v>
      </c>
      <c r="G369" s="5" t="str">
        <f t="shared" si="3"/>
        <v>Gorebyss</v>
      </c>
      <c r="H369" s="3" t="s">
        <v>2031</v>
      </c>
      <c r="I369" s="3" t="s">
        <v>2032</v>
      </c>
      <c r="J369" s="5" t="str">
        <f>IFERROR(__xludf.DUMMYFUNCTION("GOOGLETRANSLATE(I369,""zh_HANT"",""zh_HANS"")"),"樱花鱼")</f>
        <v>樱花鱼</v>
      </c>
    </row>
    <row r="370">
      <c r="A370" s="3" t="str">
        <f t="shared" si="69"/>
        <v>NAME_PkMn_RELICANTH</v>
      </c>
      <c r="B370" s="3" t="s">
        <v>2033</v>
      </c>
      <c r="C370" s="3" t="s">
        <v>2034</v>
      </c>
      <c r="D370" s="5" t="str">
        <f>B370</f>
        <v>Relicanth</v>
      </c>
      <c r="E370" s="3" t="s">
        <v>2033</v>
      </c>
      <c r="F370" s="5" t="str">
        <f t="shared" si="2"/>
        <v>Relicanth</v>
      </c>
      <c r="G370" s="5" t="str">
        <f t="shared" si="3"/>
        <v>Relicanth</v>
      </c>
      <c r="H370" s="3" t="s">
        <v>2035</v>
      </c>
      <c r="I370" s="3" t="s">
        <v>2036</v>
      </c>
      <c r="J370" s="5" t="str">
        <f>IFERROR(__xludf.DUMMYFUNCTION("GOOGLETRANSLATE(I370,""zh_HANT"",""zh_HANS"")"),"古空棘鱼")</f>
        <v>古空棘鱼</v>
      </c>
    </row>
    <row r="371">
      <c r="A371" s="3" t="str">
        <f t="shared" si="69"/>
        <v>NAME_PkMn_LUVDISC</v>
      </c>
      <c r="B371" s="3" t="s">
        <v>2037</v>
      </c>
      <c r="C371" s="3" t="s">
        <v>2038</v>
      </c>
      <c r="D371" s="3" t="s">
        <v>2039</v>
      </c>
      <c r="E371" s="3" t="s">
        <v>2040</v>
      </c>
      <c r="F371" s="5" t="str">
        <f t="shared" si="2"/>
        <v>Luvdisc</v>
      </c>
      <c r="G371" s="5" t="str">
        <f t="shared" si="3"/>
        <v>Luvdisc</v>
      </c>
      <c r="H371" s="3" t="s">
        <v>2041</v>
      </c>
      <c r="I371" s="3" t="s">
        <v>2042</v>
      </c>
      <c r="J371" s="5" t="str">
        <f>IFERROR(__xludf.DUMMYFUNCTION("GOOGLETRANSLATE(I371,""zh_HANT"",""zh_HANS"")"),"爱心鱼")</f>
        <v>爱心鱼</v>
      </c>
    </row>
    <row r="372">
      <c r="A372" s="3" t="str">
        <f t="shared" si="69"/>
        <v>NAME_PkMn_BAGON</v>
      </c>
      <c r="B372" s="3" t="s">
        <v>2043</v>
      </c>
      <c r="C372" s="3" t="s">
        <v>2044</v>
      </c>
      <c r="D372" s="3" t="s">
        <v>2045</v>
      </c>
      <c r="E372" s="3" t="s">
        <v>2046</v>
      </c>
      <c r="F372" s="5" t="str">
        <f t="shared" si="2"/>
        <v>Bagon</v>
      </c>
      <c r="G372" s="5" t="str">
        <f t="shared" si="3"/>
        <v>Bagon</v>
      </c>
      <c r="H372" s="3" t="s">
        <v>2047</v>
      </c>
      <c r="I372" s="3" t="s">
        <v>2048</v>
      </c>
      <c r="J372" s="5" t="str">
        <f>IFERROR(__xludf.DUMMYFUNCTION("GOOGLETRANSLATE(I372,""zh_HANT"",""zh_HANS"")"),"宝贝龙")</f>
        <v>宝贝龙</v>
      </c>
    </row>
    <row r="373">
      <c r="A373" s="3" t="str">
        <f t="shared" si="69"/>
        <v>NAME_PkMn_SHELGON</v>
      </c>
      <c r="B373" s="3" t="s">
        <v>2049</v>
      </c>
      <c r="C373" s="3" t="s">
        <v>2050</v>
      </c>
      <c r="D373" s="3" t="s">
        <v>2051</v>
      </c>
      <c r="E373" s="3" t="s">
        <v>2052</v>
      </c>
      <c r="F373" s="5" t="str">
        <f t="shared" si="2"/>
        <v>Shelgon</v>
      </c>
      <c r="G373" s="5" t="str">
        <f t="shared" si="3"/>
        <v>Shelgon</v>
      </c>
      <c r="H373" s="3" t="s">
        <v>2053</v>
      </c>
      <c r="I373" s="3" t="s">
        <v>2054</v>
      </c>
      <c r="J373" s="5" t="str">
        <f>IFERROR(__xludf.DUMMYFUNCTION("GOOGLETRANSLATE(I373,""zh_HANT"",""zh_HANS"")"),"甲壳龙")</f>
        <v>甲壳龙</v>
      </c>
    </row>
    <row r="374">
      <c r="A374" s="3" t="str">
        <f t="shared" si="69"/>
        <v>NAME_PkMn_SALAMENCE</v>
      </c>
      <c r="B374" s="3" t="s">
        <v>2055</v>
      </c>
      <c r="C374" s="3" t="s">
        <v>2056</v>
      </c>
      <c r="D374" s="3" t="s">
        <v>2057</v>
      </c>
      <c r="E374" s="3" t="s">
        <v>2058</v>
      </c>
      <c r="F374" s="5" t="str">
        <f t="shared" si="2"/>
        <v>Salamence</v>
      </c>
      <c r="G374" s="5" t="str">
        <f t="shared" si="3"/>
        <v>Salamence</v>
      </c>
      <c r="H374" s="3" t="s">
        <v>2059</v>
      </c>
      <c r="I374" s="5" t="str">
        <f>IFERROR(__xludf.DUMMYFUNCTION("GOOGLETRANSLATE(J374,""zh_HANS"",""zh_HANT"")"),"暴飛龍")</f>
        <v>暴飛龍</v>
      </c>
      <c r="J374" s="3" t="s">
        <v>2060</v>
      </c>
    </row>
    <row r="375">
      <c r="A375" s="3" t="str">
        <f t="shared" si="69"/>
        <v>NAME_PkMn_BELDUM</v>
      </c>
      <c r="B375" s="3" t="s">
        <v>2061</v>
      </c>
      <c r="C375" s="3" t="s">
        <v>2062</v>
      </c>
      <c r="D375" s="3" t="s">
        <v>2063</v>
      </c>
      <c r="E375" s="3" t="s">
        <v>2064</v>
      </c>
      <c r="F375" s="5" t="str">
        <f t="shared" si="2"/>
        <v>Beldum</v>
      </c>
      <c r="G375" s="5" t="str">
        <f t="shared" si="3"/>
        <v>Beldum</v>
      </c>
      <c r="H375" s="3" t="s">
        <v>2065</v>
      </c>
      <c r="I375" s="3" t="s">
        <v>2066</v>
      </c>
      <c r="J375" s="5" t="str">
        <f>IFERROR(__xludf.DUMMYFUNCTION("GOOGLETRANSLATE(I375,""zh_HANT"",""zh_HANS"")"),"铁哑铃")</f>
        <v>铁哑铃</v>
      </c>
    </row>
    <row r="376">
      <c r="A376" s="3" t="str">
        <f t="shared" si="69"/>
        <v>NAME_PkMn_METANG</v>
      </c>
      <c r="B376" s="3" t="s">
        <v>2067</v>
      </c>
      <c r="C376" s="3" t="s">
        <v>2068</v>
      </c>
      <c r="D376" s="3" t="s">
        <v>2069</v>
      </c>
      <c r="E376" s="5" t="str">
        <f t="shared" ref="E376:E387" si="86">B376</f>
        <v>Metang</v>
      </c>
      <c r="F376" s="5" t="str">
        <f t="shared" si="2"/>
        <v>Metang</v>
      </c>
      <c r="G376" s="5" t="str">
        <f t="shared" si="3"/>
        <v>Metang</v>
      </c>
      <c r="H376" s="3" t="s">
        <v>2070</v>
      </c>
      <c r="I376" s="3" t="s">
        <v>2071</v>
      </c>
      <c r="J376" s="5" t="str">
        <f>IFERROR(__xludf.DUMMYFUNCTION("GOOGLETRANSLATE(I376,""zh_HANT"",""zh_HANS"")"),"金属怪")</f>
        <v>金属怪</v>
      </c>
    </row>
    <row r="377">
      <c r="A377" s="3" t="str">
        <f t="shared" si="69"/>
        <v>NAME_PkMn_METAGROSS</v>
      </c>
      <c r="B377" s="3" t="s">
        <v>2072</v>
      </c>
      <c r="C377" s="3" t="s">
        <v>2073</v>
      </c>
      <c r="D377" s="3" t="s">
        <v>2074</v>
      </c>
      <c r="E377" s="5" t="str">
        <f t="shared" si="86"/>
        <v>Metagross</v>
      </c>
      <c r="F377" s="5" t="str">
        <f t="shared" si="2"/>
        <v>Metagross</v>
      </c>
      <c r="G377" s="5" t="str">
        <f t="shared" si="3"/>
        <v>Metagross</v>
      </c>
      <c r="H377" s="3" t="s">
        <v>2075</v>
      </c>
      <c r="I377" s="5" t="str">
        <f>J377</f>
        <v>巨金怪</v>
      </c>
      <c r="J377" s="3" t="s">
        <v>2076</v>
      </c>
    </row>
    <row r="378">
      <c r="A378" s="3" t="str">
        <f t="shared" si="69"/>
        <v>NAME_PkMn_REGIROCK</v>
      </c>
      <c r="B378" s="3" t="s">
        <v>2077</v>
      </c>
      <c r="C378" s="3" t="s">
        <v>2078</v>
      </c>
      <c r="D378" s="5" t="str">
        <f t="shared" ref="D378:D387" si="87">B378</f>
        <v>Regirock</v>
      </c>
      <c r="E378" s="5" t="str">
        <f t="shared" si="86"/>
        <v>Regirock</v>
      </c>
      <c r="F378" s="5" t="str">
        <f t="shared" si="2"/>
        <v>Regirock</v>
      </c>
      <c r="G378" s="5" t="str">
        <f t="shared" si="3"/>
        <v>Regirock</v>
      </c>
      <c r="H378" s="3" t="s">
        <v>2079</v>
      </c>
      <c r="I378" s="3" t="s">
        <v>2080</v>
      </c>
      <c r="J378" s="5" t="str">
        <f t="shared" ref="J378:J379" si="88">I378</f>
        <v>雷吉洛克</v>
      </c>
    </row>
    <row r="379">
      <c r="A379" s="3" t="str">
        <f t="shared" si="69"/>
        <v>NAME_PkMn_REGICE</v>
      </c>
      <c r="B379" s="3" t="s">
        <v>2081</v>
      </c>
      <c r="C379" s="3" t="s">
        <v>2082</v>
      </c>
      <c r="D379" s="5" t="str">
        <f t="shared" si="87"/>
        <v>Regice</v>
      </c>
      <c r="E379" s="5" t="str">
        <f t="shared" si="86"/>
        <v>Regice</v>
      </c>
      <c r="F379" s="5" t="str">
        <f t="shared" si="2"/>
        <v>Regice</v>
      </c>
      <c r="G379" s="5" t="str">
        <f t="shared" si="3"/>
        <v>Regice</v>
      </c>
      <c r="H379" s="3" t="s">
        <v>2083</v>
      </c>
      <c r="I379" s="3" t="s">
        <v>2084</v>
      </c>
      <c r="J379" s="5" t="str">
        <f t="shared" si="88"/>
        <v>雷吉艾斯</v>
      </c>
    </row>
    <row r="380">
      <c r="A380" s="3" t="str">
        <f t="shared" si="69"/>
        <v>NAME_PkMn_REGISTEEL</v>
      </c>
      <c r="B380" s="3" t="s">
        <v>2085</v>
      </c>
      <c r="C380" s="3" t="s">
        <v>2086</v>
      </c>
      <c r="D380" s="5" t="str">
        <f t="shared" si="87"/>
        <v>Registeel</v>
      </c>
      <c r="E380" s="5" t="str">
        <f t="shared" si="86"/>
        <v>Registeel</v>
      </c>
      <c r="F380" s="5" t="str">
        <f t="shared" si="2"/>
        <v>Registeel</v>
      </c>
      <c r="G380" s="5" t="str">
        <f t="shared" si="3"/>
        <v>Registeel</v>
      </c>
      <c r="H380" s="3" t="s">
        <v>2087</v>
      </c>
      <c r="I380" s="3" t="s">
        <v>2088</v>
      </c>
      <c r="J380" s="5" t="str">
        <f>IFERROR(__xludf.DUMMYFUNCTION("GOOGLETRANSLATE(I380,""zh_HANT"",""zh_HANS"")"),"雷吉斯奇鲁")</f>
        <v>雷吉斯奇鲁</v>
      </c>
    </row>
    <row r="381">
      <c r="A381" s="3" t="str">
        <f t="shared" si="69"/>
        <v>NAME_PkMn_LATIAS</v>
      </c>
      <c r="B381" s="3" t="s">
        <v>2089</v>
      </c>
      <c r="C381" s="3" t="s">
        <v>2090</v>
      </c>
      <c r="D381" s="5" t="str">
        <f t="shared" si="87"/>
        <v>Latias</v>
      </c>
      <c r="E381" s="5" t="str">
        <f t="shared" si="86"/>
        <v>Latias</v>
      </c>
      <c r="F381" s="5" t="str">
        <f t="shared" si="2"/>
        <v>Latias</v>
      </c>
      <c r="G381" s="5" t="str">
        <f t="shared" si="3"/>
        <v>Latias</v>
      </c>
      <c r="H381" s="3" t="s">
        <v>2091</v>
      </c>
      <c r="I381" s="5" t="str">
        <f>IFERROR(__xludf.DUMMYFUNCTION("GOOGLETRANSLATE(J381,""zh_HANS"",""zh_HANT"")"),"拉帝亞斯")</f>
        <v>拉帝亞斯</v>
      </c>
      <c r="J381" s="7" t="s">
        <v>2092</v>
      </c>
    </row>
    <row r="382">
      <c r="A382" s="3" t="str">
        <f t="shared" si="69"/>
        <v>NAME_PkMn_LATIOS</v>
      </c>
      <c r="B382" s="3" t="s">
        <v>2093</v>
      </c>
      <c r="C382" s="3" t="s">
        <v>2094</v>
      </c>
      <c r="D382" s="5" t="str">
        <f t="shared" si="87"/>
        <v>Latios</v>
      </c>
      <c r="E382" s="5" t="str">
        <f t="shared" si="86"/>
        <v>Latios</v>
      </c>
      <c r="F382" s="5" t="str">
        <f t="shared" si="2"/>
        <v>Latios</v>
      </c>
      <c r="G382" s="5" t="str">
        <f t="shared" si="3"/>
        <v>Latios</v>
      </c>
      <c r="H382" s="3" t="s">
        <v>2095</v>
      </c>
      <c r="I382" s="5" t="str">
        <f>IFERROR(__xludf.DUMMYFUNCTION("GOOGLETRANSLATE(J382,""zh_HANS"",""zh_HANT"")"),"拉帝歐斯")</f>
        <v>拉帝歐斯</v>
      </c>
      <c r="J382" s="7" t="s">
        <v>2096</v>
      </c>
    </row>
    <row r="383">
      <c r="A383" s="3" t="str">
        <f t="shared" si="69"/>
        <v>NAME_PkMn_KYOGRE</v>
      </c>
      <c r="B383" s="3" t="s">
        <v>2097</v>
      </c>
      <c r="C383" s="3" t="s">
        <v>2098</v>
      </c>
      <c r="D383" s="5" t="str">
        <f t="shared" si="87"/>
        <v>Kyogre</v>
      </c>
      <c r="E383" s="5" t="str">
        <f t="shared" si="86"/>
        <v>Kyogre</v>
      </c>
      <c r="F383" s="5" t="str">
        <f t="shared" si="2"/>
        <v>Kyogre</v>
      </c>
      <c r="G383" s="5" t="str">
        <f t="shared" si="3"/>
        <v>Kyogre</v>
      </c>
      <c r="H383" s="3" t="s">
        <v>2099</v>
      </c>
      <c r="I383" s="3" t="s">
        <v>2100</v>
      </c>
      <c r="J383" s="5" t="str">
        <f>IFERROR(__xludf.DUMMYFUNCTION("GOOGLETRANSLATE(I383,""zh_HANT"",""zh_HANS"")"),"盖欧卡")</f>
        <v>盖欧卡</v>
      </c>
    </row>
    <row r="384">
      <c r="A384" s="3" t="str">
        <f t="shared" si="69"/>
        <v>NAME_PkMn_GROUDON</v>
      </c>
      <c r="B384" s="3" t="s">
        <v>2101</v>
      </c>
      <c r="C384" s="3" t="s">
        <v>2102</v>
      </c>
      <c r="D384" s="5" t="str">
        <f t="shared" si="87"/>
        <v>Groudon</v>
      </c>
      <c r="E384" s="5" t="str">
        <f t="shared" si="86"/>
        <v>Groudon</v>
      </c>
      <c r="F384" s="5" t="str">
        <f t="shared" si="2"/>
        <v>Groudon</v>
      </c>
      <c r="G384" s="5" t="str">
        <f t="shared" si="3"/>
        <v>Groudon</v>
      </c>
      <c r="H384" s="3" t="s">
        <v>2103</v>
      </c>
      <c r="I384" s="3" t="s">
        <v>2104</v>
      </c>
      <c r="J384" s="5" t="str">
        <f t="shared" ref="J384:J386" si="89">I384</f>
        <v>固拉多</v>
      </c>
    </row>
    <row r="385">
      <c r="A385" s="3" t="str">
        <f t="shared" si="69"/>
        <v>NAME_PkMn_RAYQUAZA</v>
      </c>
      <c r="B385" s="3" t="s">
        <v>2105</v>
      </c>
      <c r="C385" s="3" t="s">
        <v>2106</v>
      </c>
      <c r="D385" s="5" t="str">
        <f t="shared" si="87"/>
        <v>Rayquaza</v>
      </c>
      <c r="E385" s="5" t="str">
        <f t="shared" si="86"/>
        <v>Rayquaza</v>
      </c>
      <c r="F385" s="5" t="str">
        <f t="shared" si="2"/>
        <v>Rayquaza</v>
      </c>
      <c r="G385" s="5" t="str">
        <f t="shared" si="3"/>
        <v>Rayquaza</v>
      </c>
      <c r="H385" s="3" t="s">
        <v>2107</v>
      </c>
      <c r="I385" s="3" t="s">
        <v>2108</v>
      </c>
      <c r="J385" s="5" t="str">
        <f t="shared" si="89"/>
        <v>烈空坐</v>
      </c>
    </row>
    <row r="386">
      <c r="A386" s="3" t="str">
        <f t="shared" si="69"/>
        <v>NAME_PkMn_JIRACHI</v>
      </c>
      <c r="B386" s="3" t="s">
        <v>2109</v>
      </c>
      <c r="C386" s="3" t="s">
        <v>2110</v>
      </c>
      <c r="D386" s="5" t="str">
        <f t="shared" si="87"/>
        <v>Jirachi</v>
      </c>
      <c r="E386" s="5" t="str">
        <f t="shared" si="86"/>
        <v>Jirachi</v>
      </c>
      <c r="F386" s="5" t="str">
        <f t="shared" si="2"/>
        <v>Jirachi</v>
      </c>
      <c r="G386" s="5" t="str">
        <f t="shared" si="3"/>
        <v>Jirachi</v>
      </c>
      <c r="H386" s="3" t="s">
        <v>2111</v>
      </c>
      <c r="I386" s="3" t="s">
        <v>2112</v>
      </c>
      <c r="J386" s="5" t="str">
        <f t="shared" si="89"/>
        <v>基拉祈</v>
      </c>
    </row>
    <row r="387">
      <c r="A387" s="3" t="str">
        <f t="shared" si="69"/>
        <v>NAME_PkMn_DEOXYS</v>
      </c>
      <c r="B387" s="3" t="s">
        <v>2113</v>
      </c>
      <c r="C387" s="3" t="s">
        <v>2114</v>
      </c>
      <c r="D387" s="5" t="str">
        <f t="shared" si="87"/>
        <v>Deoxys</v>
      </c>
      <c r="E387" s="5" t="str">
        <f t="shared" si="86"/>
        <v>Deoxys</v>
      </c>
      <c r="F387" s="5" t="str">
        <f t="shared" si="2"/>
        <v>Deoxys</v>
      </c>
      <c r="G387" s="5" t="str">
        <f t="shared" si="3"/>
        <v>Deoxys</v>
      </c>
      <c r="H387" s="3" t="s">
        <v>2115</v>
      </c>
      <c r="I387" s="3" t="s">
        <v>2116</v>
      </c>
      <c r="J387" s="5" t="str">
        <f>IFERROR(__xludf.DUMMYFUNCTION("GOOGLETRANSLATE(I387,""zh_HANT"",""zh_HANS"")"),"代欧奇希斯")</f>
        <v>代欧奇希斯</v>
      </c>
    </row>
    <row r="388">
      <c r="A388" s="3" t="str">
        <f t="shared" si="69"/>
        <v>NAME_PkMn_TURTWIG</v>
      </c>
      <c r="B388" s="3" t="s">
        <v>2117</v>
      </c>
      <c r="C388" s="3" t="s">
        <v>2118</v>
      </c>
      <c r="D388" s="3" t="s">
        <v>2119</v>
      </c>
      <c r="E388" s="3" t="s">
        <v>2120</v>
      </c>
      <c r="F388" s="5" t="str">
        <f t="shared" si="2"/>
        <v>Turtwig</v>
      </c>
      <c r="G388" s="5" t="str">
        <f t="shared" si="3"/>
        <v>Turtwig</v>
      </c>
      <c r="H388" s="3" t="s">
        <v>2121</v>
      </c>
      <c r="I388" s="3" t="s">
        <v>2122</v>
      </c>
      <c r="J388" s="5" t="str">
        <f>IFERROR(__xludf.DUMMYFUNCTION("GOOGLETRANSLATE(I388,""zh_HANT"",""zh_HANS"")"),"草苗龟")</f>
        <v>草苗龟</v>
      </c>
    </row>
    <row r="389">
      <c r="A389" s="3" t="str">
        <f t="shared" si="69"/>
        <v>NAME_PkMn_GROTLE</v>
      </c>
      <c r="B389" s="3" t="s">
        <v>2123</v>
      </c>
      <c r="C389" s="3" t="s">
        <v>2124</v>
      </c>
      <c r="D389" s="3" t="s">
        <v>2125</v>
      </c>
      <c r="E389" s="3" t="s">
        <v>2126</v>
      </c>
      <c r="F389" s="5" t="str">
        <f t="shared" si="2"/>
        <v>Grotle</v>
      </c>
      <c r="G389" s="5" t="str">
        <f t="shared" si="3"/>
        <v>Grotle</v>
      </c>
      <c r="H389" s="3" t="s">
        <v>2127</v>
      </c>
      <c r="I389" s="3" t="s">
        <v>2128</v>
      </c>
      <c r="J389" s="5" t="str">
        <f>IFERROR(__xludf.DUMMYFUNCTION("GOOGLETRANSLATE(I389,""zh_HANT"",""zh_HANS"")"),"树林龟")</f>
        <v>树林龟</v>
      </c>
    </row>
    <row r="390">
      <c r="A390" s="3" t="str">
        <f t="shared" si="69"/>
        <v>NAME_PkMn_TORTERRA</v>
      </c>
      <c r="B390" s="3" t="s">
        <v>2129</v>
      </c>
      <c r="C390" s="3" t="s">
        <v>2130</v>
      </c>
      <c r="D390" s="5" t="str">
        <f>B390</f>
        <v>Torterra</v>
      </c>
      <c r="E390" s="3" t="s">
        <v>2131</v>
      </c>
      <c r="F390" s="5" t="str">
        <f t="shared" si="2"/>
        <v>Torterra</v>
      </c>
      <c r="G390" s="5" t="str">
        <f t="shared" si="3"/>
        <v>Torterra</v>
      </c>
      <c r="H390" s="3" t="s">
        <v>2132</v>
      </c>
      <c r="I390" s="3" t="s">
        <v>2133</v>
      </c>
      <c r="J390" s="5" t="str">
        <f>IFERROR(__xludf.DUMMYFUNCTION("GOOGLETRANSLATE(I390,""zh_HANT"",""zh_HANS"")"),"土台龟")</f>
        <v>土台龟</v>
      </c>
    </row>
    <row r="391">
      <c r="A391" s="3" t="str">
        <f t="shared" si="69"/>
        <v>NAME_PkMn_CHIMCHAR</v>
      </c>
      <c r="B391" s="3" t="s">
        <v>2134</v>
      </c>
      <c r="C391" s="3" t="s">
        <v>2135</v>
      </c>
      <c r="D391" s="3" t="s">
        <v>2136</v>
      </c>
      <c r="E391" s="3" t="s">
        <v>2137</v>
      </c>
      <c r="F391" s="5" t="str">
        <f t="shared" si="2"/>
        <v>Chimchar</v>
      </c>
      <c r="G391" s="5" t="str">
        <f t="shared" si="3"/>
        <v>Chimchar</v>
      </c>
      <c r="H391" s="3" t="s">
        <v>2138</v>
      </c>
      <c r="I391" s="3" t="s">
        <v>2139</v>
      </c>
      <c r="J391" s="5" t="str">
        <f t="shared" ref="J391:J396" si="90">I391</f>
        <v>小火焰猴</v>
      </c>
    </row>
    <row r="392">
      <c r="A392" s="3" t="str">
        <f t="shared" si="69"/>
        <v>NAME_PkMn_MONFERNO</v>
      </c>
      <c r="B392" s="3" t="s">
        <v>2140</v>
      </c>
      <c r="C392" s="3" t="s">
        <v>2141</v>
      </c>
      <c r="D392" s="3" t="s">
        <v>2142</v>
      </c>
      <c r="E392" s="3" t="s">
        <v>2143</v>
      </c>
      <c r="F392" s="5" t="str">
        <f t="shared" si="2"/>
        <v>Monferno</v>
      </c>
      <c r="G392" s="5" t="str">
        <f t="shared" si="3"/>
        <v>Monferno</v>
      </c>
      <c r="H392" s="3" t="s">
        <v>2144</v>
      </c>
      <c r="I392" s="3" t="s">
        <v>2145</v>
      </c>
      <c r="J392" s="5" t="str">
        <f t="shared" si="90"/>
        <v>猛火猴</v>
      </c>
    </row>
    <row r="393">
      <c r="A393" s="3" t="str">
        <f t="shared" si="69"/>
        <v>NAME_PkMn_INFERNAPE</v>
      </c>
      <c r="B393" s="3" t="s">
        <v>2146</v>
      </c>
      <c r="C393" s="3" t="s">
        <v>2147</v>
      </c>
      <c r="D393" s="3" t="s">
        <v>2148</v>
      </c>
      <c r="E393" s="3" t="s">
        <v>2149</v>
      </c>
      <c r="F393" s="5" t="str">
        <f t="shared" si="2"/>
        <v>Infernape</v>
      </c>
      <c r="G393" s="5" t="str">
        <f t="shared" si="3"/>
        <v>Infernape</v>
      </c>
      <c r="H393" s="3" t="s">
        <v>2150</v>
      </c>
      <c r="I393" s="3" t="s">
        <v>2151</v>
      </c>
      <c r="J393" s="5" t="str">
        <f t="shared" si="90"/>
        <v>烈焰猴</v>
      </c>
    </row>
    <row r="394">
      <c r="A394" s="3" t="str">
        <f t="shared" si="69"/>
        <v>NAME_PkMn_PIPLUP</v>
      </c>
      <c r="B394" s="3" t="s">
        <v>2152</v>
      </c>
      <c r="C394" s="3" t="s">
        <v>2153</v>
      </c>
      <c r="D394" s="3" t="s">
        <v>2154</v>
      </c>
      <c r="E394" s="3" t="s">
        <v>2155</v>
      </c>
      <c r="F394" s="5" t="str">
        <f t="shared" si="2"/>
        <v>Piplup</v>
      </c>
      <c r="G394" s="5" t="str">
        <f t="shared" si="3"/>
        <v>Piplup</v>
      </c>
      <c r="H394" s="3" t="s">
        <v>2156</v>
      </c>
      <c r="I394" s="3" t="s">
        <v>2157</v>
      </c>
      <c r="J394" s="5" t="str">
        <f t="shared" si="90"/>
        <v>波加曼</v>
      </c>
    </row>
    <row r="395">
      <c r="A395" s="3" t="str">
        <f t="shared" si="69"/>
        <v>NAME_PkMn_PRINPLUP</v>
      </c>
      <c r="B395" s="3" t="s">
        <v>2158</v>
      </c>
      <c r="C395" s="3" t="s">
        <v>2159</v>
      </c>
      <c r="D395" s="3" t="s">
        <v>2160</v>
      </c>
      <c r="E395" s="3" t="s">
        <v>2161</v>
      </c>
      <c r="F395" s="5" t="str">
        <f t="shared" si="2"/>
        <v>Prinplup</v>
      </c>
      <c r="G395" s="5" t="str">
        <f t="shared" si="3"/>
        <v>Prinplup</v>
      </c>
      <c r="H395" s="3" t="s">
        <v>2162</v>
      </c>
      <c r="I395" s="3" t="s">
        <v>2163</v>
      </c>
      <c r="J395" s="5" t="str">
        <f t="shared" si="90"/>
        <v>波皇子</v>
      </c>
    </row>
    <row r="396">
      <c r="A396" s="3" t="str">
        <f t="shared" si="69"/>
        <v>NAME_PkMn_EMPOLEON</v>
      </c>
      <c r="B396" s="3" t="s">
        <v>2164</v>
      </c>
      <c r="C396" s="3" t="s">
        <v>2165</v>
      </c>
      <c r="D396" s="3" t="s">
        <v>2166</v>
      </c>
      <c r="E396" s="3" t="s">
        <v>2167</v>
      </c>
      <c r="F396" s="5" t="str">
        <f t="shared" si="2"/>
        <v>Empoleon</v>
      </c>
      <c r="G396" s="5" t="str">
        <f t="shared" si="3"/>
        <v>Empoleon</v>
      </c>
      <c r="H396" s="3" t="s">
        <v>2168</v>
      </c>
      <c r="I396" s="3" t="s">
        <v>2169</v>
      </c>
      <c r="J396" s="5" t="str">
        <f t="shared" si="90"/>
        <v>帝王拿波</v>
      </c>
    </row>
    <row r="397">
      <c r="A397" s="3" t="str">
        <f t="shared" si="69"/>
        <v>NAME_PkMn_STARLY</v>
      </c>
      <c r="B397" s="3" t="s">
        <v>2170</v>
      </c>
      <c r="C397" s="3" t="s">
        <v>2171</v>
      </c>
      <c r="D397" s="3" t="s">
        <v>2172</v>
      </c>
      <c r="E397" s="3" t="s">
        <v>2173</v>
      </c>
      <c r="F397" s="5" t="str">
        <f t="shared" si="2"/>
        <v>Starly</v>
      </c>
      <c r="G397" s="5" t="str">
        <f t="shared" si="3"/>
        <v>Starly</v>
      </c>
      <c r="H397" s="3" t="s">
        <v>2174</v>
      </c>
      <c r="I397" s="3" t="s">
        <v>2175</v>
      </c>
      <c r="J397" s="5" t="str">
        <f>IFERROR(__xludf.DUMMYFUNCTION("GOOGLETRANSLATE(I397,""zh_HANT"",""zh_HANS"")"),"姆克儿")</f>
        <v>姆克儿</v>
      </c>
    </row>
    <row r="398">
      <c r="A398" s="3" t="str">
        <f t="shared" si="69"/>
        <v>NAME_PkMn_STARAVIA</v>
      </c>
      <c r="B398" s="3" t="s">
        <v>2176</v>
      </c>
      <c r="C398" s="3" t="s">
        <v>2177</v>
      </c>
      <c r="D398" s="3" t="s">
        <v>2178</v>
      </c>
      <c r="E398" s="5" t="str">
        <f t="shared" ref="E398:E399" si="91">B398</f>
        <v>Staravia</v>
      </c>
      <c r="F398" s="5" t="str">
        <f t="shared" si="2"/>
        <v>Staravia</v>
      </c>
      <c r="G398" s="5" t="str">
        <f t="shared" si="3"/>
        <v>Staravia</v>
      </c>
      <c r="H398" s="3" t="s">
        <v>2179</v>
      </c>
      <c r="I398" s="3" t="s">
        <v>2180</v>
      </c>
      <c r="J398" s="5" t="str">
        <f>IFERROR(__xludf.DUMMYFUNCTION("GOOGLETRANSLATE(I398,""zh_HANT"",""zh_HANS"")"),"姆克鸟")</f>
        <v>姆克鸟</v>
      </c>
    </row>
    <row r="399">
      <c r="A399" s="3" t="str">
        <f t="shared" si="69"/>
        <v>NAME_PkMn_STARAPTOR</v>
      </c>
      <c r="B399" s="3" t="s">
        <v>2181</v>
      </c>
      <c r="C399" s="3" t="s">
        <v>2182</v>
      </c>
      <c r="D399" s="3" t="s">
        <v>2183</v>
      </c>
      <c r="E399" s="5" t="str">
        <f t="shared" si="91"/>
        <v>Staraptor</v>
      </c>
      <c r="F399" s="5" t="str">
        <f t="shared" si="2"/>
        <v>Staraptor</v>
      </c>
      <c r="G399" s="5" t="str">
        <f t="shared" si="3"/>
        <v>Staraptor</v>
      </c>
      <c r="H399" s="3" t="s">
        <v>2184</v>
      </c>
      <c r="I399" s="3" t="s">
        <v>2185</v>
      </c>
      <c r="J399" s="5" t="str">
        <f>IFERROR(__xludf.DUMMYFUNCTION("GOOGLETRANSLATE(I399,""zh_HANT"",""zh_HANS"")"),"姆克鹰")</f>
        <v>姆克鹰</v>
      </c>
    </row>
    <row r="400">
      <c r="A400" s="3" t="str">
        <f t="shared" si="69"/>
        <v>NAME_PkMn_BIDOOF</v>
      </c>
      <c r="B400" s="3" t="s">
        <v>2186</v>
      </c>
      <c r="C400" s="3" t="s">
        <v>2187</v>
      </c>
      <c r="D400" s="3" t="s">
        <v>2188</v>
      </c>
      <c r="E400" s="3" t="s">
        <v>2189</v>
      </c>
      <c r="F400" s="5" t="str">
        <f t="shared" si="2"/>
        <v>Bidoof</v>
      </c>
      <c r="G400" s="5" t="str">
        <f t="shared" si="3"/>
        <v>Bidoof</v>
      </c>
      <c r="H400" s="3" t="s">
        <v>2190</v>
      </c>
      <c r="I400" s="3" t="s">
        <v>2191</v>
      </c>
      <c r="J400" s="5" t="str">
        <f t="shared" ref="J400:J401" si="92">I400</f>
        <v>大牙狸</v>
      </c>
    </row>
    <row r="401">
      <c r="A401" s="3" t="str">
        <f t="shared" si="69"/>
        <v>NAME_PkMn_BIBAREL</v>
      </c>
      <c r="B401" s="3" t="s">
        <v>2192</v>
      </c>
      <c r="C401" s="3" t="s">
        <v>2193</v>
      </c>
      <c r="D401" s="3" t="s">
        <v>2194</v>
      </c>
      <c r="E401" s="3" t="s">
        <v>2195</v>
      </c>
      <c r="F401" s="5" t="str">
        <f t="shared" si="2"/>
        <v>Bibarel</v>
      </c>
      <c r="G401" s="5" t="str">
        <f t="shared" si="3"/>
        <v>Bibarel</v>
      </c>
      <c r="H401" s="3" t="s">
        <v>2196</v>
      </c>
      <c r="I401" s="3" t="s">
        <v>2197</v>
      </c>
      <c r="J401" s="5" t="str">
        <f t="shared" si="92"/>
        <v>大尾狸</v>
      </c>
    </row>
    <row r="402">
      <c r="A402" s="3" t="str">
        <f t="shared" si="69"/>
        <v>NAME_PkMn_KRICKETOT</v>
      </c>
      <c r="B402" s="3" t="s">
        <v>2198</v>
      </c>
      <c r="C402" s="3" t="s">
        <v>2199</v>
      </c>
      <c r="D402" s="3" t="s">
        <v>2200</v>
      </c>
      <c r="E402" s="3" t="s">
        <v>2201</v>
      </c>
      <c r="F402" s="5" t="str">
        <f t="shared" si="2"/>
        <v>Kricketot</v>
      </c>
      <c r="G402" s="5" t="str">
        <f t="shared" si="3"/>
        <v>Kricketot</v>
      </c>
      <c r="H402" s="3" t="s">
        <v>2202</v>
      </c>
      <c r="I402" s="3" t="s">
        <v>2203</v>
      </c>
      <c r="J402" s="5" t="str">
        <f>IFERROR(__xludf.DUMMYFUNCTION("GOOGLETRANSLATE(I402,""zh_HANT"",""zh_HANS"")"),"圆法师")</f>
        <v>圆法师</v>
      </c>
    </row>
    <row r="403">
      <c r="A403" s="3" t="str">
        <f t="shared" si="69"/>
        <v>NAME_PkMn_KRICKETUNE</v>
      </c>
      <c r="B403" s="3" t="s">
        <v>2204</v>
      </c>
      <c r="C403" s="3" t="s">
        <v>2205</v>
      </c>
      <c r="D403" s="3" t="s">
        <v>2206</v>
      </c>
      <c r="E403" s="3" t="s">
        <v>2207</v>
      </c>
      <c r="F403" s="5" t="str">
        <f t="shared" si="2"/>
        <v>Kricketune</v>
      </c>
      <c r="G403" s="5" t="str">
        <f t="shared" si="3"/>
        <v>Kricketune</v>
      </c>
      <c r="H403" s="3" t="s">
        <v>2208</v>
      </c>
      <c r="I403" s="3" t="s">
        <v>2209</v>
      </c>
      <c r="J403" s="5" t="str">
        <f>I403</f>
        <v>音箱蟀</v>
      </c>
    </row>
    <row r="404">
      <c r="A404" s="3" t="str">
        <f t="shared" si="69"/>
        <v>NAME_PkMn_SHINX</v>
      </c>
      <c r="B404" s="3" t="s">
        <v>2210</v>
      </c>
      <c r="C404" s="3" t="s">
        <v>2211</v>
      </c>
      <c r="D404" s="3" t="s">
        <v>2212</v>
      </c>
      <c r="E404" s="3" t="s">
        <v>2213</v>
      </c>
      <c r="F404" s="5" t="str">
        <f t="shared" si="2"/>
        <v>Shinx</v>
      </c>
      <c r="G404" s="5" t="str">
        <f t="shared" si="3"/>
        <v>Shinx</v>
      </c>
      <c r="H404" s="3" t="s">
        <v>2214</v>
      </c>
      <c r="I404" s="3" t="s">
        <v>2215</v>
      </c>
      <c r="J404" s="5" t="str">
        <f>IFERROR(__xludf.DUMMYFUNCTION("GOOGLETRANSLATE(I404,""zh_HANT"",""zh_HANS"")"),"小猫怪")</f>
        <v>小猫怪</v>
      </c>
    </row>
    <row r="405">
      <c r="A405" s="3" t="str">
        <f t="shared" si="69"/>
        <v>NAME_PkMn_LUXIO</v>
      </c>
      <c r="B405" s="3" t="s">
        <v>2216</v>
      </c>
      <c r="C405" s="3" t="s">
        <v>2217</v>
      </c>
      <c r="D405" s="5" t="str">
        <f t="shared" ref="D405:D406" si="93">B405</f>
        <v>Luxio</v>
      </c>
      <c r="E405" s="5" t="str">
        <f>B405</f>
        <v>Luxio</v>
      </c>
      <c r="F405" s="5" t="str">
        <f t="shared" si="2"/>
        <v>Luxio</v>
      </c>
      <c r="G405" s="5" t="str">
        <f t="shared" si="3"/>
        <v>Luxio</v>
      </c>
      <c r="H405" s="3" t="s">
        <v>2218</v>
      </c>
      <c r="I405" s="3" t="s">
        <v>2219</v>
      </c>
      <c r="J405" s="5" t="str">
        <f>IFERROR(__xludf.DUMMYFUNCTION("GOOGLETRANSLATE(I405,""zh_HANT"",""zh_HANS"")"),"勒克猫")</f>
        <v>勒克猫</v>
      </c>
    </row>
    <row r="406">
      <c r="A406" s="3" t="str">
        <f t="shared" si="69"/>
        <v>NAME_PkMn_LUXRAY</v>
      </c>
      <c r="B406" s="3" t="s">
        <v>2220</v>
      </c>
      <c r="C406" s="3" t="s">
        <v>2221</v>
      </c>
      <c r="D406" s="5" t="str">
        <f t="shared" si="93"/>
        <v>Luxray</v>
      </c>
      <c r="E406" s="3" t="s">
        <v>2222</v>
      </c>
      <c r="F406" s="5" t="str">
        <f t="shared" si="2"/>
        <v>Luxray</v>
      </c>
      <c r="G406" s="5" t="str">
        <f t="shared" si="3"/>
        <v>Luxray</v>
      </c>
      <c r="H406" s="3" t="s">
        <v>2223</v>
      </c>
      <c r="I406" s="3" t="s">
        <v>2224</v>
      </c>
      <c r="J406" s="5" t="str">
        <f>IFERROR(__xludf.DUMMYFUNCTION("GOOGLETRANSLATE(I406,""zh_HANT"",""zh_HANS"")"),"伦琴猫")</f>
        <v>伦琴猫</v>
      </c>
    </row>
    <row r="407">
      <c r="A407" s="3" t="str">
        <f t="shared" si="69"/>
        <v>NAME_PkMn_BUDEW</v>
      </c>
      <c r="B407" s="3" t="s">
        <v>2225</v>
      </c>
      <c r="C407" s="3" t="s">
        <v>2226</v>
      </c>
      <c r="D407" s="3" t="s">
        <v>2227</v>
      </c>
      <c r="E407" s="3" t="s">
        <v>2228</v>
      </c>
      <c r="F407" s="5" t="str">
        <f t="shared" si="2"/>
        <v>Budew</v>
      </c>
      <c r="G407" s="5" t="str">
        <f t="shared" si="3"/>
        <v>Budew</v>
      </c>
      <c r="H407" s="3" t="s">
        <v>2229</v>
      </c>
      <c r="I407" s="3" t="s">
        <v>2230</v>
      </c>
      <c r="J407" s="5" t="str">
        <f>I407</f>
        <v>含羞苞</v>
      </c>
    </row>
    <row r="408">
      <c r="A408" s="3" t="str">
        <f t="shared" si="69"/>
        <v>NAME_PkMn_ROSERADE</v>
      </c>
      <c r="B408" s="3" t="s">
        <v>2231</v>
      </c>
      <c r="C408" s="3" t="s">
        <v>2232</v>
      </c>
      <c r="D408" s="5" t="str">
        <f>B408</f>
        <v>Roserade</v>
      </c>
      <c r="E408" s="5" t="str">
        <f>B408</f>
        <v>Roserade</v>
      </c>
      <c r="F408" s="5" t="str">
        <f t="shared" si="2"/>
        <v>Roserade</v>
      </c>
      <c r="G408" s="5" t="str">
        <f t="shared" si="3"/>
        <v>Roserade</v>
      </c>
      <c r="H408" s="3" t="s">
        <v>2233</v>
      </c>
      <c r="I408" s="3" t="s">
        <v>2234</v>
      </c>
      <c r="J408" s="5" t="str">
        <f>IFERROR(__xludf.DUMMYFUNCTION("GOOGLETRANSLATE(I408,""zh_HANT"",""zh_HANS"")"),"罗丝雷朵")</f>
        <v>罗丝雷朵</v>
      </c>
    </row>
    <row r="409">
      <c r="A409" s="3" t="str">
        <f t="shared" si="69"/>
        <v>NAME_PkMn_CRANIDOS</v>
      </c>
      <c r="B409" s="3" t="s">
        <v>2235</v>
      </c>
      <c r="C409" s="3" t="s">
        <v>2236</v>
      </c>
      <c r="D409" s="3" t="s">
        <v>2237</v>
      </c>
      <c r="E409" s="3" t="s">
        <v>2238</v>
      </c>
      <c r="F409" s="5" t="str">
        <f t="shared" si="2"/>
        <v>Cranidos</v>
      </c>
      <c r="G409" s="5" t="str">
        <f t="shared" si="3"/>
        <v>Cranidos</v>
      </c>
      <c r="H409" s="3" t="s">
        <v>2239</v>
      </c>
      <c r="I409" s="3" t="s">
        <v>2240</v>
      </c>
      <c r="J409" s="5" t="str">
        <f>IFERROR(__xludf.DUMMYFUNCTION("GOOGLETRANSLATE(I409,""zh_HANT"",""zh_HANS"")"),"头盖龙")</f>
        <v>头盖龙</v>
      </c>
    </row>
    <row r="410">
      <c r="A410" s="3" t="str">
        <f t="shared" si="69"/>
        <v>NAME_PkMn_RAMPARDOS</v>
      </c>
      <c r="B410" s="3" t="s">
        <v>2241</v>
      </c>
      <c r="C410" s="3" t="s">
        <v>2242</v>
      </c>
      <c r="D410" s="3" t="s">
        <v>2243</v>
      </c>
      <c r="E410" s="3" t="s">
        <v>2244</v>
      </c>
      <c r="F410" s="5" t="str">
        <f t="shared" si="2"/>
        <v>Rampardos</v>
      </c>
      <c r="G410" s="5" t="str">
        <f t="shared" si="3"/>
        <v>Rampardos</v>
      </c>
      <c r="H410" s="3" t="s">
        <v>2245</v>
      </c>
      <c r="I410" s="3" t="s">
        <v>2246</v>
      </c>
      <c r="J410" s="5" t="str">
        <f>IFERROR(__xludf.DUMMYFUNCTION("GOOGLETRANSLATE(I410,""zh_HANT"",""zh_HANS"")"),"战槌龙")</f>
        <v>战槌龙</v>
      </c>
    </row>
    <row r="411">
      <c r="A411" s="3" t="str">
        <f t="shared" si="69"/>
        <v>NAME_PkMn_SHIELDON</v>
      </c>
      <c r="B411" s="3" t="s">
        <v>2247</v>
      </c>
      <c r="C411" s="3" t="s">
        <v>2248</v>
      </c>
      <c r="D411" s="3" t="s">
        <v>2249</v>
      </c>
      <c r="E411" s="3" t="s">
        <v>2250</v>
      </c>
      <c r="F411" s="5" t="str">
        <f t="shared" si="2"/>
        <v>Shieldon</v>
      </c>
      <c r="G411" s="5" t="str">
        <f t="shared" si="3"/>
        <v>Shieldon</v>
      </c>
      <c r="H411" s="3" t="s">
        <v>2251</v>
      </c>
      <c r="I411" s="3" t="s">
        <v>2252</v>
      </c>
      <c r="J411" s="5" t="str">
        <f>IFERROR(__xludf.DUMMYFUNCTION("GOOGLETRANSLATE(I411,""zh_HANT"",""zh_HANS"")"),"盾甲龙")</f>
        <v>盾甲龙</v>
      </c>
    </row>
    <row r="412">
      <c r="A412" s="3" t="str">
        <f t="shared" si="69"/>
        <v>NAME_PkMn_BASTIODON</v>
      </c>
      <c r="B412" s="3" t="s">
        <v>2253</v>
      </c>
      <c r="C412" s="3" t="s">
        <v>2254</v>
      </c>
      <c r="D412" s="5" t="str">
        <f>B412</f>
        <v>Bastiodon</v>
      </c>
      <c r="E412" s="3" t="s">
        <v>2255</v>
      </c>
      <c r="F412" s="5" t="str">
        <f t="shared" si="2"/>
        <v>Bastiodon</v>
      </c>
      <c r="G412" s="5" t="str">
        <f t="shared" si="3"/>
        <v>Bastiodon</v>
      </c>
      <c r="H412" s="3" t="s">
        <v>2256</v>
      </c>
      <c r="I412" s="3" t="s">
        <v>2257</v>
      </c>
      <c r="J412" s="5" t="str">
        <f>IFERROR(__xludf.DUMMYFUNCTION("GOOGLETRANSLATE(I412,""zh_HANT"",""zh_HANS"")"),"护城龙")</f>
        <v>护城龙</v>
      </c>
    </row>
    <row r="413">
      <c r="A413" s="3" t="str">
        <f t="shared" si="69"/>
        <v>NAME_PkMn_BURMY</v>
      </c>
      <c r="B413" s="3" t="s">
        <v>2258</v>
      </c>
      <c r="C413" s="3" t="s">
        <v>2259</v>
      </c>
      <c r="D413" s="3" t="s">
        <v>2260</v>
      </c>
      <c r="E413" s="5" t="str">
        <f>B413</f>
        <v>Burmy</v>
      </c>
      <c r="F413" s="5" t="str">
        <f t="shared" si="2"/>
        <v>Burmy</v>
      </c>
      <c r="G413" s="5" t="str">
        <f t="shared" si="3"/>
        <v>Burmy</v>
      </c>
      <c r="H413" s="3" t="s">
        <v>2261</v>
      </c>
      <c r="I413" s="3" t="s">
        <v>2262</v>
      </c>
      <c r="J413" s="5" t="str">
        <f>IFERROR(__xludf.DUMMYFUNCTION("GOOGLETRANSLATE(I413,""zh_HANT"",""zh_HANS"")"),"结草儿")</f>
        <v>结草儿</v>
      </c>
    </row>
    <row r="414">
      <c r="A414" s="3" t="str">
        <f t="shared" si="69"/>
        <v>NAME_PkMn_WORMADAM</v>
      </c>
      <c r="B414" s="3" t="s">
        <v>2263</v>
      </c>
      <c r="C414" s="3" t="s">
        <v>2264</v>
      </c>
      <c r="D414" s="3" t="s">
        <v>2265</v>
      </c>
      <c r="E414" s="3" t="s">
        <v>2266</v>
      </c>
      <c r="F414" s="5" t="str">
        <f t="shared" si="2"/>
        <v>Wormadam</v>
      </c>
      <c r="G414" s="5" t="str">
        <f t="shared" si="3"/>
        <v>Wormadam</v>
      </c>
      <c r="H414" s="3" t="s">
        <v>2267</v>
      </c>
      <c r="I414" s="3" t="s">
        <v>2268</v>
      </c>
      <c r="J414" s="5" t="str">
        <f>IFERROR(__xludf.DUMMYFUNCTION("GOOGLETRANSLATE(I414,""zh_HANT"",""zh_HANS"")"),"结草贵妇")</f>
        <v>结草贵妇</v>
      </c>
    </row>
    <row r="415">
      <c r="A415" s="3" t="str">
        <f t="shared" si="69"/>
        <v>NAME_PkMn_MOTHIM</v>
      </c>
      <c r="B415" s="3" t="s">
        <v>2269</v>
      </c>
      <c r="C415" s="3" t="s">
        <v>2270</v>
      </c>
      <c r="D415" s="3" t="s">
        <v>2271</v>
      </c>
      <c r="E415" s="3" t="s">
        <v>2272</v>
      </c>
      <c r="F415" s="5" t="str">
        <f t="shared" si="2"/>
        <v>Mothim</v>
      </c>
      <c r="G415" s="5" t="str">
        <f t="shared" si="3"/>
        <v>Mothim</v>
      </c>
      <c r="H415" s="3" t="s">
        <v>2273</v>
      </c>
      <c r="I415" s="3" t="s">
        <v>2274</v>
      </c>
      <c r="J415" s="5" t="str">
        <f>IFERROR(__xludf.DUMMYFUNCTION("GOOGLETRANSLATE(I415,""zh_HANT"",""zh_HANS"")"),"绅士蛾")</f>
        <v>绅士蛾</v>
      </c>
    </row>
    <row r="416">
      <c r="A416" s="3" t="str">
        <f t="shared" si="69"/>
        <v>NAME_PkMn_COMBEE</v>
      </c>
      <c r="B416" s="3" t="s">
        <v>2275</v>
      </c>
      <c r="C416" s="3" t="s">
        <v>2276</v>
      </c>
      <c r="D416" s="3" t="s">
        <v>2277</v>
      </c>
      <c r="E416" s="3" t="s">
        <v>2278</v>
      </c>
      <c r="F416" s="5" t="str">
        <f t="shared" si="2"/>
        <v>Combee</v>
      </c>
      <c r="G416" s="5" t="str">
        <f t="shared" si="3"/>
        <v>Combee</v>
      </c>
      <c r="H416" s="3" t="s">
        <v>2279</v>
      </c>
      <c r="I416" s="3" t="s">
        <v>2280</v>
      </c>
      <c r="J416" s="5" t="str">
        <f t="shared" ref="J416:J419" si="94">I416</f>
        <v>三蜜蜂</v>
      </c>
    </row>
    <row r="417">
      <c r="A417" s="3" t="str">
        <f t="shared" si="69"/>
        <v>NAME_PkMn_VESPIQUEN</v>
      </c>
      <c r="B417" s="3" t="s">
        <v>2281</v>
      </c>
      <c r="C417" s="3" t="s">
        <v>2282</v>
      </c>
      <c r="D417" s="3" t="s">
        <v>2283</v>
      </c>
      <c r="E417" s="3" t="s">
        <v>2284</v>
      </c>
      <c r="F417" s="5" t="str">
        <f t="shared" si="2"/>
        <v>Vespiquen</v>
      </c>
      <c r="G417" s="5" t="str">
        <f t="shared" si="3"/>
        <v>Vespiquen</v>
      </c>
      <c r="H417" s="3" t="s">
        <v>2285</v>
      </c>
      <c r="I417" s="3" t="s">
        <v>2286</v>
      </c>
      <c r="J417" s="5" t="str">
        <f t="shared" si="94"/>
        <v>蜂女王</v>
      </c>
    </row>
    <row r="418">
      <c r="A418" s="3" t="str">
        <f t="shared" si="69"/>
        <v>NAME_PkMn_PACHIRISU</v>
      </c>
      <c r="B418" s="3" t="s">
        <v>2287</v>
      </c>
      <c r="C418" s="3" t="s">
        <v>2288</v>
      </c>
      <c r="D418" s="5" t="str">
        <f>B418</f>
        <v>Pachirisu</v>
      </c>
      <c r="E418" s="5" t="str">
        <f>B418</f>
        <v>Pachirisu</v>
      </c>
      <c r="F418" s="5" t="str">
        <f t="shared" si="2"/>
        <v>Pachirisu</v>
      </c>
      <c r="G418" s="5" t="str">
        <f t="shared" si="3"/>
        <v>Pachirisu</v>
      </c>
      <c r="H418" s="3" t="s">
        <v>2289</v>
      </c>
      <c r="I418" s="3" t="s">
        <v>2290</v>
      </c>
      <c r="J418" s="5" t="str">
        <f t="shared" si="94"/>
        <v>帕奇利茲</v>
      </c>
    </row>
    <row r="419">
      <c r="A419" s="3" t="str">
        <f t="shared" si="69"/>
        <v>NAME_PkMn_BUIZEL</v>
      </c>
      <c r="B419" s="3" t="s">
        <v>2291</v>
      </c>
      <c r="C419" s="3" t="s">
        <v>2292</v>
      </c>
      <c r="D419" s="3" t="s">
        <v>2293</v>
      </c>
      <c r="E419" s="3" t="s">
        <v>2294</v>
      </c>
      <c r="F419" s="5" t="str">
        <f t="shared" si="2"/>
        <v>Buizel</v>
      </c>
      <c r="G419" s="5" t="str">
        <f t="shared" si="3"/>
        <v>Buizel</v>
      </c>
      <c r="H419" s="3" t="s">
        <v>2295</v>
      </c>
      <c r="I419" s="3" t="s">
        <v>2296</v>
      </c>
      <c r="J419" s="5" t="str">
        <f t="shared" si="94"/>
        <v>泳圈鼬</v>
      </c>
    </row>
    <row r="420">
      <c r="A420" s="3" t="str">
        <f t="shared" si="69"/>
        <v>NAME_PkMn_FLOATZEL</v>
      </c>
      <c r="B420" s="3" t="s">
        <v>2297</v>
      </c>
      <c r="C420" s="3" t="s">
        <v>2298</v>
      </c>
      <c r="D420" s="3" t="s">
        <v>2299</v>
      </c>
      <c r="E420" s="3" t="s">
        <v>2300</v>
      </c>
      <c r="F420" s="5" t="str">
        <f t="shared" si="2"/>
        <v>Floatzel</v>
      </c>
      <c r="G420" s="5" t="str">
        <f t="shared" si="3"/>
        <v>Floatzel</v>
      </c>
      <c r="H420" s="3" t="s">
        <v>2301</v>
      </c>
      <c r="I420" s="3" t="s">
        <v>2302</v>
      </c>
      <c r="J420" s="5" t="str">
        <f>IFERROR(__xludf.DUMMYFUNCTION("GOOGLETRANSLATE(I420,""zh_HANT"",""zh_HANS"")"),"浮潜鼬")</f>
        <v>浮潜鼬</v>
      </c>
    </row>
    <row r="421">
      <c r="A421" s="3" t="str">
        <f t="shared" si="69"/>
        <v>NAME_PkMn_CHERUBI</v>
      </c>
      <c r="B421" s="3" t="s">
        <v>2303</v>
      </c>
      <c r="C421" s="3" t="s">
        <v>2304</v>
      </c>
      <c r="D421" s="3" t="s">
        <v>2305</v>
      </c>
      <c r="E421" s="3" t="s">
        <v>2306</v>
      </c>
      <c r="F421" s="5" t="str">
        <f t="shared" si="2"/>
        <v>Cherubi</v>
      </c>
      <c r="G421" s="5" t="str">
        <f t="shared" si="3"/>
        <v>Cherubi</v>
      </c>
      <c r="H421" s="3" t="s">
        <v>2307</v>
      </c>
      <c r="I421" s="3" t="s">
        <v>2308</v>
      </c>
      <c r="J421" s="5" t="str">
        <f>IFERROR(__xludf.DUMMYFUNCTION("GOOGLETRANSLATE(I421,""zh_HANT"",""zh_HANS"")"),"樱花宝")</f>
        <v>樱花宝</v>
      </c>
    </row>
    <row r="422">
      <c r="A422" s="3" t="str">
        <f t="shared" si="69"/>
        <v>NAME_PkMn_CHERRIM</v>
      </c>
      <c r="B422" s="3" t="s">
        <v>2309</v>
      </c>
      <c r="C422" s="3" t="s">
        <v>2310</v>
      </c>
      <c r="D422" s="3" t="s">
        <v>2311</v>
      </c>
      <c r="E422" s="3" t="s">
        <v>2312</v>
      </c>
      <c r="F422" s="5" t="str">
        <f t="shared" si="2"/>
        <v>Cherrim</v>
      </c>
      <c r="G422" s="5" t="str">
        <f t="shared" si="3"/>
        <v>Cherrim</v>
      </c>
      <c r="H422" s="3" t="s">
        <v>2313</v>
      </c>
      <c r="I422" s="3" t="s">
        <v>2314</v>
      </c>
      <c r="J422" s="5" t="str">
        <f>IFERROR(__xludf.DUMMYFUNCTION("GOOGLETRANSLATE(I422,""zh_HANT"",""zh_HANS"")"),"樱花儿")</f>
        <v>樱花儿</v>
      </c>
    </row>
    <row r="423">
      <c r="A423" s="3" t="str">
        <f t="shared" si="69"/>
        <v>NAME_PkMn_SHELLOS</v>
      </c>
      <c r="B423" s="3" t="s">
        <v>2315</v>
      </c>
      <c r="C423" s="3" t="s">
        <v>2316</v>
      </c>
      <c r="D423" s="3" t="s">
        <v>2317</v>
      </c>
      <c r="E423" s="3" t="s">
        <v>2318</v>
      </c>
      <c r="F423" s="5" t="str">
        <f t="shared" si="2"/>
        <v>Shellos</v>
      </c>
      <c r="G423" s="5" t="str">
        <f t="shared" si="3"/>
        <v>Shellos</v>
      </c>
      <c r="H423" s="3" t="s">
        <v>2319</v>
      </c>
      <c r="I423" s="3" t="s">
        <v>2320</v>
      </c>
      <c r="J423" s="5" t="str">
        <f>IFERROR(__xludf.DUMMYFUNCTION("GOOGLETRANSLATE(I423,""zh_HANT"",""zh_HANS"")"),"无壳海兔")</f>
        <v>无壳海兔</v>
      </c>
    </row>
    <row r="424">
      <c r="A424" s="3" t="str">
        <f t="shared" si="69"/>
        <v>NAME_PkMn_GASTRODON</v>
      </c>
      <c r="B424" s="3" t="s">
        <v>2321</v>
      </c>
      <c r="C424" s="3" t="s">
        <v>2322</v>
      </c>
      <c r="D424" s="3" t="s">
        <v>2323</v>
      </c>
      <c r="E424" s="5" t="str">
        <f>B424</f>
        <v>Gastrodon</v>
      </c>
      <c r="F424" s="5" t="str">
        <f t="shared" si="2"/>
        <v>Gastrodon</v>
      </c>
      <c r="G424" s="5" t="str">
        <f t="shared" si="3"/>
        <v>Gastrodon</v>
      </c>
      <c r="H424" s="3" t="s">
        <v>2324</v>
      </c>
      <c r="I424" s="3" t="s">
        <v>2325</v>
      </c>
      <c r="J424" s="5" t="str">
        <f>IFERROR(__xludf.DUMMYFUNCTION("GOOGLETRANSLATE(I424,""zh_HANT"",""zh_HANS"")"),"海兔兽")</f>
        <v>海兔兽</v>
      </c>
    </row>
    <row r="425">
      <c r="A425" s="3" t="str">
        <f t="shared" si="69"/>
        <v>NAME_PkMn_AMBIPOM</v>
      </c>
      <c r="B425" s="3" t="s">
        <v>2326</v>
      </c>
      <c r="C425" s="3" t="s">
        <v>2327</v>
      </c>
      <c r="D425" s="3" t="s">
        <v>2328</v>
      </c>
      <c r="E425" s="3" t="s">
        <v>2329</v>
      </c>
      <c r="F425" s="5" t="str">
        <f t="shared" si="2"/>
        <v>Ambipom</v>
      </c>
      <c r="G425" s="5" t="str">
        <f t="shared" si="3"/>
        <v>Ambipom</v>
      </c>
      <c r="H425" s="3" t="s">
        <v>2330</v>
      </c>
      <c r="I425" s="3" t="s">
        <v>2331</v>
      </c>
      <c r="J425" s="5" t="str">
        <f>IFERROR(__xludf.DUMMYFUNCTION("GOOGLETRANSLATE(I425,""zh_HANT"",""zh_HANS"")"),"双尾怪手")</f>
        <v>双尾怪手</v>
      </c>
    </row>
    <row r="426">
      <c r="A426" s="3" t="str">
        <f t="shared" si="69"/>
        <v>NAME_PkMn_DRIFLOON</v>
      </c>
      <c r="B426" s="3" t="s">
        <v>2332</v>
      </c>
      <c r="C426" s="3" t="s">
        <v>2333</v>
      </c>
      <c r="D426" s="3" t="s">
        <v>2334</v>
      </c>
      <c r="E426" s="3" t="s">
        <v>2335</v>
      </c>
      <c r="F426" s="5" t="str">
        <f t="shared" si="2"/>
        <v>Drifloon</v>
      </c>
      <c r="G426" s="5" t="str">
        <f t="shared" si="3"/>
        <v>Drifloon</v>
      </c>
      <c r="H426" s="3" t="s">
        <v>2336</v>
      </c>
      <c r="I426" s="3" t="s">
        <v>2337</v>
      </c>
      <c r="J426" s="5" t="str">
        <f>IFERROR(__xludf.DUMMYFUNCTION("GOOGLETRANSLATE(I426,""zh_HANT"",""zh_HANS"")"),"飘飘球")</f>
        <v>飘飘球</v>
      </c>
    </row>
    <row r="427">
      <c r="A427" s="3" t="str">
        <f t="shared" si="69"/>
        <v>NAME_PkMn_DRIFBLIM</v>
      </c>
      <c r="B427" s="3" t="s">
        <v>2338</v>
      </c>
      <c r="C427" s="3" t="s">
        <v>2339</v>
      </c>
      <c r="D427" s="3" t="s">
        <v>2340</v>
      </c>
      <c r="E427" s="3" t="s">
        <v>2341</v>
      </c>
      <c r="F427" s="5" t="str">
        <f t="shared" si="2"/>
        <v>Drifblim</v>
      </c>
      <c r="G427" s="5" t="str">
        <f t="shared" si="3"/>
        <v>Drifblim</v>
      </c>
      <c r="H427" s="3" t="s">
        <v>2342</v>
      </c>
      <c r="I427" s="3" t="s">
        <v>2343</v>
      </c>
      <c r="J427" s="5" t="str">
        <f>IFERROR(__xludf.DUMMYFUNCTION("GOOGLETRANSLATE(I427,""zh_HANT"",""zh_HANS"")"),"随风球")</f>
        <v>随风球</v>
      </c>
    </row>
    <row r="428">
      <c r="A428" s="3" t="str">
        <f t="shared" si="69"/>
        <v>NAME_PkMn_BUNEARY</v>
      </c>
      <c r="B428" s="3" t="s">
        <v>2344</v>
      </c>
      <c r="C428" s="3" t="s">
        <v>2345</v>
      </c>
      <c r="D428" s="3" t="s">
        <v>2346</v>
      </c>
      <c r="E428" s="3" t="s">
        <v>2347</v>
      </c>
      <c r="F428" s="5" t="str">
        <f t="shared" si="2"/>
        <v>Buneary</v>
      </c>
      <c r="G428" s="5" t="str">
        <f t="shared" si="3"/>
        <v>Buneary</v>
      </c>
      <c r="H428" s="3" t="s">
        <v>2348</v>
      </c>
      <c r="I428" s="3" t="s">
        <v>2349</v>
      </c>
      <c r="J428" s="5" t="str">
        <f>IFERROR(__xludf.DUMMYFUNCTION("GOOGLETRANSLATE(I428,""zh_HANT"",""zh_HANS"")"),"卷卷耳")</f>
        <v>卷卷耳</v>
      </c>
    </row>
    <row r="429">
      <c r="A429" s="3" t="str">
        <f t="shared" si="69"/>
        <v>NAME_PkMn_LOPUNNY</v>
      </c>
      <c r="B429" s="3" t="s">
        <v>2350</v>
      </c>
      <c r="C429" s="3" t="s">
        <v>2351</v>
      </c>
      <c r="D429" s="3" t="s">
        <v>2352</v>
      </c>
      <c r="E429" s="3" t="s">
        <v>2353</v>
      </c>
      <c r="F429" s="5" t="str">
        <f t="shared" si="2"/>
        <v>Lopunny</v>
      </c>
      <c r="G429" s="5" t="str">
        <f t="shared" si="3"/>
        <v>Lopunny</v>
      </c>
      <c r="H429" s="3" t="s">
        <v>2354</v>
      </c>
      <c r="I429" s="5" t="str">
        <f>IFERROR(__xludf.DUMMYFUNCTION("GOOGLETRANSLATE(J429,""zh_HANS"",""zh_HANT"")"),"長耳兔")</f>
        <v>長耳兔</v>
      </c>
      <c r="J429" s="3" t="s">
        <v>2355</v>
      </c>
    </row>
    <row r="430">
      <c r="A430" s="3" t="str">
        <f t="shared" si="69"/>
        <v>NAME_PkMn_MISMAGIUS</v>
      </c>
      <c r="B430" s="3" t="s">
        <v>2356</v>
      </c>
      <c r="C430" s="3" t="s">
        <v>2357</v>
      </c>
      <c r="D430" s="3" t="s">
        <v>2358</v>
      </c>
      <c r="E430" s="3" t="s">
        <v>1115</v>
      </c>
      <c r="F430" s="5" t="str">
        <f t="shared" si="2"/>
        <v>Mismagius</v>
      </c>
      <c r="G430" s="5" t="str">
        <f t="shared" si="3"/>
        <v>Mismagius</v>
      </c>
      <c r="H430" s="3" t="s">
        <v>2359</v>
      </c>
      <c r="I430" s="3" t="s">
        <v>2360</v>
      </c>
      <c r="J430" s="5" t="str">
        <f>IFERROR(__xludf.DUMMYFUNCTION("GOOGLETRANSLATE(I430,""zh_HANT"",""zh_HANS"")"),"梦妖魔")</f>
        <v>梦妖魔</v>
      </c>
    </row>
    <row r="431">
      <c r="A431" s="3" t="str">
        <f t="shared" si="69"/>
        <v>NAME_PkMn_HONCHKROW</v>
      </c>
      <c r="B431" s="3" t="s">
        <v>2361</v>
      </c>
      <c r="C431" s="3" t="s">
        <v>2362</v>
      </c>
      <c r="D431" s="3" t="s">
        <v>2363</v>
      </c>
      <c r="E431" s="3" t="s">
        <v>2364</v>
      </c>
      <c r="F431" s="5" t="str">
        <f t="shared" si="2"/>
        <v>Honchkrow</v>
      </c>
      <c r="G431" s="5" t="str">
        <f t="shared" si="3"/>
        <v>Honchkrow</v>
      </c>
      <c r="H431" s="3" t="s">
        <v>2365</v>
      </c>
      <c r="I431" s="3" t="s">
        <v>2366</v>
      </c>
      <c r="J431" s="5" t="str">
        <f>IFERROR(__xludf.DUMMYFUNCTION("GOOGLETRANSLATE(I431,""zh_HANT"",""zh_HANS"")"),"乌鸦头头")</f>
        <v>乌鸦头头</v>
      </c>
    </row>
    <row r="432">
      <c r="A432" s="3" t="str">
        <f t="shared" si="69"/>
        <v>NAME_PkMn_GLAMEOW</v>
      </c>
      <c r="B432" s="3" t="s">
        <v>2367</v>
      </c>
      <c r="C432" s="3" t="s">
        <v>2368</v>
      </c>
      <c r="D432" s="3" t="s">
        <v>2369</v>
      </c>
      <c r="E432" s="3" t="s">
        <v>2370</v>
      </c>
      <c r="F432" s="5" t="str">
        <f t="shared" si="2"/>
        <v>Glameow</v>
      </c>
      <c r="G432" s="5" t="str">
        <f t="shared" si="3"/>
        <v>Glameow</v>
      </c>
      <c r="H432" s="3" t="s">
        <v>2371</v>
      </c>
      <c r="I432" s="3" t="s">
        <v>2372</v>
      </c>
      <c r="J432" s="5" t="str">
        <f>I432</f>
        <v>魅力喵</v>
      </c>
    </row>
    <row r="433">
      <c r="A433" s="3" t="str">
        <f t="shared" si="69"/>
        <v>NAME_PkMn_PURUGLY</v>
      </c>
      <c r="B433" s="3" t="s">
        <v>2373</v>
      </c>
      <c r="C433" s="3" t="s">
        <v>2374</v>
      </c>
      <c r="D433" s="3" t="s">
        <v>2375</v>
      </c>
      <c r="E433" s="3" t="s">
        <v>2376</v>
      </c>
      <c r="F433" s="5" t="str">
        <f t="shared" si="2"/>
        <v>Purugly</v>
      </c>
      <c r="G433" s="5" t="str">
        <f t="shared" si="3"/>
        <v>Purugly</v>
      </c>
      <c r="H433" s="3" t="s">
        <v>2377</v>
      </c>
      <c r="I433" s="3" t="s">
        <v>2378</v>
      </c>
      <c r="J433" s="5" t="str">
        <f>IFERROR(__xludf.DUMMYFUNCTION("GOOGLETRANSLATE(I433,""zh_HANT"",""zh_HANS"")"),"东施喵")</f>
        <v>东施喵</v>
      </c>
    </row>
    <row r="434">
      <c r="A434" s="3" t="str">
        <f t="shared" si="69"/>
        <v>NAME_PkMn_CHINGLING</v>
      </c>
      <c r="B434" s="3" t="s">
        <v>2379</v>
      </c>
      <c r="C434" s="3" t="s">
        <v>2380</v>
      </c>
      <c r="D434" s="3" t="s">
        <v>2381</v>
      </c>
      <c r="E434" s="3" t="s">
        <v>2382</v>
      </c>
      <c r="F434" s="5" t="str">
        <f t="shared" si="2"/>
        <v>Chingling</v>
      </c>
      <c r="G434" s="5" t="str">
        <f t="shared" si="3"/>
        <v>Chingling</v>
      </c>
      <c r="H434" s="3" t="s">
        <v>2383</v>
      </c>
      <c r="I434" s="3" t="s">
        <v>2384</v>
      </c>
      <c r="J434" s="5" t="str">
        <f>IFERROR(__xludf.DUMMYFUNCTION("GOOGLETRANSLATE(I434,""zh_HANT"",""zh_HANS"")"),"铃铛响")</f>
        <v>铃铛响</v>
      </c>
    </row>
    <row r="435">
      <c r="A435" s="3" t="str">
        <f t="shared" si="69"/>
        <v>NAME_PkMn_STUNKY</v>
      </c>
      <c r="B435" s="3" t="s">
        <v>2385</v>
      </c>
      <c r="C435" s="3" t="s">
        <v>2386</v>
      </c>
      <c r="D435" s="3" t="s">
        <v>2387</v>
      </c>
      <c r="E435" s="3" t="s">
        <v>2388</v>
      </c>
      <c r="F435" s="5" t="str">
        <f t="shared" si="2"/>
        <v>Stunky</v>
      </c>
      <c r="G435" s="5" t="str">
        <f t="shared" si="3"/>
        <v>Stunky</v>
      </c>
      <c r="H435" s="3" t="s">
        <v>2389</v>
      </c>
      <c r="I435" s="3" t="s">
        <v>2390</v>
      </c>
      <c r="J435" s="5" t="str">
        <f t="shared" ref="J435:J436" si="95">I435</f>
        <v>臭鼬噗</v>
      </c>
    </row>
    <row r="436">
      <c r="A436" s="3" t="str">
        <f t="shared" si="69"/>
        <v>NAME_PkMn_SKUNTANK</v>
      </c>
      <c r="B436" s="3" t="s">
        <v>2391</v>
      </c>
      <c r="C436" s="3" t="s">
        <v>2392</v>
      </c>
      <c r="D436" s="3" t="s">
        <v>2393</v>
      </c>
      <c r="E436" s="5" t="str">
        <f>B436</f>
        <v>Skuntank</v>
      </c>
      <c r="F436" s="5" t="str">
        <f t="shared" si="2"/>
        <v>Skuntank</v>
      </c>
      <c r="G436" s="5" t="str">
        <f t="shared" si="3"/>
        <v>Skuntank</v>
      </c>
      <c r="H436" s="3" t="s">
        <v>2394</v>
      </c>
      <c r="I436" s="3" t="s">
        <v>2395</v>
      </c>
      <c r="J436" s="5" t="str">
        <f t="shared" si="95"/>
        <v>坦克臭鼬</v>
      </c>
    </row>
    <row r="437">
      <c r="A437" s="3" t="str">
        <f t="shared" si="69"/>
        <v>NAME_PkMn_BRONZOR</v>
      </c>
      <c r="B437" s="3" t="s">
        <v>2396</v>
      </c>
      <c r="C437" s="3" t="s">
        <v>2397</v>
      </c>
      <c r="D437" s="3" t="s">
        <v>2398</v>
      </c>
      <c r="E437" s="3" t="s">
        <v>2399</v>
      </c>
      <c r="F437" s="5" t="str">
        <f t="shared" si="2"/>
        <v>Bronzor</v>
      </c>
      <c r="G437" s="5" t="str">
        <f t="shared" si="3"/>
        <v>Bronzor</v>
      </c>
      <c r="H437" s="3" t="s">
        <v>2400</v>
      </c>
      <c r="I437" s="3" t="s">
        <v>2401</v>
      </c>
      <c r="J437" s="5" t="str">
        <f>IFERROR(__xludf.DUMMYFUNCTION("GOOGLETRANSLATE(I437,""zh_HANT"",""zh_HANS"")"),"铜镜怪")</f>
        <v>铜镜怪</v>
      </c>
    </row>
    <row r="438">
      <c r="A438" s="3" t="str">
        <f t="shared" si="69"/>
        <v>NAME_PkMn_BRONZONG</v>
      </c>
      <c r="B438" s="3" t="s">
        <v>2402</v>
      </c>
      <c r="C438" s="3" t="s">
        <v>2403</v>
      </c>
      <c r="D438" s="3" t="s">
        <v>2404</v>
      </c>
      <c r="E438" s="5" t="str">
        <f>B438</f>
        <v>Bronzong</v>
      </c>
      <c r="F438" s="5" t="str">
        <f t="shared" si="2"/>
        <v>Bronzong</v>
      </c>
      <c r="G438" s="5" t="str">
        <f t="shared" si="3"/>
        <v>Bronzong</v>
      </c>
      <c r="H438" s="3" t="s">
        <v>2405</v>
      </c>
      <c r="I438" s="3" t="s">
        <v>2406</v>
      </c>
      <c r="J438" s="5" t="str">
        <f>IFERROR(__xludf.DUMMYFUNCTION("GOOGLETRANSLATE(I438,""zh_HANT"",""zh_HANS"")"),"青铜钟")</f>
        <v>青铜钟</v>
      </c>
    </row>
    <row r="439">
      <c r="A439" s="3" t="str">
        <f t="shared" si="69"/>
        <v>NAME_PkMn_BONSLY</v>
      </c>
      <c r="B439" s="3" t="s">
        <v>2407</v>
      </c>
      <c r="C439" s="3" t="s">
        <v>2408</v>
      </c>
      <c r="D439" s="3" t="s">
        <v>2409</v>
      </c>
      <c r="E439" s="3" t="s">
        <v>2410</v>
      </c>
      <c r="F439" s="5" t="str">
        <f t="shared" si="2"/>
        <v>Bonsly</v>
      </c>
      <c r="G439" s="5" t="str">
        <f t="shared" si="3"/>
        <v>Bonsly</v>
      </c>
      <c r="H439" s="3" t="s">
        <v>2411</v>
      </c>
      <c r="I439" s="3" t="s">
        <v>2412</v>
      </c>
      <c r="J439" s="5" t="str">
        <f t="shared" ref="J439:J441" si="96">I439</f>
        <v>盆才怪</v>
      </c>
    </row>
    <row r="440">
      <c r="A440" s="3" t="s">
        <v>2413</v>
      </c>
      <c r="B440" s="3" t="s">
        <v>2414</v>
      </c>
      <c r="C440" s="3" t="s">
        <v>2415</v>
      </c>
      <c r="D440" s="5" t="str">
        <f>B440</f>
        <v>Mime Jr.</v>
      </c>
      <c r="E440" s="3" t="s">
        <v>2416</v>
      </c>
      <c r="F440" s="5" t="str">
        <f t="shared" si="2"/>
        <v>Mime Jr.</v>
      </c>
      <c r="G440" s="5" t="str">
        <f t="shared" si="3"/>
        <v>Mime Jr.</v>
      </c>
      <c r="H440" s="3" t="s">
        <v>2417</v>
      </c>
      <c r="I440" s="3" t="s">
        <v>2418</v>
      </c>
      <c r="J440" s="5" t="str">
        <f t="shared" si="96"/>
        <v>魔尼尼</v>
      </c>
    </row>
    <row r="441">
      <c r="A441" s="3" t="str">
        <f t="shared" ref="A441:A474" si="97">CONCATENATE("NAME_PkMn_", UPPER(B441))</f>
        <v>NAME_PkMn_HAPPINY</v>
      </c>
      <c r="B441" s="3" t="s">
        <v>2419</v>
      </c>
      <c r="C441" s="3" t="s">
        <v>2420</v>
      </c>
      <c r="D441" s="3" t="s">
        <v>2421</v>
      </c>
      <c r="E441" s="3" t="s">
        <v>2422</v>
      </c>
      <c r="F441" s="5" t="str">
        <f t="shared" si="2"/>
        <v>Happiny</v>
      </c>
      <c r="G441" s="5" t="str">
        <f t="shared" si="3"/>
        <v>Happiny</v>
      </c>
      <c r="H441" s="3" t="s">
        <v>2423</v>
      </c>
      <c r="I441" s="3" t="s">
        <v>2424</v>
      </c>
      <c r="J441" s="5" t="str">
        <f t="shared" si="96"/>
        <v>小福蛋</v>
      </c>
    </row>
    <row r="442">
      <c r="A442" s="3" t="str">
        <f t="shared" si="97"/>
        <v>NAME_PkMn_CHATOT</v>
      </c>
      <c r="B442" s="3" t="s">
        <v>2425</v>
      </c>
      <c r="C442" s="3" t="s">
        <v>2426</v>
      </c>
      <c r="D442" s="3" t="s">
        <v>2427</v>
      </c>
      <c r="E442" s="3" t="s">
        <v>2428</v>
      </c>
      <c r="F442" s="5" t="str">
        <f t="shared" si="2"/>
        <v>Chatot</v>
      </c>
      <c r="G442" s="5" t="str">
        <f t="shared" si="3"/>
        <v>Chatot</v>
      </c>
      <c r="H442" s="3" t="s">
        <v>2429</v>
      </c>
      <c r="I442" s="3" t="s">
        <v>2430</v>
      </c>
      <c r="J442" s="5" t="str">
        <f>IFERROR(__xludf.DUMMYFUNCTION("GOOGLETRANSLATE(I442,""zh_HANT"",""zh_HANS"")"),"聒噪鸟")</f>
        <v>聒噪鸟</v>
      </c>
    </row>
    <row r="443">
      <c r="A443" s="3" t="str">
        <f t="shared" si="97"/>
        <v>NAME_PkMn_SPIRITOMB</v>
      </c>
      <c r="B443" s="3" t="s">
        <v>2431</v>
      </c>
      <c r="C443" s="3" t="s">
        <v>2432</v>
      </c>
      <c r="D443" s="5" t="str">
        <f>B443</f>
        <v>Spiritomb</v>
      </c>
      <c r="E443" s="3" t="s">
        <v>2433</v>
      </c>
      <c r="F443" s="5" t="str">
        <f t="shared" si="2"/>
        <v>Spiritomb</v>
      </c>
      <c r="G443" s="5" t="str">
        <f t="shared" si="3"/>
        <v>Spiritomb</v>
      </c>
      <c r="H443" s="3" t="s">
        <v>2434</v>
      </c>
      <c r="I443" s="3" t="s">
        <v>2435</v>
      </c>
      <c r="J443" s="5" t="str">
        <f>I443</f>
        <v>花岩怪</v>
      </c>
    </row>
    <row r="444">
      <c r="A444" s="3" t="str">
        <f t="shared" si="97"/>
        <v>NAME_PkMn_GIBLE</v>
      </c>
      <c r="B444" s="3" t="s">
        <v>2436</v>
      </c>
      <c r="C444" s="3" t="s">
        <v>2437</v>
      </c>
      <c r="D444" s="3" t="s">
        <v>2438</v>
      </c>
      <c r="E444" s="3" t="s">
        <v>2439</v>
      </c>
      <c r="F444" s="5" t="str">
        <f t="shared" si="2"/>
        <v>Gible</v>
      </c>
      <c r="G444" s="5" t="str">
        <f t="shared" si="3"/>
        <v>Gible</v>
      </c>
      <c r="H444" s="3" t="s">
        <v>2440</v>
      </c>
      <c r="I444" s="3" t="s">
        <v>2441</v>
      </c>
      <c r="J444" s="5" t="str">
        <f>IFERROR(__xludf.DUMMYFUNCTION("GOOGLETRANSLATE(I444,""zh_HANT"",""zh_HANS"")"),"圆陆鲨")</f>
        <v>圆陆鲨</v>
      </c>
    </row>
    <row r="445">
      <c r="A445" s="3" t="str">
        <f t="shared" si="97"/>
        <v>NAME_PkMn_GABITE</v>
      </c>
      <c r="B445" s="3" t="s">
        <v>2442</v>
      </c>
      <c r="C445" s="3" t="s">
        <v>2443</v>
      </c>
      <c r="D445" s="3" t="s">
        <v>2444</v>
      </c>
      <c r="E445" s="3" t="s">
        <v>2445</v>
      </c>
      <c r="F445" s="5" t="str">
        <f t="shared" si="2"/>
        <v>Gabite</v>
      </c>
      <c r="G445" s="5" t="str">
        <f t="shared" si="3"/>
        <v>Gabite</v>
      </c>
      <c r="H445" s="3" t="s">
        <v>2446</v>
      </c>
      <c r="I445" s="3" t="s">
        <v>2447</v>
      </c>
      <c r="J445" s="5" t="str">
        <f>IFERROR(__xludf.DUMMYFUNCTION("GOOGLETRANSLATE(I445,""zh_HANT"",""zh_HANS"")"),"尖牙陆鲨")</f>
        <v>尖牙陆鲨</v>
      </c>
    </row>
    <row r="446">
      <c r="A446" s="3" t="str">
        <f t="shared" si="97"/>
        <v>NAME_PkMn_GARCHOMP</v>
      </c>
      <c r="B446" s="3" t="s">
        <v>2448</v>
      </c>
      <c r="C446" s="3" t="s">
        <v>2449</v>
      </c>
      <c r="D446" s="3" t="s">
        <v>2450</v>
      </c>
      <c r="E446" s="3" t="s">
        <v>2451</v>
      </c>
      <c r="F446" s="5" t="str">
        <f t="shared" si="2"/>
        <v>Garchomp</v>
      </c>
      <c r="G446" s="5" t="str">
        <f t="shared" si="3"/>
        <v>Garchomp</v>
      </c>
      <c r="H446" s="3" t="s">
        <v>2452</v>
      </c>
      <c r="I446" s="5" t="str">
        <f>IFERROR(__xludf.DUMMYFUNCTION("GOOGLETRANSLATE(J446,""zh_HANS"",""zh_HANT"")"),"烈咬陸鯊")</f>
        <v>烈咬陸鯊</v>
      </c>
      <c r="J446" s="3" t="s">
        <v>2453</v>
      </c>
    </row>
    <row r="447">
      <c r="A447" s="3" t="str">
        <f t="shared" si="97"/>
        <v>NAME_PkMn_MUNCHLAX</v>
      </c>
      <c r="B447" s="3" t="s">
        <v>2454</v>
      </c>
      <c r="C447" s="3" t="s">
        <v>2455</v>
      </c>
      <c r="D447" s="3" t="s">
        <v>2456</v>
      </c>
      <c r="E447" s="3" t="s">
        <v>2457</v>
      </c>
      <c r="F447" s="5" t="str">
        <f t="shared" si="2"/>
        <v>Munchlax</v>
      </c>
      <c r="G447" s="5" t="str">
        <f t="shared" si="3"/>
        <v>Munchlax</v>
      </c>
      <c r="H447" s="3" t="s">
        <v>2458</v>
      </c>
      <c r="I447" s="3" t="s">
        <v>2459</v>
      </c>
      <c r="J447" s="5" t="str">
        <f>IFERROR(__xludf.DUMMYFUNCTION("GOOGLETRANSLATE(I447,""zh_HANT"",""zh_HANS"")"),"小卡比兽")</f>
        <v>小卡比兽</v>
      </c>
    </row>
    <row r="448">
      <c r="A448" s="3" t="str">
        <f t="shared" si="97"/>
        <v>NAME_PkMn_RIOLU</v>
      </c>
      <c r="B448" s="3" t="s">
        <v>2460</v>
      </c>
      <c r="C448" s="3" t="s">
        <v>2461</v>
      </c>
      <c r="D448" s="5" t="str">
        <f t="shared" ref="D448:D450" si="98">B448</f>
        <v>Riolu</v>
      </c>
      <c r="E448" s="5" t="str">
        <f t="shared" ref="E448:E450" si="99">B448</f>
        <v>Riolu</v>
      </c>
      <c r="F448" s="5" t="str">
        <f t="shared" si="2"/>
        <v>Riolu</v>
      </c>
      <c r="G448" s="5" t="str">
        <f t="shared" si="3"/>
        <v>Riolu</v>
      </c>
      <c r="H448" s="3" t="s">
        <v>2462</v>
      </c>
      <c r="I448" s="3" t="s">
        <v>2463</v>
      </c>
      <c r="J448" s="5" t="str">
        <f>IFERROR(__xludf.DUMMYFUNCTION("GOOGLETRANSLATE(I448,""zh_HANT"",""zh_HANS"")"),"利欧路")</f>
        <v>利欧路</v>
      </c>
    </row>
    <row r="449">
      <c r="A449" s="3" t="str">
        <f t="shared" si="97"/>
        <v>NAME_PkMn_LUCARIO</v>
      </c>
      <c r="B449" s="3" t="s">
        <v>2464</v>
      </c>
      <c r="C449" s="3" t="s">
        <v>2465</v>
      </c>
      <c r="D449" s="5" t="str">
        <f t="shared" si="98"/>
        <v>Lucario</v>
      </c>
      <c r="E449" s="5" t="str">
        <f t="shared" si="99"/>
        <v>Lucario</v>
      </c>
      <c r="F449" s="5" t="str">
        <f t="shared" si="2"/>
        <v>Lucario</v>
      </c>
      <c r="G449" s="5" t="str">
        <f t="shared" si="3"/>
        <v>Lucario</v>
      </c>
      <c r="H449" s="3" t="s">
        <v>2466</v>
      </c>
      <c r="I449" s="5" t="str">
        <f>IFERROR(__xludf.DUMMYFUNCTION("GOOGLETRANSLATE(J449,""zh_HANS"",""zh_HANT"")"),"路卡利歐")</f>
        <v>路卡利歐</v>
      </c>
      <c r="J449" s="3" t="s">
        <v>2467</v>
      </c>
    </row>
    <row r="450">
      <c r="A450" s="3" t="str">
        <f t="shared" si="97"/>
        <v>NAME_PkMn_HIPPOPOTAS</v>
      </c>
      <c r="B450" s="3" t="s">
        <v>2468</v>
      </c>
      <c r="C450" s="3" t="s">
        <v>2469</v>
      </c>
      <c r="D450" s="5" t="str">
        <f t="shared" si="98"/>
        <v>Hippopotas</v>
      </c>
      <c r="E450" s="5" t="str">
        <f t="shared" si="99"/>
        <v>Hippopotas</v>
      </c>
      <c r="F450" s="5" t="str">
        <f t="shared" si="2"/>
        <v>Hippopotas</v>
      </c>
      <c r="G450" s="5" t="str">
        <f t="shared" si="3"/>
        <v>Hippopotas</v>
      </c>
      <c r="H450" s="3" t="s">
        <v>2470</v>
      </c>
      <c r="I450" s="3" t="s">
        <v>2471</v>
      </c>
      <c r="J450" s="5" t="str">
        <f>IFERROR(__xludf.DUMMYFUNCTION("GOOGLETRANSLATE(I450,""zh_HANT"",""zh_HANS"")"),"沙河马")</f>
        <v>沙河马</v>
      </c>
    </row>
    <row r="451">
      <c r="A451" s="3" t="str">
        <f t="shared" si="97"/>
        <v>NAME_PkMn_HIPPOWDON</v>
      </c>
      <c r="B451" s="3" t="s">
        <v>2472</v>
      </c>
      <c r="C451" s="3" t="s">
        <v>2473</v>
      </c>
      <c r="D451" s="3" t="s">
        <v>2474</v>
      </c>
      <c r="E451" s="3" t="s">
        <v>2475</v>
      </c>
      <c r="F451" s="5" t="str">
        <f t="shared" si="2"/>
        <v>Hippowdon</v>
      </c>
      <c r="G451" s="5" t="str">
        <f t="shared" si="3"/>
        <v>Hippowdon</v>
      </c>
      <c r="H451" s="3" t="s">
        <v>2476</v>
      </c>
      <c r="I451" s="3" t="s">
        <v>2477</v>
      </c>
      <c r="J451" s="5" t="str">
        <f>IFERROR(__xludf.DUMMYFUNCTION("GOOGLETRANSLATE(I451,""zh_HANT"",""zh_HANS"")"),"河马兽")</f>
        <v>河马兽</v>
      </c>
    </row>
    <row r="452">
      <c r="A452" s="3" t="str">
        <f t="shared" si="97"/>
        <v>NAME_PkMn_SKORUPI</v>
      </c>
      <c r="B452" s="3" t="s">
        <v>2478</v>
      </c>
      <c r="C452" s="3" t="s">
        <v>2479</v>
      </c>
      <c r="D452" s="3" t="s">
        <v>2480</v>
      </c>
      <c r="E452" s="3" t="s">
        <v>2481</v>
      </c>
      <c r="F452" s="5" t="str">
        <f t="shared" si="2"/>
        <v>Skorupi</v>
      </c>
      <c r="G452" s="5" t="str">
        <f t="shared" si="3"/>
        <v>Skorupi</v>
      </c>
      <c r="H452" s="3" t="s">
        <v>2482</v>
      </c>
      <c r="I452" s="3" t="s">
        <v>2483</v>
      </c>
      <c r="J452" s="5" t="str">
        <f>IFERROR(__xludf.DUMMYFUNCTION("GOOGLETRANSLATE(I452,""zh_HANT"",""zh_HANS"")"),"钳尾蝎")</f>
        <v>钳尾蝎</v>
      </c>
    </row>
    <row r="453">
      <c r="A453" s="3" t="str">
        <f t="shared" si="97"/>
        <v>NAME_PkMn_DRAPION</v>
      </c>
      <c r="B453" s="3" t="s">
        <v>2484</v>
      </c>
      <c r="C453" s="3" t="s">
        <v>2485</v>
      </c>
      <c r="D453" s="3" t="s">
        <v>2486</v>
      </c>
      <c r="E453" s="3" t="s">
        <v>2487</v>
      </c>
      <c r="F453" s="5" t="str">
        <f t="shared" si="2"/>
        <v>Drapion</v>
      </c>
      <c r="G453" s="5" t="str">
        <f t="shared" si="3"/>
        <v>Drapion</v>
      </c>
      <c r="H453" s="3" t="s">
        <v>2488</v>
      </c>
      <c r="I453" s="3" t="s">
        <v>2489</v>
      </c>
      <c r="J453" s="5" t="str">
        <f>IFERROR(__xludf.DUMMYFUNCTION("GOOGLETRANSLATE(I453,""zh_HANT"",""zh_HANS"")"),"龙王蝎")</f>
        <v>龙王蝎</v>
      </c>
    </row>
    <row r="454">
      <c r="A454" s="3" t="str">
        <f t="shared" si="97"/>
        <v>NAME_PkMn_CROAGUNK</v>
      </c>
      <c r="B454" s="3" t="s">
        <v>2490</v>
      </c>
      <c r="C454" s="3" t="s">
        <v>2491</v>
      </c>
      <c r="D454" s="3" t="s">
        <v>2492</v>
      </c>
      <c r="E454" s="3" t="s">
        <v>2493</v>
      </c>
      <c r="F454" s="5" t="str">
        <f t="shared" si="2"/>
        <v>Croagunk</v>
      </c>
      <c r="G454" s="5" t="str">
        <f t="shared" si="3"/>
        <v>Croagunk</v>
      </c>
      <c r="H454" s="3" t="s">
        <v>2494</v>
      </c>
      <c r="I454" s="3" t="s">
        <v>2495</v>
      </c>
      <c r="J454" s="5" t="str">
        <f t="shared" ref="J454:J455" si="100">I454</f>
        <v>不良蛙</v>
      </c>
    </row>
    <row r="455">
      <c r="A455" s="3" t="str">
        <f t="shared" si="97"/>
        <v>NAME_PkMn_TOXICROAK</v>
      </c>
      <c r="B455" s="3" t="s">
        <v>2496</v>
      </c>
      <c r="C455" s="3" t="s">
        <v>2497</v>
      </c>
      <c r="D455" s="3" t="s">
        <v>2498</v>
      </c>
      <c r="E455" s="3" t="s">
        <v>2499</v>
      </c>
      <c r="F455" s="5" t="str">
        <f t="shared" si="2"/>
        <v>Toxicroak</v>
      </c>
      <c r="G455" s="5" t="str">
        <f t="shared" si="3"/>
        <v>Toxicroak</v>
      </c>
      <c r="H455" s="3" t="s">
        <v>2500</v>
      </c>
      <c r="I455" s="3" t="s">
        <v>2501</v>
      </c>
      <c r="J455" s="5" t="str">
        <f t="shared" si="100"/>
        <v>毒骷蛙</v>
      </c>
    </row>
    <row r="456">
      <c r="A456" s="3" t="str">
        <f t="shared" si="97"/>
        <v>NAME_PkMn_CARNIVINE</v>
      </c>
      <c r="B456" s="3" t="s">
        <v>2502</v>
      </c>
      <c r="C456" s="3" t="s">
        <v>2503</v>
      </c>
      <c r="D456" s="3" t="s">
        <v>2504</v>
      </c>
      <c r="E456" s="3" t="s">
        <v>2505</v>
      </c>
      <c r="F456" s="5" t="str">
        <f t="shared" si="2"/>
        <v>Carnivine</v>
      </c>
      <c r="G456" s="5" t="str">
        <f t="shared" si="3"/>
        <v>Carnivine</v>
      </c>
      <c r="H456" s="3" t="s">
        <v>2506</v>
      </c>
      <c r="I456" s="3" t="s">
        <v>2507</v>
      </c>
      <c r="J456" s="5" t="str">
        <f>IFERROR(__xludf.DUMMYFUNCTION("GOOGLETRANSLATE(I456,""zh_HANT"",""zh_HANS"")"),"尖牙笼")</f>
        <v>尖牙笼</v>
      </c>
    </row>
    <row r="457">
      <c r="A457" s="3" t="str">
        <f t="shared" si="97"/>
        <v>NAME_PkMn_FINNEON</v>
      </c>
      <c r="B457" s="3" t="s">
        <v>2508</v>
      </c>
      <c r="C457" s="3" t="s">
        <v>2509</v>
      </c>
      <c r="D457" s="3" t="s">
        <v>2510</v>
      </c>
      <c r="E457" s="5" t="str">
        <f t="shared" ref="E457:E458" si="101">B457</f>
        <v>Finneon</v>
      </c>
      <c r="F457" s="5" t="str">
        <f t="shared" si="2"/>
        <v>Finneon</v>
      </c>
      <c r="G457" s="5" t="str">
        <f t="shared" si="3"/>
        <v>Finneon</v>
      </c>
      <c r="H457" s="3" t="s">
        <v>2511</v>
      </c>
      <c r="I457" s="3" t="s">
        <v>2512</v>
      </c>
      <c r="J457" s="5" t="str">
        <f>IFERROR(__xludf.DUMMYFUNCTION("GOOGLETRANSLATE(I457,""zh_HANT"",""zh_HANS"")"),"萤光鱼")</f>
        <v>萤光鱼</v>
      </c>
    </row>
    <row r="458">
      <c r="A458" s="3" t="str">
        <f t="shared" si="97"/>
        <v>NAME_PkMn_LUMINEON</v>
      </c>
      <c r="B458" s="3" t="s">
        <v>2513</v>
      </c>
      <c r="C458" s="3" t="s">
        <v>2514</v>
      </c>
      <c r="D458" s="3" t="s">
        <v>2515</v>
      </c>
      <c r="E458" s="5" t="str">
        <f t="shared" si="101"/>
        <v>Lumineon</v>
      </c>
      <c r="F458" s="5" t="str">
        <f t="shared" si="2"/>
        <v>Lumineon</v>
      </c>
      <c r="G458" s="5" t="str">
        <f t="shared" si="3"/>
        <v>Lumineon</v>
      </c>
      <c r="H458" s="3" t="s">
        <v>2516</v>
      </c>
      <c r="I458" s="3" t="s">
        <v>2517</v>
      </c>
      <c r="J458" s="5" t="str">
        <f>IFERROR(__xludf.DUMMYFUNCTION("GOOGLETRANSLATE(I458,""zh_HANT"",""zh_HANS"")"),"霓虹鱼")</f>
        <v>霓虹鱼</v>
      </c>
    </row>
    <row r="459">
      <c r="A459" s="3" t="str">
        <f t="shared" si="97"/>
        <v>NAME_PkMn_MANTYKE</v>
      </c>
      <c r="B459" s="3" t="s">
        <v>2518</v>
      </c>
      <c r="C459" s="3" t="s">
        <v>2519</v>
      </c>
      <c r="D459" s="3" t="s">
        <v>2520</v>
      </c>
      <c r="E459" s="3" t="s">
        <v>2521</v>
      </c>
      <c r="F459" s="5" t="str">
        <f t="shared" si="2"/>
        <v>Mantyke</v>
      </c>
      <c r="G459" s="5" t="str">
        <f t="shared" si="3"/>
        <v>Mantyke</v>
      </c>
      <c r="H459" s="3" t="s">
        <v>2522</v>
      </c>
      <c r="I459" s="3" t="s">
        <v>2523</v>
      </c>
      <c r="J459" s="5" t="str">
        <f>IFERROR(__xludf.DUMMYFUNCTION("GOOGLETRANSLATE(I459,""zh_HANT"",""zh_HANS"")"),"小球飞鱼")</f>
        <v>小球飞鱼</v>
      </c>
    </row>
    <row r="460">
      <c r="A460" s="3" t="str">
        <f t="shared" si="97"/>
        <v>NAME_PkMn_SNOVER</v>
      </c>
      <c r="B460" s="3" t="s">
        <v>2524</v>
      </c>
      <c r="C460" s="3" t="s">
        <v>2525</v>
      </c>
      <c r="D460" s="3" t="s">
        <v>2526</v>
      </c>
      <c r="E460" s="3" t="s">
        <v>2527</v>
      </c>
      <c r="F460" s="5" t="str">
        <f t="shared" si="2"/>
        <v>Snover</v>
      </c>
      <c r="G460" s="5" t="str">
        <f t="shared" si="3"/>
        <v>Snover</v>
      </c>
      <c r="H460" s="3" t="s">
        <v>2528</v>
      </c>
      <c r="I460" s="3" t="s">
        <v>2529</v>
      </c>
      <c r="J460" s="5" t="str">
        <f>I460</f>
        <v>雪笠怪</v>
      </c>
    </row>
    <row r="461">
      <c r="A461" s="3" t="str">
        <f t="shared" si="97"/>
        <v>NAME_PkMn_ABOMASNOW</v>
      </c>
      <c r="B461" s="3" t="s">
        <v>2530</v>
      </c>
      <c r="C461" s="3" t="s">
        <v>2531</v>
      </c>
      <c r="D461" s="3" t="s">
        <v>2532</v>
      </c>
      <c r="E461" s="3" t="s">
        <v>2533</v>
      </c>
      <c r="F461" s="5" t="str">
        <f t="shared" si="2"/>
        <v>Abomasnow</v>
      </c>
      <c r="G461" s="5" t="str">
        <f t="shared" si="3"/>
        <v>Abomasnow</v>
      </c>
      <c r="H461" s="3" t="s">
        <v>2534</v>
      </c>
      <c r="I461" s="5" t="str">
        <f>IFERROR(__xludf.DUMMYFUNCTION("GOOGLETRANSLATE(J461,""zh_HANS"",""zh_HANT"")"),"暴雪王")</f>
        <v>暴雪王</v>
      </c>
      <c r="J461" s="3" t="s">
        <v>2535</v>
      </c>
    </row>
    <row r="462">
      <c r="A462" s="3" t="str">
        <f t="shared" si="97"/>
        <v>NAME_PkMn_WEAVILE</v>
      </c>
      <c r="B462" s="3" t="s">
        <v>2536</v>
      </c>
      <c r="C462" s="3" t="s">
        <v>2537</v>
      </c>
      <c r="D462" s="3" t="s">
        <v>2538</v>
      </c>
      <c r="E462" s="3" t="s">
        <v>2539</v>
      </c>
      <c r="F462" s="5" t="str">
        <f t="shared" si="2"/>
        <v>Weavile</v>
      </c>
      <c r="G462" s="5" t="str">
        <f t="shared" si="3"/>
        <v>Weavile</v>
      </c>
      <c r="H462" s="3" t="s">
        <v>2540</v>
      </c>
      <c r="I462" s="3" t="s">
        <v>2541</v>
      </c>
      <c r="J462" s="5" t="str">
        <f>IFERROR(__xludf.DUMMYFUNCTION("GOOGLETRANSLATE(I462,""zh_HANT"",""zh_HANS"")"),"玛狃拉")</f>
        <v>玛狃拉</v>
      </c>
    </row>
    <row r="463">
      <c r="A463" s="3" t="str">
        <f t="shared" si="97"/>
        <v>NAME_PkMn_MAGNEZONE</v>
      </c>
      <c r="B463" s="3" t="s">
        <v>2542</v>
      </c>
      <c r="C463" s="3" t="s">
        <v>2543</v>
      </c>
      <c r="D463" s="3" t="s">
        <v>2544</v>
      </c>
      <c r="E463" s="5" t="str">
        <f>B463</f>
        <v>Magnezone</v>
      </c>
      <c r="F463" s="5" t="str">
        <f t="shared" si="2"/>
        <v>Magnezone</v>
      </c>
      <c r="G463" s="5" t="str">
        <f t="shared" si="3"/>
        <v>Magnezone</v>
      </c>
      <c r="H463" s="3" t="s">
        <v>2545</v>
      </c>
      <c r="I463" s="3" t="s">
        <v>2546</v>
      </c>
      <c r="J463" s="5" t="str">
        <f t="shared" ref="J463:J466" si="102">I463</f>
        <v>自爆磁怪</v>
      </c>
    </row>
    <row r="464">
      <c r="A464" s="3" t="str">
        <f t="shared" si="97"/>
        <v>NAME_PkMn_LICKILICKY</v>
      </c>
      <c r="B464" s="3" t="s">
        <v>2547</v>
      </c>
      <c r="C464" s="3" t="s">
        <v>2548</v>
      </c>
      <c r="D464" s="3" t="s">
        <v>2549</v>
      </c>
      <c r="E464" s="3" t="s">
        <v>2550</v>
      </c>
      <c r="F464" s="5" t="str">
        <f t="shared" si="2"/>
        <v>Lickilicky</v>
      </c>
      <c r="G464" s="5" t="str">
        <f t="shared" si="3"/>
        <v>Lickilicky</v>
      </c>
      <c r="H464" s="3" t="s">
        <v>2551</v>
      </c>
      <c r="I464" s="3" t="s">
        <v>2552</v>
      </c>
      <c r="J464" s="5" t="str">
        <f t="shared" si="102"/>
        <v>大舌舔</v>
      </c>
    </row>
    <row r="465">
      <c r="A465" s="3" t="str">
        <f t="shared" si="97"/>
        <v>NAME_PkMn_RHYPERIOR</v>
      </c>
      <c r="B465" s="3" t="s">
        <v>2553</v>
      </c>
      <c r="C465" s="3" t="s">
        <v>2554</v>
      </c>
      <c r="D465" s="3" t="s">
        <v>2555</v>
      </c>
      <c r="E465" s="3" t="s">
        <v>2556</v>
      </c>
      <c r="F465" s="5" t="str">
        <f t="shared" si="2"/>
        <v>Rhyperior</v>
      </c>
      <c r="G465" s="5" t="str">
        <f t="shared" si="3"/>
        <v>Rhyperior</v>
      </c>
      <c r="H465" s="3" t="s">
        <v>2557</v>
      </c>
      <c r="I465" s="3" t="s">
        <v>2558</v>
      </c>
      <c r="J465" s="5" t="str">
        <f t="shared" si="102"/>
        <v>超甲狂犀</v>
      </c>
    </row>
    <row r="466">
      <c r="A466" s="3" t="str">
        <f t="shared" si="97"/>
        <v>NAME_PkMn_TANGROWTH</v>
      </c>
      <c r="B466" s="3" t="s">
        <v>2559</v>
      </c>
      <c r="C466" s="3" t="s">
        <v>2560</v>
      </c>
      <c r="D466" s="3" t="s">
        <v>2561</v>
      </c>
      <c r="E466" s="3" t="s">
        <v>2562</v>
      </c>
      <c r="F466" s="5" t="str">
        <f t="shared" si="2"/>
        <v>Tangrowth</v>
      </c>
      <c r="G466" s="5" t="str">
        <f t="shared" si="3"/>
        <v>Tangrowth</v>
      </c>
      <c r="H466" s="3" t="s">
        <v>2563</v>
      </c>
      <c r="I466" s="3" t="s">
        <v>2564</v>
      </c>
      <c r="J466" s="5" t="str">
        <f t="shared" si="102"/>
        <v>巨蔓藤</v>
      </c>
    </row>
    <row r="467">
      <c r="A467" s="3" t="str">
        <f t="shared" si="97"/>
        <v>NAME_PkMn_ELECTIVIRE</v>
      </c>
      <c r="B467" s="3" t="s">
        <v>2565</v>
      </c>
      <c r="C467" s="3" t="s">
        <v>2566</v>
      </c>
      <c r="D467" s="3" t="s">
        <v>2567</v>
      </c>
      <c r="E467" s="3" t="s">
        <v>2568</v>
      </c>
      <c r="F467" s="5" t="str">
        <f t="shared" si="2"/>
        <v>Electivire</v>
      </c>
      <c r="G467" s="5" t="str">
        <f t="shared" si="3"/>
        <v>Electivire</v>
      </c>
      <c r="H467" s="3" t="s">
        <v>2569</v>
      </c>
      <c r="I467" s="3" t="s">
        <v>2570</v>
      </c>
      <c r="J467" s="5" t="str">
        <f>IFERROR(__xludf.DUMMYFUNCTION("GOOGLETRANSLATE(I467,""zh_HANT"",""zh_HANS"")"),"电击魔兽")</f>
        <v>电击魔兽</v>
      </c>
    </row>
    <row r="468">
      <c r="A468" s="3" t="str">
        <f t="shared" si="97"/>
        <v>NAME_PkMn_MAGMORTAR</v>
      </c>
      <c r="B468" s="3" t="s">
        <v>2571</v>
      </c>
      <c r="C468" s="3" t="s">
        <v>2572</v>
      </c>
      <c r="D468" s="3" t="s">
        <v>2573</v>
      </c>
      <c r="E468" s="3" t="s">
        <v>2574</v>
      </c>
      <c r="F468" s="5" t="str">
        <f t="shared" si="2"/>
        <v>Magmortar</v>
      </c>
      <c r="G468" s="5" t="str">
        <f t="shared" si="3"/>
        <v>Magmortar</v>
      </c>
      <c r="H468" s="3" t="s">
        <v>2575</v>
      </c>
      <c r="I468" s="3" t="s">
        <v>2576</v>
      </c>
      <c r="J468" s="5" t="str">
        <f>IFERROR(__xludf.DUMMYFUNCTION("GOOGLETRANSLATE(I468,""zh_HANT"",""zh_HANS"")"),"鸭嘴炎兽")</f>
        <v>鸭嘴炎兽</v>
      </c>
    </row>
    <row r="469">
      <c r="A469" s="3" t="str">
        <f t="shared" si="97"/>
        <v>NAME_PkMn_TOGEKISS</v>
      </c>
      <c r="B469" s="3" t="s">
        <v>2577</v>
      </c>
      <c r="C469" s="3" t="s">
        <v>2578</v>
      </c>
      <c r="D469" s="5" t="str">
        <f t="shared" ref="D469:D470" si="103">B469</f>
        <v>Togekiss</v>
      </c>
      <c r="E469" s="3" t="str">
        <f t="shared" ref="E469:E470" si="104">B469</f>
        <v>Togekiss</v>
      </c>
      <c r="F469" s="5" t="str">
        <f t="shared" si="2"/>
        <v>Togekiss</v>
      </c>
      <c r="G469" s="5" t="str">
        <f t="shared" si="3"/>
        <v>Togekiss</v>
      </c>
      <c r="H469" s="3" t="s">
        <v>2579</v>
      </c>
      <c r="I469" s="3" t="s">
        <v>2580</v>
      </c>
      <c r="J469" s="5" t="str">
        <f>I469</f>
        <v>波克基斯</v>
      </c>
    </row>
    <row r="470">
      <c r="A470" s="3" t="str">
        <f t="shared" si="97"/>
        <v>NAME_PkMn_YANMEGA</v>
      </c>
      <c r="B470" s="3" t="s">
        <v>2581</v>
      </c>
      <c r="C470" s="3" t="s">
        <v>2582</v>
      </c>
      <c r="D470" s="5" t="str">
        <f t="shared" si="103"/>
        <v>Yanmega</v>
      </c>
      <c r="E470" s="5" t="str">
        <f t="shared" si="104"/>
        <v>Yanmega</v>
      </c>
      <c r="F470" s="5" t="str">
        <f t="shared" si="2"/>
        <v>Yanmega</v>
      </c>
      <c r="G470" s="5" t="str">
        <f t="shared" si="3"/>
        <v>Yanmega</v>
      </c>
      <c r="H470" s="3" t="s">
        <v>2583</v>
      </c>
      <c r="I470" s="3" t="s">
        <v>2584</v>
      </c>
      <c r="J470" s="5" t="str">
        <f>IFERROR(__xludf.DUMMYFUNCTION("GOOGLETRANSLATE(I470,""zh_HANT"",""zh_HANS"")"),"远古巨蜓")</f>
        <v>远古巨蜓</v>
      </c>
    </row>
    <row r="471">
      <c r="A471" s="3" t="str">
        <f t="shared" si="97"/>
        <v>NAME_PkMn_LEAFEON</v>
      </c>
      <c r="B471" s="3" t="s">
        <v>2585</v>
      </c>
      <c r="C471" s="3" t="s">
        <v>2586</v>
      </c>
      <c r="D471" s="3" t="s">
        <v>2587</v>
      </c>
      <c r="E471" s="3" t="s">
        <v>2588</v>
      </c>
      <c r="F471" s="5" t="str">
        <f t="shared" si="2"/>
        <v>Leafeon</v>
      </c>
      <c r="G471" s="5" t="str">
        <f t="shared" si="3"/>
        <v>Leafeon</v>
      </c>
      <c r="H471" s="3" t="s">
        <v>2589</v>
      </c>
      <c r="I471" s="3" t="s">
        <v>2590</v>
      </c>
      <c r="J471" s="5" t="str">
        <f>IFERROR(__xludf.DUMMYFUNCTION("GOOGLETRANSLATE(I471,""zh_HANT"",""zh_HANS"")"),"叶伊布")</f>
        <v>叶伊布</v>
      </c>
    </row>
    <row r="472">
      <c r="A472" s="3" t="str">
        <f t="shared" si="97"/>
        <v>NAME_PkMn_GLACEON</v>
      </c>
      <c r="B472" s="3" t="s">
        <v>2591</v>
      </c>
      <c r="C472" s="3" t="s">
        <v>2592</v>
      </c>
      <c r="D472" s="3" t="s">
        <v>2593</v>
      </c>
      <c r="E472" s="3" t="s">
        <v>2594</v>
      </c>
      <c r="F472" s="5" t="str">
        <f t="shared" si="2"/>
        <v>Glaceon</v>
      </c>
      <c r="G472" s="5" t="str">
        <f t="shared" si="3"/>
        <v>Glaceon</v>
      </c>
      <c r="H472" s="3" t="s">
        <v>2595</v>
      </c>
      <c r="I472" s="3" t="s">
        <v>2596</v>
      </c>
      <c r="J472" s="5" t="str">
        <f>IFERROR(__xludf.DUMMYFUNCTION("GOOGLETRANSLATE(I472,""zh_HANT"",""zh_HANS"")"),"冰伊布")</f>
        <v>冰伊布</v>
      </c>
    </row>
    <row r="473">
      <c r="A473" s="3" t="str">
        <f t="shared" si="97"/>
        <v>NAME_PkMn_GLISCOR</v>
      </c>
      <c r="B473" s="3" t="s">
        <v>2597</v>
      </c>
      <c r="C473" s="3" t="s">
        <v>2598</v>
      </c>
      <c r="D473" s="3" t="s">
        <v>2599</v>
      </c>
      <c r="E473" s="3" t="s">
        <v>2600</v>
      </c>
      <c r="F473" s="5" t="str">
        <f t="shared" si="2"/>
        <v>Gliscor</v>
      </c>
      <c r="G473" s="5" t="str">
        <f t="shared" si="3"/>
        <v>Gliscor</v>
      </c>
      <c r="H473" s="3" t="s">
        <v>2601</v>
      </c>
      <c r="I473" s="3" t="s">
        <v>2602</v>
      </c>
      <c r="J473" s="5" t="str">
        <f>IFERROR(__xludf.DUMMYFUNCTION("GOOGLETRANSLATE(I473,""zh_HANT"",""zh_HANS"")"),"天蝎王")</f>
        <v>天蝎王</v>
      </c>
    </row>
    <row r="474">
      <c r="A474" s="3" t="str">
        <f t="shared" si="97"/>
        <v>NAME_PkMn_MAMOSWINE</v>
      </c>
      <c r="B474" s="3" t="s">
        <v>2603</v>
      </c>
      <c r="C474" s="3" t="s">
        <v>2604</v>
      </c>
      <c r="D474" s="3" t="s">
        <v>2605</v>
      </c>
      <c r="E474" s="3" t="s">
        <v>2606</v>
      </c>
      <c r="F474" s="5" t="str">
        <f t="shared" si="2"/>
        <v>Mamoswine</v>
      </c>
      <c r="G474" s="5" t="str">
        <f t="shared" si="3"/>
        <v>Mamoswine</v>
      </c>
      <c r="H474" s="3" t="s">
        <v>2607</v>
      </c>
      <c r="I474" s="3" t="s">
        <v>2608</v>
      </c>
      <c r="J474" s="5" t="str">
        <f>IFERROR(__xludf.DUMMYFUNCTION("GOOGLETRANSLATE(I474,""zh_HANT"",""zh_HANS"")"),"象牙猪")</f>
        <v>象牙猪</v>
      </c>
    </row>
    <row r="475">
      <c r="A475" s="3" t="s">
        <v>2609</v>
      </c>
      <c r="B475" s="3" t="s">
        <v>2610</v>
      </c>
      <c r="C475" s="3" t="s">
        <v>2611</v>
      </c>
      <c r="D475" s="5" t="str">
        <f>B475</f>
        <v>Porygon-Z</v>
      </c>
      <c r="E475" s="5" t="str">
        <f>B475</f>
        <v>Porygon-Z</v>
      </c>
      <c r="F475" s="5" t="str">
        <f t="shared" si="2"/>
        <v>Porygon-Z</v>
      </c>
      <c r="G475" s="5" t="str">
        <f t="shared" si="3"/>
        <v>Porygon-Z</v>
      </c>
      <c r="H475" s="5" t="str">
        <f t="shared" ref="H475:I475" si="105">CONCATENATE(H138,"Ｚ")</f>
        <v>폴리곤Ｚ</v>
      </c>
      <c r="I475" s="5" t="str">
        <f t="shared" si="105"/>
        <v>多邊獸Ｚ</v>
      </c>
      <c r="J475" s="3" t="s">
        <v>2612</v>
      </c>
    </row>
    <row r="476">
      <c r="A476" s="3" t="str">
        <f t="shared" ref="A476:A669" si="106">CONCATENATE("NAME_PkMn_", UPPER(B476))</f>
        <v>NAME_PkMn_GALLADE</v>
      </c>
      <c r="B476" s="3" t="s">
        <v>2613</v>
      </c>
      <c r="C476" s="3" t="s">
        <v>2614</v>
      </c>
      <c r="D476" s="3" t="s">
        <v>2615</v>
      </c>
      <c r="E476" s="3" t="s">
        <v>2616</v>
      </c>
      <c r="F476" s="5" t="str">
        <f t="shared" si="2"/>
        <v>Gallade</v>
      </c>
      <c r="G476" s="5" t="str">
        <f t="shared" si="3"/>
        <v>Gallade</v>
      </c>
      <c r="H476" s="3" t="s">
        <v>2617</v>
      </c>
      <c r="I476" s="5" t="str">
        <f>J476</f>
        <v>艾路雷朵</v>
      </c>
      <c r="J476" s="3" t="s">
        <v>2618</v>
      </c>
    </row>
    <row r="477">
      <c r="A477" s="3" t="str">
        <f t="shared" si="106"/>
        <v>NAME_PkMn_PROBOPASS</v>
      </c>
      <c r="B477" s="3" t="s">
        <v>2619</v>
      </c>
      <c r="C477" s="3" t="s">
        <v>2620</v>
      </c>
      <c r="D477" s="3" t="s">
        <v>2621</v>
      </c>
      <c r="E477" s="3" t="s">
        <v>2622</v>
      </c>
      <c r="F477" s="5" t="str">
        <f t="shared" si="2"/>
        <v>Probopass</v>
      </c>
      <c r="G477" s="5" t="str">
        <f t="shared" si="3"/>
        <v>Probopass</v>
      </c>
      <c r="H477" s="3" t="s">
        <v>2623</v>
      </c>
      <c r="I477" s="3" t="s">
        <v>2624</v>
      </c>
      <c r="J477" s="5" t="str">
        <f>I477</f>
        <v>大朝北鼻</v>
      </c>
    </row>
    <row r="478">
      <c r="A478" s="3" t="str">
        <f t="shared" si="106"/>
        <v>NAME_PkMn_DUSKNOIR</v>
      </c>
      <c r="B478" s="3" t="s">
        <v>2625</v>
      </c>
      <c r="C478" s="3" t="s">
        <v>2626</v>
      </c>
      <c r="D478" s="3" t="s">
        <v>2627</v>
      </c>
      <c r="E478" s="3" t="s">
        <v>1962</v>
      </c>
      <c r="F478" s="5" t="str">
        <f t="shared" si="2"/>
        <v>Dusknoir</v>
      </c>
      <c r="G478" s="5" t="str">
        <f t="shared" si="3"/>
        <v>Dusknoir</v>
      </c>
      <c r="H478" s="3" t="s">
        <v>2628</v>
      </c>
      <c r="I478" s="3" t="s">
        <v>2629</v>
      </c>
      <c r="J478" s="5" t="str">
        <f>IFERROR(__xludf.DUMMYFUNCTION("GOOGLETRANSLATE(I478,""zh_HANT"",""zh_HANS"")"),"黑夜魔灵")</f>
        <v>黑夜魔灵</v>
      </c>
    </row>
    <row r="479">
      <c r="A479" s="3" t="str">
        <f t="shared" si="106"/>
        <v>NAME_PkMn_FROSLASS</v>
      </c>
      <c r="B479" s="3" t="s">
        <v>2630</v>
      </c>
      <c r="C479" s="3" t="s">
        <v>2631</v>
      </c>
      <c r="D479" s="3" t="s">
        <v>2632</v>
      </c>
      <c r="E479" s="3" t="s">
        <v>2633</v>
      </c>
      <c r="F479" s="5" t="str">
        <f t="shared" si="2"/>
        <v>Froslass</v>
      </c>
      <c r="G479" s="5" t="str">
        <f t="shared" si="3"/>
        <v>Froslass</v>
      </c>
      <c r="H479" s="3" t="s">
        <v>2634</v>
      </c>
      <c r="I479" s="3" t="s">
        <v>2635</v>
      </c>
      <c r="J479" s="5" t="str">
        <f t="shared" ref="J479:J482" si="107">I479</f>
        <v>雪妖女</v>
      </c>
    </row>
    <row r="480">
      <c r="A480" s="3" t="str">
        <f t="shared" si="106"/>
        <v>NAME_PkMn_ROTOM</v>
      </c>
      <c r="B480" s="3" t="s">
        <v>2636</v>
      </c>
      <c r="C480" s="3" t="s">
        <v>2637</v>
      </c>
      <c r="D480" s="3" t="s">
        <v>2638</v>
      </c>
      <c r="E480" s="5" t="str">
        <f>B480</f>
        <v>Rotom</v>
      </c>
      <c r="F480" s="5" t="str">
        <f t="shared" si="2"/>
        <v>Rotom</v>
      </c>
      <c r="G480" s="5" t="str">
        <f t="shared" si="3"/>
        <v>Rotom</v>
      </c>
      <c r="H480" s="3" t="s">
        <v>2639</v>
      </c>
      <c r="I480" s="3" t="s">
        <v>2640</v>
      </c>
      <c r="J480" s="5" t="str">
        <f t="shared" si="107"/>
        <v>洛托姆</v>
      </c>
    </row>
    <row r="481">
      <c r="A481" s="3" t="str">
        <f t="shared" si="106"/>
        <v>NAME_PkMn_UXIE</v>
      </c>
      <c r="B481" s="3" t="s">
        <v>2641</v>
      </c>
      <c r="C481" s="3" t="s">
        <v>2642</v>
      </c>
      <c r="D481" s="3" t="s">
        <v>2643</v>
      </c>
      <c r="E481" s="3" t="s">
        <v>2644</v>
      </c>
      <c r="F481" s="5" t="str">
        <f t="shared" si="2"/>
        <v>Uxie</v>
      </c>
      <c r="G481" s="5" t="str">
        <f t="shared" si="3"/>
        <v>Uxie</v>
      </c>
      <c r="H481" s="3" t="s">
        <v>2645</v>
      </c>
      <c r="I481" s="3" t="s">
        <v>2646</v>
      </c>
      <c r="J481" s="5" t="str">
        <f t="shared" si="107"/>
        <v>由克希</v>
      </c>
    </row>
    <row r="482">
      <c r="A482" s="3" t="str">
        <f t="shared" si="106"/>
        <v>NAME_PkMn_MESPRIT</v>
      </c>
      <c r="B482" s="3" t="s">
        <v>2647</v>
      </c>
      <c r="C482" s="3" t="s">
        <v>2648</v>
      </c>
      <c r="D482" s="3" t="s">
        <v>2649</v>
      </c>
      <c r="E482" s="3" t="s">
        <v>2650</v>
      </c>
      <c r="F482" s="5" t="str">
        <f t="shared" si="2"/>
        <v>Mesprit</v>
      </c>
      <c r="G482" s="5" t="str">
        <f t="shared" si="3"/>
        <v>Mesprit</v>
      </c>
      <c r="H482" s="3" t="s">
        <v>2651</v>
      </c>
      <c r="I482" s="3" t="s">
        <v>2652</v>
      </c>
      <c r="J482" s="5" t="str">
        <f t="shared" si="107"/>
        <v>艾姆利多</v>
      </c>
    </row>
    <row r="483">
      <c r="A483" s="3" t="str">
        <f t="shared" si="106"/>
        <v>NAME_PkMn_AZELF</v>
      </c>
      <c r="B483" s="3" t="s">
        <v>2653</v>
      </c>
      <c r="C483" s="3" t="s">
        <v>2654</v>
      </c>
      <c r="D483" s="3" t="s">
        <v>2655</v>
      </c>
      <c r="E483" s="3" t="s">
        <v>2656</v>
      </c>
      <c r="F483" s="5" t="str">
        <f t="shared" si="2"/>
        <v>Azelf</v>
      </c>
      <c r="G483" s="5" t="str">
        <f t="shared" si="3"/>
        <v>Azelf</v>
      </c>
      <c r="H483" s="3" t="s">
        <v>2657</v>
      </c>
      <c r="I483" s="3" t="s">
        <v>2658</v>
      </c>
      <c r="J483" s="5" t="str">
        <f>IFERROR(__xludf.DUMMYFUNCTION("GOOGLETRANSLATE(I483,""zh_HANT"",""zh_HANS"")"),"亚克诺姆")</f>
        <v>亚克诺姆</v>
      </c>
    </row>
    <row r="484">
      <c r="A484" s="3" t="str">
        <f t="shared" si="106"/>
        <v>NAME_PkMn_DIALGA</v>
      </c>
      <c r="B484" s="3" t="s">
        <v>2659</v>
      </c>
      <c r="C484" s="3" t="s">
        <v>2660</v>
      </c>
      <c r="D484" s="5" t="str">
        <f t="shared" ref="D484:D495" si="108">B484</f>
        <v>Dialga</v>
      </c>
      <c r="E484" s="5" t="str">
        <f t="shared" ref="E484:E495" si="109">B484</f>
        <v>Dialga</v>
      </c>
      <c r="F484" s="5" t="str">
        <f t="shared" si="2"/>
        <v>Dialga</v>
      </c>
      <c r="G484" s="5" t="str">
        <f t="shared" si="3"/>
        <v>Dialga</v>
      </c>
      <c r="H484" s="3" t="s">
        <v>2661</v>
      </c>
      <c r="I484" s="3" t="s">
        <v>2662</v>
      </c>
      <c r="J484" s="5" t="str">
        <f>IFERROR(__xludf.DUMMYFUNCTION("GOOGLETRANSLATE(I484,""zh_HANT"",""zh_HANS"")"),"帝牙卢卡")</f>
        <v>帝牙卢卡</v>
      </c>
    </row>
    <row r="485">
      <c r="A485" s="3" t="str">
        <f t="shared" si="106"/>
        <v>NAME_PkMn_PALKIA</v>
      </c>
      <c r="B485" s="3" t="s">
        <v>2663</v>
      </c>
      <c r="C485" s="3" t="s">
        <v>2664</v>
      </c>
      <c r="D485" s="5" t="str">
        <f t="shared" si="108"/>
        <v>Palkia</v>
      </c>
      <c r="E485" s="5" t="str">
        <f t="shared" si="109"/>
        <v>Palkia</v>
      </c>
      <c r="F485" s="5" t="str">
        <f t="shared" si="2"/>
        <v>Palkia</v>
      </c>
      <c r="G485" s="5" t="str">
        <f t="shared" si="3"/>
        <v>Palkia</v>
      </c>
      <c r="H485" s="3" t="s">
        <v>2665</v>
      </c>
      <c r="I485" s="3" t="s">
        <v>2666</v>
      </c>
      <c r="J485" s="5" t="str">
        <f>IFERROR(__xludf.DUMMYFUNCTION("GOOGLETRANSLATE(I485,""zh_HANT"",""zh_HANS"")"),"帕路奇亚")</f>
        <v>帕路奇亚</v>
      </c>
    </row>
    <row r="486">
      <c r="A486" s="3" t="str">
        <f t="shared" si="106"/>
        <v>NAME_PkMn_HEATRAN</v>
      </c>
      <c r="B486" s="3" t="s">
        <v>2667</v>
      </c>
      <c r="C486" s="3" t="s">
        <v>2668</v>
      </c>
      <c r="D486" s="5" t="str">
        <f t="shared" si="108"/>
        <v>Heatran</v>
      </c>
      <c r="E486" s="5" t="str">
        <f t="shared" si="109"/>
        <v>Heatran</v>
      </c>
      <c r="F486" s="5" t="str">
        <f t="shared" si="2"/>
        <v>Heatran</v>
      </c>
      <c r="G486" s="5" t="str">
        <f t="shared" si="3"/>
        <v>Heatran</v>
      </c>
      <c r="H486" s="3" t="s">
        <v>2669</v>
      </c>
      <c r="I486" s="3" t="s">
        <v>2670</v>
      </c>
      <c r="J486" s="5" t="str">
        <f>IFERROR(__xludf.DUMMYFUNCTION("GOOGLETRANSLATE(I486,""zh_HANT"",""zh_HANS"")"),"席多蓝恩")</f>
        <v>席多蓝恩</v>
      </c>
    </row>
    <row r="487">
      <c r="A487" s="3" t="str">
        <f t="shared" si="106"/>
        <v>NAME_PkMn_REGIGIGAS</v>
      </c>
      <c r="B487" s="3" t="s">
        <v>2671</v>
      </c>
      <c r="C487" s="3" t="s">
        <v>2672</v>
      </c>
      <c r="D487" s="5" t="str">
        <f t="shared" si="108"/>
        <v>Regigigas</v>
      </c>
      <c r="E487" s="5" t="str">
        <f t="shared" si="109"/>
        <v>Regigigas</v>
      </c>
      <c r="F487" s="5" t="str">
        <f t="shared" si="2"/>
        <v>Regigigas</v>
      </c>
      <c r="G487" s="5" t="str">
        <f t="shared" si="3"/>
        <v>Regigigas</v>
      </c>
      <c r="H487" s="3" t="s">
        <v>2673</v>
      </c>
      <c r="I487" s="3" t="s">
        <v>2674</v>
      </c>
      <c r="J487" s="5" t="str">
        <f>I487</f>
        <v>雷吉奇卡斯</v>
      </c>
    </row>
    <row r="488">
      <c r="A488" s="3" t="str">
        <f t="shared" si="106"/>
        <v>NAME_PkMn_GIRATINA</v>
      </c>
      <c r="B488" s="3" t="s">
        <v>2675</v>
      </c>
      <c r="C488" s="3" t="s">
        <v>2676</v>
      </c>
      <c r="D488" s="5" t="str">
        <f t="shared" si="108"/>
        <v>Giratina</v>
      </c>
      <c r="E488" s="5" t="str">
        <f t="shared" si="109"/>
        <v>Giratina</v>
      </c>
      <c r="F488" s="5" t="str">
        <f t="shared" si="2"/>
        <v>Giratina</v>
      </c>
      <c r="G488" s="5" t="str">
        <f t="shared" si="3"/>
        <v>Giratina</v>
      </c>
      <c r="H488" s="3" t="s">
        <v>2677</v>
      </c>
      <c r="I488" s="3" t="s">
        <v>2678</v>
      </c>
      <c r="J488" s="5" t="str">
        <f>IFERROR(__xludf.DUMMYFUNCTION("GOOGLETRANSLATE(I488,""zh_HANT"",""zh_HANS"")"),"骑拉帝纳")</f>
        <v>骑拉帝纳</v>
      </c>
    </row>
    <row r="489">
      <c r="A489" s="3" t="str">
        <f t="shared" si="106"/>
        <v>NAME_PkMn_CRESSELIA</v>
      </c>
      <c r="B489" s="3" t="s">
        <v>2679</v>
      </c>
      <c r="C489" s="3" t="s">
        <v>2680</v>
      </c>
      <c r="D489" s="5" t="str">
        <f t="shared" si="108"/>
        <v>Cresselia</v>
      </c>
      <c r="E489" s="5" t="str">
        <f t="shared" si="109"/>
        <v>Cresselia</v>
      </c>
      <c r="F489" s="5" t="str">
        <f t="shared" si="2"/>
        <v>Cresselia</v>
      </c>
      <c r="G489" s="5" t="str">
        <f t="shared" si="3"/>
        <v>Cresselia</v>
      </c>
      <c r="H489" s="3" t="s">
        <v>2681</v>
      </c>
      <c r="I489" s="3" t="s">
        <v>2682</v>
      </c>
      <c r="J489" s="5" t="str">
        <f>IFERROR(__xludf.DUMMYFUNCTION("GOOGLETRANSLATE(I489,""zh_HANT"",""zh_HANS"")"),"克雷色利亚")</f>
        <v>克雷色利亚</v>
      </c>
    </row>
    <row r="490">
      <c r="A490" s="3" t="str">
        <f t="shared" si="106"/>
        <v>NAME_PkMn_PHIONE</v>
      </c>
      <c r="B490" s="3" t="s">
        <v>2683</v>
      </c>
      <c r="C490" s="3" t="s">
        <v>2684</v>
      </c>
      <c r="D490" s="5" t="str">
        <f t="shared" si="108"/>
        <v>Phione</v>
      </c>
      <c r="E490" s="5" t="str">
        <f t="shared" si="109"/>
        <v>Phione</v>
      </c>
      <c r="F490" s="5" t="str">
        <f t="shared" si="2"/>
        <v>Phione</v>
      </c>
      <c r="G490" s="5" t="str">
        <f t="shared" si="3"/>
        <v>Phione</v>
      </c>
      <c r="H490" s="3" t="s">
        <v>2685</v>
      </c>
      <c r="I490" s="3" t="s">
        <v>2686</v>
      </c>
      <c r="J490" s="5" t="str">
        <f>IFERROR(__xludf.DUMMYFUNCTION("GOOGLETRANSLATE(I490,""zh_HANT"",""zh_HANS"")"),"霏欧纳")</f>
        <v>霏欧纳</v>
      </c>
    </row>
    <row r="491">
      <c r="A491" s="3" t="str">
        <f t="shared" si="106"/>
        <v>NAME_PkMn_MANAPHY</v>
      </c>
      <c r="B491" s="3" t="s">
        <v>2687</v>
      </c>
      <c r="C491" s="3" t="s">
        <v>2688</v>
      </c>
      <c r="D491" s="5" t="str">
        <f t="shared" si="108"/>
        <v>Manaphy</v>
      </c>
      <c r="E491" s="5" t="str">
        <f t="shared" si="109"/>
        <v>Manaphy</v>
      </c>
      <c r="F491" s="5" t="str">
        <f t="shared" si="2"/>
        <v>Manaphy</v>
      </c>
      <c r="G491" s="5" t="str">
        <f t="shared" si="3"/>
        <v>Manaphy</v>
      </c>
      <c r="H491" s="3" t="s">
        <v>2689</v>
      </c>
      <c r="I491" s="3" t="s">
        <v>2690</v>
      </c>
      <c r="J491" s="5" t="str">
        <f>IFERROR(__xludf.DUMMYFUNCTION("GOOGLETRANSLATE(I491,""zh_HANT"",""zh_HANS"")"),"玛纳霏")</f>
        <v>玛纳霏</v>
      </c>
    </row>
    <row r="492">
      <c r="A492" s="3" t="str">
        <f t="shared" si="106"/>
        <v>NAME_PkMn_DARKRAI</v>
      </c>
      <c r="B492" s="3" t="s">
        <v>2691</v>
      </c>
      <c r="C492" s="3" t="s">
        <v>2692</v>
      </c>
      <c r="D492" s="5" t="str">
        <f t="shared" si="108"/>
        <v>Darkrai</v>
      </c>
      <c r="E492" s="5" t="str">
        <f t="shared" si="109"/>
        <v>Darkrai</v>
      </c>
      <c r="F492" s="5" t="str">
        <f t="shared" si="2"/>
        <v>Darkrai</v>
      </c>
      <c r="G492" s="5" t="str">
        <f t="shared" si="3"/>
        <v>Darkrai</v>
      </c>
      <c r="H492" s="3" t="s">
        <v>2693</v>
      </c>
      <c r="I492" s="3" t="s">
        <v>2694</v>
      </c>
      <c r="J492" s="5" t="str">
        <f>IFERROR(__xludf.DUMMYFUNCTION("GOOGLETRANSLATE(I492,""zh_HANT"",""zh_HANS"")"),"达克莱伊")</f>
        <v>达克莱伊</v>
      </c>
    </row>
    <row r="493">
      <c r="A493" s="3" t="str">
        <f t="shared" si="106"/>
        <v>NAME_PkMn_SHAYMIN</v>
      </c>
      <c r="B493" s="3" t="s">
        <v>2695</v>
      </c>
      <c r="C493" s="3" t="s">
        <v>2696</v>
      </c>
      <c r="D493" s="5" t="str">
        <f t="shared" si="108"/>
        <v>Shaymin</v>
      </c>
      <c r="E493" s="5" t="str">
        <f t="shared" si="109"/>
        <v>Shaymin</v>
      </c>
      <c r="F493" s="5" t="str">
        <f t="shared" si="2"/>
        <v>Shaymin</v>
      </c>
      <c r="G493" s="5" t="str">
        <f t="shared" si="3"/>
        <v>Shaymin</v>
      </c>
      <c r="H493" s="3" t="s">
        <v>2697</v>
      </c>
      <c r="I493" s="3" t="s">
        <v>2698</v>
      </c>
      <c r="J493" s="5" t="str">
        <f>IFERROR(__xludf.DUMMYFUNCTION("GOOGLETRANSLATE(I493,""zh_HANT"",""zh_HANS"")"),"谢米")</f>
        <v>谢米</v>
      </c>
    </row>
    <row r="494">
      <c r="A494" s="3" t="str">
        <f t="shared" si="106"/>
        <v>NAME_PkMn_ARCEUS</v>
      </c>
      <c r="B494" s="3" t="s">
        <v>2699</v>
      </c>
      <c r="C494" s="3" t="s">
        <v>2700</v>
      </c>
      <c r="D494" s="5" t="str">
        <f t="shared" si="108"/>
        <v>Arceus</v>
      </c>
      <c r="E494" s="5" t="str">
        <f t="shared" si="109"/>
        <v>Arceus</v>
      </c>
      <c r="F494" s="5" t="str">
        <f t="shared" si="2"/>
        <v>Arceus</v>
      </c>
      <c r="G494" s="5" t="str">
        <f t="shared" si="3"/>
        <v>Arceus</v>
      </c>
      <c r="H494" s="3" t="s">
        <v>2701</v>
      </c>
      <c r="I494" s="3" t="s">
        <v>2702</v>
      </c>
      <c r="J494" s="5" t="str">
        <f>IFERROR(__xludf.DUMMYFUNCTION("GOOGLETRANSLATE(I494,""zh_HANT"",""zh_HANS"")"),"阿尔宙斯")</f>
        <v>阿尔宙斯</v>
      </c>
    </row>
    <row r="495">
      <c r="A495" s="3" t="str">
        <f t="shared" si="106"/>
        <v>NAME_PkMn_VICTINI</v>
      </c>
      <c r="B495" s="3" t="s">
        <v>2703</v>
      </c>
      <c r="C495" s="3" t="s">
        <v>2704</v>
      </c>
      <c r="D495" s="5" t="str">
        <f t="shared" si="108"/>
        <v>Victini</v>
      </c>
      <c r="E495" s="5" t="str">
        <f t="shared" si="109"/>
        <v>Victini</v>
      </c>
      <c r="F495" s="5" t="str">
        <f t="shared" si="2"/>
        <v>Victini</v>
      </c>
      <c r="G495" s="5" t="str">
        <f t="shared" si="3"/>
        <v>Victini</v>
      </c>
      <c r="H495" s="3" t="s">
        <v>2701</v>
      </c>
      <c r="I495" s="3" t="s">
        <v>2705</v>
      </c>
      <c r="J495" s="5" t="str">
        <f t="shared" ref="J495:J498" si="110">I495</f>
        <v>比克提尼</v>
      </c>
    </row>
    <row r="496">
      <c r="A496" s="3" t="str">
        <f t="shared" si="106"/>
        <v>NAME_PkMn_SNIVY</v>
      </c>
      <c r="B496" s="3" t="s">
        <v>2706</v>
      </c>
      <c r="C496" s="3" t="s">
        <v>2707</v>
      </c>
      <c r="D496" s="3" t="s">
        <v>2708</v>
      </c>
      <c r="E496" s="3" t="s">
        <v>2709</v>
      </c>
      <c r="F496" s="5" t="str">
        <f t="shared" si="2"/>
        <v>Snivy</v>
      </c>
      <c r="G496" s="5" t="str">
        <f t="shared" si="3"/>
        <v>Snivy</v>
      </c>
      <c r="H496" s="3" t="s">
        <v>2710</v>
      </c>
      <c r="I496" s="3" t="s">
        <v>2711</v>
      </c>
      <c r="J496" s="5" t="str">
        <f t="shared" si="110"/>
        <v>藤藤蛇</v>
      </c>
    </row>
    <row r="497">
      <c r="A497" s="3" t="str">
        <f t="shared" si="106"/>
        <v>NAME_PkMn_SERVINE</v>
      </c>
      <c r="B497" s="3" t="s">
        <v>2712</v>
      </c>
      <c r="C497" s="3" t="s">
        <v>2713</v>
      </c>
      <c r="D497" s="3" t="s">
        <v>2714</v>
      </c>
      <c r="E497" s="3" t="s">
        <v>2715</v>
      </c>
      <c r="F497" s="5" t="str">
        <f t="shared" si="2"/>
        <v>Servine</v>
      </c>
      <c r="G497" s="5" t="str">
        <f t="shared" si="3"/>
        <v>Servine</v>
      </c>
      <c r="H497" s="3" t="s">
        <v>2716</v>
      </c>
      <c r="I497" s="3" t="s">
        <v>2717</v>
      </c>
      <c r="J497" s="5" t="str">
        <f t="shared" si="110"/>
        <v>青藤蛇</v>
      </c>
    </row>
    <row r="498">
      <c r="A498" s="3" t="str">
        <f t="shared" si="106"/>
        <v>NAME_PkMn_SERPERIOR</v>
      </c>
      <c r="B498" s="3" t="s">
        <v>2718</v>
      </c>
      <c r="C498" s="3" t="s">
        <v>2719</v>
      </c>
      <c r="D498" s="3" t="s">
        <v>2720</v>
      </c>
      <c r="E498" s="3" t="s">
        <v>2721</v>
      </c>
      <c r="F498" s="5" t="str">
        <f t="shared" si="2"/>
        <v>Serperior</v>
      </c>
      <c r="G498" s="5" t="str">
        <f t="shared" si="3"/>
        <v>Serperior</v>
      </c>
      <c r="H498" s="3" t="s">
        <v>2722</v>
      </c>
      <c r="I498" s="3" t="s">
        <v>2723</v>
      </c>
      <c r="J498" s="5" t="str">
        <f t="shared" si="110"/>
        <v>君主蛇</v>
      </c>
    </row>
    <row r="499">
      <c r="A499" s="3" t="str">
        <f t="shared" si="106"/>
        <v>NAME_PkMn_TEPIG</v>
      </c>
      <c r="B499" s="3" t="s">
        <v>2724</v>
      </c>
      <c r="C499" s="3" t="s">
        <v>2725</v>
      </c>
      <c r="D499" s="3" t="s">
        <v>2726</v>
      </c>
      <c r="E499" s="3" t="s">
        <v>2727</v>
      </c>
      <c r="F499" s="5" t="str">
        <f t="shared" si="2"/>
        <v>Tepig</v>
      </c>
      <c r="G499" s="5" t="str">
        <f t="shared" si="3"/>
        <v>Tepig</v>
      </c>
      <c r="H499" s="3" t="s">
        <v>2728</v>
      </c>
      <c r="I499" s="3" t="s">
        <v>2729</v>
      </c>
      <c r="J499" s="5" t="str">
        <f>IFERROR(__xludf.DUMMYFUNCTION("GOOGLETRANSLATE(I499,""zh_HANT"",""zh_HANS"")"),"暖暖猪")</f>
        <v>暖暖猪</v>
      </c>
    </row>
    <row r="500">
      <c r="A500" s="3" t="str">
        <f t="shared" si="106"/>
        <v>NAME_PkMn_PIGNITE</v>
      </c>
      <c r="B500" s="3" t="s">
        <v>2730</v>
      </c>
      <c r="C500" s="3" t="s">
        <v>2731</v>
      </c>
      <c r="D500" s="3" t="s">
        <v>2732</v>
      </c>
      <c r="E500" s="3" t="s">
        <v>2733</v>
      </c>
      <c r="F500" s="5" t="str">
        <f t="shared" si="2"/>
        <v>Pignite</v>
      </c>
      <c r="G500" s="5" t="str">
        <f t="shared" si="3"/>
        <v>Pignite</v>
      </c>
      <c r="H500" s="3" t="s">
        <v>2734</v>
      </c>
      <c r="I500" s="3" t="s">
        <v>2735</v>
      </c>
      <c r="J500" s="5" t="str">
        <f>IFERROR(__xludf.DUMMYFUNCTION("GOOGLETRANSLATE(I500,""zh_HANT"",""zh_HANS"")"),"炒炒猪")</f>
        <v>炒炒猪</v>
      </c>
    </row>
    <row r="501">
      <c r="A501" s="3" t="str">
        <f t="shared" si="106"/>
        <v>NAME_PkMn_EMBOAR</v>
      </c>
      <c r="B501" s="3" t="s">
        <v>2736</v>
      </c>
      <c r="C501" s="3" t="s">
        <v>2737</v>
      </c>
      <c r="D501" s="3" t="s">
        <v>2738</v>
      </c>
      <c r="E501" s="3" t="s">
        <v>2739</v>
      </c>
      <c r="F501" s="5" t="str">
        <f t="shared" si="2"/>
        <v>Emboar</v>
      </c>
      <c r="G501" s="5" t="str">
        <f t="shared" si="3"/>
        <v>Emboar</v>
      </c>
      <c r="H501" s="3" t="s">
        <v>2740</v>
      </c>
      <c r="I501" s="3" t="s">
        <v>2741</v>
      </c>
      <c r="J501" s="5" t="str">
        <f t="shared" ref="J501:J502" si="111">I501</f>
        <v>炎武王</v>
      </c>
    </row>
    <row r="502">
      <c r="A502" s="3" t="str">
        <f t="shared" si="106"/>
        <v>NAME_PkMn_OSHAWOTT</v>
      </c>
      <c r="B502" s="3" t="s">
        <v>2742</v>
      </c>
      <c r="C502" s="3" t="s">
        <v>2743</v>
      </c>
      <c r="D502" s="3" t="s">
        <v>2744</v>
      </c>
      <c r="E502" s="3" t="s">
        <v>2745</v>
      </c>
      <c r="F502" s="5" t="str">
        <f t="shared" si="2"/>
        <v>Oshawott</v>
      </c>
      <c r="G502" s="5" t="str">
        <f t="shared" si="3"/>
        <v>Oshawott</v>
      </c>
      <c r="H502" s="3" t="s">
        <v>2746</v>
      </c>
      <c r="I502" s="3" t="s">
        <v>2747</v>
      </c>
      <c r="J502" s="5" t="str">
        <f t="shared" si="111"/>
        <v>水水獺</v>
      </c>
    </row>
    <row r="503">
      <c r="A503" s="3" t="str">
        <f t="shared" si="106"/>
        <v>NAME_PkMn_DEWOTT</v>
      </c>
      <c r="B503" s="3" t="s">
        <v>2748</v>
      </c>
      <c r="C503" s="3" t="s">
        <v>2749</v>
      </c>
      <c r="D503" s="3" t="s">
        <v>2750</v>
      </c>
      <c r="E503" s="3" t="s">
        <v>2751</v>
      </c>
      <c r="F503" s="5" t="str">
        <f t="shared" si="2"/>
        <v>Dewott</v>
      </c>
      <c r="G503" s="5" t="str">
        <f t="shared" si="3"/>
        <v>Dewott</v>
      </c>
      <c r="H503" s="3" t="s">
        <v>2752</v>
      </c>
      <c r="I503" s="3" t="s">
        <v>2753</v>
      </c>
      <c r="J503" s="5" t="str">
        <f>IFERROR(__xludf.DUMMYFUNCTION("GOOGLETRANSLATE(I503,""zh_HANT"",""zh_HANS"")"),"双刃丸")</f>
        <v>双刃丸</v>
      </c>
    </row>
    <row r="504">
      <c r="A504" s="3" t="str">
        <f t="shared" si="106"/>
        <v>NAME_PkMn_SAMUROTT</v>
      </c>
      <c r="B504" s="3" t="s">
        <v>2754</v>
      </c>
      <c r="C504" s="3" t="s">
        <v>2755</v>
      </c>
      <c r="D504" s="3" t="s">
        <v>2756</v>
      </c>
      <c r="E504" s="3" t="s">
        <v>2757</v>
      </c>
      <c r="F504" s="5" t="str">
        <f t="shared" si="2"/>
        <v>Samurott</v>
      </c>
      <c r="G504" s="5" t="str">
        <f t="shared" si="3"/>
        <v>Samurott</v>
      </c>
      <c r="H504" s="3" t="s">
        <v>2758</v>
      </c>
      <c r="I504" s="3" t="s">
        <v>2759</v>
      </c>
      <c r="J504" s="5" t="str">
        <f>IFERROR(__xludf.DUMMYFUNCTION("GOOGLETRANSLATE(I504,""zh_HANT"",""zh_HANS"")"),"大剑鬼")</f>
        <v>大剑鬼</v>
      </c>
    </row>
    <row r="505">
      <c r="A505" s="3" t="str">
        <f t="shared" si="106"/>
        <v>NAME_PkMn_PATRAT</v>
      </c>
      <c r="B505" s="3" t="s">
        <v>2760</v>
      </c>
      <c r="C505" s="3" t="s">
        <v>2761</v>
      </c>
      <c r="D505" s="3" t="s">
        <v>2762</v>
      </c>
      <c r="E505" s="3" t="s">
        <v>2763</v>
      </c>
      <c r="F505" s="5" t="str">
        <f t="shared" si="2"/>
        <v>Patrat</v>
      </c>
      <c r="G505" s="5" t="str">
        <f t="shared" si="3"/>
        <v>Patrat</v>
      </c>
      <c r="H505" s="3" t="s">
        <v>2764</v>
      </c>
      <c r="I505" s="3" t="s">
        <v>2765</v>
      </c>
      <c r="J505" s="5" t="str">
        <f t="shared" ref="J505:J506" si="112">I505</f>
        <v>探探鼠</v>
      </c>
    </row>
    <row r="506">
      <c r="A506" s="3" t="str">
        <f t="shared" si="106"/>
        <v>NAME_PkMn_WATCHOG</v>
      </c>
      <c r="B506" s="3" t="s">
        <v>2766</v>
      </c>
      <c r="C506" s="3" t="s">
        <v>2767</v>
      </c>
      <c r="D506" s="3" t="s">
        <v>2768</v>
      </c>
      <c r="E506" s="3" t="s">
        <v>2769</v>
      </c>
      <c r="F506" s="5" t="str">
        <f t="shared" si="2"/>
        <v>Watchog</v>
      </c>
      <c r="G506" s="5" t="str">
        <f t="shared" si="3"/>
        <v>Watchog</v>
      </c>
      <c r="H506" s="3" t="s">
        <v>2770</v>
      </c>
      <c r="I506" s="3" t="s">
        <v>2771</v>
      </c>
      <c r="J506" s="5" t="str">
        <f t="shared" si="112"/>
        <v>步哨鼠</v>
      </c>
    </row>
    <row r="507">
      <c r="A507" s="3" t="str">
        <f t="shared" si="106"/>
        <v>NAME_PkMn_LILLIPUP</v>
      </c>
      <c r="B507" s="3" t="s">
        <v>2772</v>
      </c>
      <c r="C507" s="3" t="s">
        <v>2773</v>
      </c>
      <c r="D507" s="3" t="s">
        <v>2774</v>
      </c>
      <c r="E507" s="3" t="s">
        <v>2775</v>
      </c>
      <c r="F507" s="5" t="str">
        <f t="shared" si="2"/>
        <v>Lillipup</v>
      </c>
      <c r="G507" s="5" t="str">
        <f t="shared" si="3"/>
        <v>Lillipup</v>
      </c>
      <c r="H507" s="3" t="s">
        <v>2776</v>
      </c>
      <c r="I507" s="3" t="s">
        <v>2777</v>
      </c>
      <c r="J507" s="5" t="str">
        <f>IFERROR(__xludf.DUMMYFUNCTION("GOOGLETRANSLATE(I507,""zh_HANT"",""zh_HANS"")"),"小约克")</f>
        <v>小约克</v>
      </c>
    </row>
    <row r="508">
      <c r="A508" s="3" t="str">
        <f t="shared" si="106"/>
        <v>NAME_PkMn_HERDIER</v>
      </c>
      <c r="B508" s="3" t="s">
        <v>2778</v>
      </c>
      <c r="C508" s="3" t="s">
        <v>2779</v>
      </c>
      <c r="D508" s="3" t="s">
        <v>2780</v>
      </c>
      <c r="E508" s="3" t="s">
        <v>2781</v>
      </c>
      <c r="F508" s="5" t="str">
        <f t="shared" si="2"/>
        <v>Herdier</v>
      </c>
      <c r="G508" s="5" t="str">
        <f t="shared" si="3"/>
        <v>Herdier</v>
      </c>
      <c r="H508" s="3" t="s">
        <v>2782</v>
      </c>
      <c r="I508" s="3" t="s">
        <v>2783</v>
      </c>
      <c r="J508" s="5" t="str">
        <f>IFERROR(__xludf.DUMMYFUNCTION("GOOGLETRANSLATE(I508,""zh_HANT"",""zh_HANS"")"),"哈约克")</f>
        <v>哈约克</v>
      </c>
    </row>
    <row r="509">
      <c r="A509" s="3" t="str">
        <f t="shared" si="106"/>
        <v>NAME_PkMn_STOUTLAND</v>
      </c>
      <c r="B509" s="3" t="s">
        <v>2784</v>
      </c>
      <c r="C509" s="3" t="s">
        <v>2785</v>
      </c>
      <c r="D509" s="3" t="s">
        <v>2786</v>
      </c>
      <c r="E509" s="3" t="s">
        <v>2787</v>
      </c>
      <c r="F509" s="5" t="str">
        <f t="shared" si="2"/>
        <v>Stoutland</v>
      </c>
      <c r="G509" s="5" t="str">
        <f t="shared" si="3"/>
        <v>Stoutland</v>
      </c>
      <c r="H509" s="3" t="s">
        <v>2788</v>
      </c>
      <c r="I509" s="3" t="s">
        <v>2789</v>
      </c>
      <c r="J509" s="5" t="str">
        <f>IFERROR(__xludf.DUMMYFUNCTION("GOOGLETRANSLATE(I509,""zh_HANT"",""zh_HANS"")"),"长毛狗")</f>
        <v>长毛狗</v>
      </c>
    </row>
    <row r="510">
      <c r="A510" s="3" t="str">
        <f t="shared" si="106"/>
        <v>NAME_PkMn_PURRLOIN</v>
      </c>
      <c r="B510" s="3" t="s">
        <v>2790</v>
      </c>
      <c r="C510" s="3" t="s">
        <v>2791</v>
      </c>
      <c r="D510" s="3" t="s">
        <v>2792</v>
      </c>
      <c r="E510" s="3" t="s">
        <v>2793</v>
      </c>
      <c r="F510" s="5" t="str">
        <f t="shared" si="2"/>
        <v>Purrloin</v>
      </c>
      <c r="G510" s="5" t="str">
        <f t="shared" si="3"/>
        <v>Purrloin</v>
      </c>
      <c r="H510" s="3" t="s">
        <v>2794</v>
      </c>
      <c r="I510" s="3" t="s">
        <v>2795</v>
      </c>
      <c r="J510" s="5" t="str">
        <f>IFERROR(__xludf.DUMMYFUNCTION("GOOGLETRANSLATE(I510,""zh_HANT"",""zh_HANS"")"),"扒手猫")</f>
        <v>扒手猫</v>
      </c>
    </row>
    <row r="511">
      <c r="A511" s="3" t="str">
        <f t="shared" si="106"/>
        <v>NAME_PkMn_LIEPARD</v>
      </c>
      <c r="B511" s="3" t="s">
        <v>2796</v>
      </c>
      <c r="C511" s="3" t="s">
        <v>2797</v>
      </c>
      <c r="D511" s="3" t="s">
        <v>2798</v>
      </c>
      <c r="E511" s="3" t="s">
        <v>2799</v>
      </c>
      <c r="F511" s="5" t="str">
        <f t="shared" si="2"/>
        <v>Liepard</v>
      </c>
      <c r="G511" s="5" t="str">
        <f t="shared" si="3"/>
        <v>Liepard</v>
      </c>
      <c r="H511" s="3" t="s">
        <v>2800</v>
      </c>
      <c r="I511" s="3" t="s">
        <v>2801</v>
      </c>
      <c r="J511" s="5" t="str">
        <f t="shared" ref="J511:J517" si="113">I511</f>
        <v>酷豹</v>
      </c>
    </row>
    <row r="512">
      <c r="A512" s="3" t="str">
        <f t="shared" si="106"/>
        <v>NAME_PkMn_PANSAGE</v>
      </c>
      <c r="B512" s="3" t="s">
        <v>2802</v>
      </c>
      <c r="C512" s="3" t="s">
        <v>2803</v>
      </c>
      <c r="D512" s="3" t="s">
        <v>2804</v>
      </c>
      <c r="E512" s="3" t="s">
        <v>2805</v>
      </c>
      <c r="F512" s="5" t="str">
        <f t="shared" si="2"/>
        <v>Pansage</v>
      </c>
      <c r="G512" s="5" t="str">
        <f t="shared" si="3"/>
        <v>Pansage</v>
      </c>
      <c r="H512" s="3" t="s">
        <v>2806</v>
      </c>
      <c r="I512" s="3" t="s">
        <v>2807</v>
      </c>
      <c r="J512" s="5" t="str">
        <f t="shared" si="113"/>
        <v>花椰猴</v>
      </c>
    </row>
    <row r="513">
      <c r="A513" s="3" t="str">
        <f t="shared" si="106"/>
        <v>NAME_PkMn_SIMISAGE</v>
      </c>
      <c r="B513" s="3" t="s">
        <v>2808</v>
      </c>
      <c r="C513" s="3" t="s">
        <v>2809</v>
      </c>
      <c r="D513" s="3" t="s">
        <v>2810</v>
      </c>
      <c r="E513" s="3" t="s">
        <v>2811</v>
      </c>
      <c r="F513" s="5" t="str">
        <f t="shared" si="2"/>
        <v>Simisage</v>
      </c>
      <c r="G513" s="5" t="str">
        <f t="shared" si="3"/>
        <v>Simisage</v>
      </c>
      <c r="H513" s="3" t="s">
        <v>2812</v>
      </c>
      <c r="I513" s="3" t="s">
        <v>2813</v>
      </c>
      <c r="J513" s="5" t="str">
        <f t="shared" si="113"/>
        <v>花椰猿</v>
      </c>
    </row>
    <row r="514">
      <c r="A514" s="3" t="str">
        <f t="shared" si="106"/>
        <v>NAME_PkMn_PANSEAR</v>
      </c>
      <c r="B514" s="3" t="s">
        <v>2814</v>
      </c>
      <c r="C514" s="3" t="s">
        <v>2815</v>
      </c>
      <c r="D514" s="3" t="s">
        <v>2816</v>
      </c>
      <c r="E514" s="3" t="s">
        <v>2817</v>
      </c>
      <c r="F514" s="5" t="str">
        <f t="shared" si="2"/>
        <v>Pansear</v>
      </c>
      <c r="G514" s="5" t="str">
        <f t="shared" si="3"/>
        <v>Pansear</v>
      </c>
      <c r="H514" s="3" t="s">
        <v>2818</v>
      </c>
      <c r="I514" s="3" t="s">
        <v>2819</v>
      </c>
      <c r="J514" s="5" t="str">
        <f t="shared" si="113"/>
        <v>爆香猴</v>
      </c>
    </row>
    <row r="515">
      <c r="A515" s="3" t="str">
        <f t="shared" si="106"/>
        <v>NAME_PkMn_SIMISEAR</v>
      </c>
      <c r="B515" s="3" t="s">
        <v>2820</v>
      </c>
      <c r="C515" s="3" t="s">
        <v>2821</v>
      </c>
      <c r="D515" s="3" t="s">
        <v>2822</v>
      </c>
      <c r="E515" s="3" t="s">
        <v>2823</v>
      </c>
      <c r="F515" s="5" t="str">
        <f t="shared" si="2"/>
        <v>Simisear</v>
      </c>
      <c r="G515" s="5" t="str">
        <f t="shared" si="3"/>
        <v>Simisear</v>
      </c>
      <c r="H515" s="3" t="s">
        <v>2824</v>
      </c>
      <c r="I515" s="3" t="s">
        <v>2825</v>
      </c>
      <c r="J515" s="5" t="str">
        <f t="shared" si="113"/>
        <v>爆香猿</v>
      </c>
    </row>
    <row r="516">
      <c r="A516" s="3" t="str">
        <f t="shared" si="106"/>
        <v>NAME_PkMn_PANPOUR</v>
      </c>
      <c r="B516" s="3" t="s">
        <v>2826</v>
      </c>
      <c r="C516" s="3" t="s">
        <v>2827</v>
      </c>
      <c r="D516" s="3" t="s">
        <v>2828</v>
      </c>
      <c r="E516" s="3" t="s">
        <v>2829</v>
      </c>
      <c r="F516" s="5" t="str">
        <f t="shared" si="2"/>
        <v>Panpour</v>
      </c>
      <c r="G516" s="5" t="str">
        <f t="shared" si="3"/>
        <v>Panpour</v>
      </c>
      <c r="H516" s="3" t="s">
        <v>2830</v>
      </c>
      <c r="I516" s="3" t="s">
        <v>2831</v>
      </c>
      <c r="J516" s="5" t="str">
        <f t="shared" si="113"/>
        <v>冷水猴</v>
      </c>
    </row>
    <row r="517">
      <c r="A517" s="3" t="str">
        <f t="shared" si="106"/>
        <v>NAME_PkMn_SIMIPOUR</v>
      </c>
      <c r="B517" s="3" t="s">
        <v>2832</v>
      </c>
      <c r="C517" s="3" t="s">
        <v>2833</v>
      </c>
      <c r="D517" s="3" t="s">
        <v>2834</v>
      </c>
      <c r="E517" s="3" t="s">
        <v>2835</v>
      </c>
      <c r="F517" s="5" t="str">
        <f t="shared" si="2"/>
        <v>Simipour</v>
      </c>
      <c r="G517" s="5" t="str">
        <f t="shared" si="3"/>
        <v>Simipour</v>
      </c>
      <c r="H517" s="3" t="s">
        <v>2836</v>
      </c>
      <c r="I517" s="3" t="s">
        <v>2837</v>
      </c>
      <c r="J517" s="5" t="str">
        <f t="shared" si="113"/>
        <v>冷水猿</v>
      </c>
    </row>
    <row r="518">
      <c r="A518" s="3" t="str">
        <f t="shared" si="106"/>
        <v>NAME_PkMn_MUNNA</v>
      </c>
      <c r="B518" s="3" t="s">
        <v>2838</v>
      </c>
      <c r="C518" s="3" t="s">
        <v>2839</v>
      </c>
      <c r="D518" s="5" t="str">
        <f>B518</f>
        <v>Munna</v>
      </c>
      <c r="E518" s="3" t="s">
        <v>2840</v>
      </c>
      <c r="F518" s="5" t="str">
        <f t="shared" si="2"/>
        <v>Munna</v>
      </c>
      <c r="G518" s="5" t="str">
        <f t="shared" si="3"/>
        <v>Munna</v>
      </c>
      <c r="H518" s="3" t="s">
        <v>2841</v>
      </c>
      <c r="I518" s="3" t="s">
        <v>2842</v>
      </c>
      <c r="J518" s="5" t="str">
        <f>IFERROR(__xludf.DUMMYFUNCTION("GOOGLETRANSLATE(I518,""zh_HANT"",""zh_HANS"")"),"食梦梦")</f>
        <v>食梦梦</v>
      </c>
    </row>
    <row r="519">
      <c r="A519" s="3" t="str">
        <f t="shared" si="106"/>
        <v>NAME_PkMn_MUSHARNA</v>
      </c>
      <c r="B519" s="3" t="s">
        <v>2843</v>
      </c>
      <c r="C519" s="3" t="s">
        <v>2844</v>
      </c>
      <c r="D519" s="3" t="s">
        <v>2845</v>
      </c>
      <c r="E519" s="3" t="s">
        <v>2846</v>
      </c>
      <c r="F519" s="5" t="str">
        <f t="shared" si="2"/>
        <v>Musharna</v>
      </c>
      <c r="G519" s="5" t="str">
        <f t="shared" si="3"/>
        <v>Musharna</v>
      </c>
      <c r="H519" s="3" t="s">
        <v>2847</v>
      </c>
      <c r="I519" s="3" t="s">
        <v>2848</v>
      </c>
      <c r="J519" s="5" t="str">
        <f>IFERROR(__xludf.DUMMYFUNCTION("GOOGLETRANSLATE(I519,""zh_HANT"",""zh_HANS"")"),"梦梦蚀")</f>
        <v>梦梦蚀</v>
      </c>
    </row>
    <row r="520">
      <c r="A520" s="3" t="str">
        <f t="shared" si="106"/>
        <v>NAME_PkMn_PIDOVE</v>
      </c>
      <c r="B520" s="3" t="s">
        <v>2849</v>
      </c>
      <c r="C520" s="3" t="s">
        <v>2850</v>
      </c>
      <c r="D520" s="3" t="s">
        <v>2851</v>
      </c>
      <c r="E520" s="3" t="s">
        <v>2852</v>
      </c>
      <c r="F520" s="5" t="str">
        <f t="shared" si="2"/>
        <v>Pidove</v>
      </c>
      <c r="G520" s="5" t="str">
        <f t="shared" si="3"/>
        <v>Pidove</v>
      </c>
      <c r="H520" s="3" t="s">
        <v>2853</v>
      </c>
      <c r="I520" s="3" t="s">
        <v>2854</v>
      </c>
      <c r="J520" s="5" t="str">
        <f>IFERROR(__xludf.DUMMYFUNCTION("GOOGLETRANSLATE(I520,""zh_HANT"",""zh_HANS"")"),"豆豆鸽")</f>
        <v>豆豆鸽</v>
      </c>
    </row>
    <row r="521">
      <c r="A521" s="3" t="str">
        <f t="shared" si="106"/>
        <v>NAME_PkMn_TRANQUILL</v>
      </c>
      <c r="B521" s="3" t="s">
        <v>2855</v>
      </c>
      <c r="C521" s="3" t="s">
        <v>2856</v>
      </c>
      <c r="D521" s="3" t="s">
        <v>2857</v>
      </c>
      <c r="E521" s="3" t="s">
        <v>2858</v>
      </c>
      <c r="F521" s="5" t="str">
        <f t="shared" si="2"/>
        <v>Tranquill</v>
      </c>
      <c r="G521" s="5" t="str">
        <f t="shared" si="3"/>
        <v>Tranquill</v>
      </c>
      <c r="H521" s="3" t="s">
        <v>2859</v>
      </c>
      <c r="I521" s="3" t="s">
        <v>2860</v>
      </c>
      <c r="J521" s="5" t="str">
        <f>IFERROR(__xludf.DUMMYFUNCTION("GOOGLETRANSLATE(I521,""zh_HANT"",""zh_HANS"")"),"咕咕鸽")</f>
        <v>咕咕鸽</v>
      </c>
    </row>
    <row r="522">
      <c r="A522" s="3" t="str">
        <f t="shared" si="106"/>
        <v>NAME_PkMn_UNFEZANT</v>
      </c>
      <c r="B522" s="3" t="s">
        <v>2861</v>
      </c>
      <c r="C522" s="3" t="s">
        <v>2862</v>
      </c>
      <c r="D522" s="3" t="s">
        <v>2863</v>
      </c>
      <c r="E522" s="3" t="s">
        <v>2864</v>
      </c>
      <c r="F522" s="5" t="str">
        <f t="shared" si="2"/>
        <v>Unfezant</v>
      </c>
      <c r="G522" s="5" t="str">
        <f t="shared" si="3"/>
        <v>Unfezant</v>
      </c>
      <c r="H522" s="3" t="s">
        <v>2865</v>
      </c>
      <c r="I522" s="3" t="s">
        <v>2866</v>
      </c>
      <c r="J522" s="5" t="str">
        <f>IFERROR(__xludf.DUMMYFUNCTION("GOOGLETRANSLATE(I522,""zh_HANT"",""zh_HANS"")"),"高傲雉鸡")</f>
        <v>高傲雉鸡</v>
      </c>
    </row>
    <row r="523">
      <c r="A523" s="3" t="str">
        <f t="shared" si="106"/>
        <v>NAME_PkMn_BLITZLE</v>
      </c>
      <c r="B523" s="3" t="s">
        <v>2867</v>
      </c>
      <c r="C523" s="3" t="s">
        <v>2868</v>
      </c>
      <c r="D523" s="3" t="s">
        <v>2869</v>
      </c>
      <c r="E523" s="3" t="s">
        <v>2870</v>
      </c>
      <c r="F523" s="5" t="str">
        <f t="shared" si="2"/>
        <v>Blitzle</v>
      </c>
      <c r="G523" s="5" t="str">
        <f t="shared" si="3"/>
        <v>Blitzle</v>
      </c>
      <c r="H523" s="3" t="s">
        <v>2871</v>
      </c>
      <c r="I523" s="3" t="s">
        <v>2872</v>
      </c>
      <c r="J523" s="5" t="str">
        <f>IFERROR(__xludf.DUMMYFUNCTION("GOOGLETRANSLATE(I523,""zh_HANT"",""zh_HANS"")"),"斑斑马")</f>
        <v>斑斑马</v>
      </c>
    </row>
    <row r="524">
      <c r="A524" s="3" t="str">
        <f t="shared" si="106"/>
        <v>NAME_PkMn_ZEBSTRIKA</v>
      </c>
      <c r="B524" s="3" t="s">
        <v>2873</v>
      </c>
      <c r="C524" s="3" t="s">
        <v>2874</v>
      </c>
      <c r="D524" s="3" t="s">
        <v>2875</v>
      </c>
      <c r="E524" s="3" t="s">
        <v>2876</v>
      </c>
      <c r="F524" s="5" t="str">
        <f t="shared" si="2"/>
        <v>Zebstrika</v>
      </c>
      <c r="G524" s="5" t="str">
        <f t="shared" si="3"/>
        <v>Zebstrika</v>
      </c>
      <c r="H524" s="3" t="s">
        <v>2877</v>
      </c>
      <c r="I524" s="3" t="s">
        <v>2878</v>
      </c>
      <c r="J524" s="5" t="str">
        <f>IFERROR(__xludf.DUMMYFUNCTION("GOOGLETRANSLATE(I524,""zh_HANT"",""zh_HANS"")"),"雷电斑马")</f>
        <v>雷电斑马</v>
      </c>
    </row>
    <row r="525">
      <c r="A525" s="3" t="str">
        <f t="shared" si="106"/>
        <v>NAME_PkMn_ROGGENROLA</v>
      </c>
      <c r="B525" s="3" t="s">
        <v>2879</v>
      </c>
      <c r="C525" s="3" t="s">
        <v>2880</v>
      </c>
      <c r="D525" s="3" t="s">
        <v>2881</v>
      </c>
      <c r="E525" s="3" t="s">
        <v>2882</v>
      </c>
      <c r="F525" s="5" t="str">
        <f t="shared" si="2"/>
        <v>Roggenrola</v>
      </c>
      <c r="G525" s="5" t="str">
        <f t="shared" si="3"/>
        <v>Roggenrola</v>
      </c>
      <c r="H525" s="3" t="s">
        <v>2883</v>
      </c>
      <c r="I525" s="3" t="s">
        <v>2884</v>
      </c>
      <c r="J525" s="5" t="str">
        <f t="shared" ref="J525:J526" si="114">I525</f>
        <v>石丸子</v>
      </c>
    </row>
    <row r="526">
      <c r="A526" s="3" t="str">
        <f t="shared" si="106"/>
        <v>NAME_PkMn_BOLDORE</v>
      </c>
      <c r="B526" s="3" t="s">
        <v>2885</v>
      </c>
      <c r="C526" s="3" t="s">
        <v>2886</v>
      </c>
      <c r="D526" s="3" t="s">
        <v>2887</v>
      </c>
      <c r="E526" s="3" t="s">
        <v>2888</v>
      </c>
      <c r="F526" s="5" t="str">
        <f t="shared" si="2"/>
        <v>Boldore</v>
      </c>
      <c r="G526" s="5" t="str">
        <f t="shared" si="3"/>
        <v>Boldore</v>
      </c>
      <c r="H526" s="3" t="s">
        <v>2889</v>
      </c>
      <c r="I526" s="3" t="s">
        <v>2890</v>
      </c>
      <c r="J526" s="5" t="str">
        <f t="shared" si="114"/>
        <v>地幔岩</v>
      </c>
    </row>
    <row r="527">
      <c r="A527" s="3" t="str">
        <f t="shared" si="106"/>
        <v>NAME_PkMn_GIGALITH</v>
      </c>
      <c r="B527" s="3" t="s">
        <v>2891</v>
      </c>
      <c r="C527" s="3" t="s">
        <v>2892</v>
      </c>
      <c r="D527" s="3" t="s">
        <v>2893</v>
      </c>
      <c r="E527" s="3" t="s">
        <v>2894</v>
      </c>
      <c r="F527" s="5" t="str">
        <f t="shared" si="2"/>
        <v>Gigalith</v>
      </c>
      <c r="G527" s="5" t="str">
        <f t="shared" si="3"/>
        <v>Gigalith</v>
      </c>
      <c r="H527" s="3" t="s">
        <v>2895</v>
      </c>
      <c r="I527" s="3" t="s">
        <v>2896</v>
      </c>
      <c r="J527" s="5" t="str">
        <f>IFERROR(__xludf.DUMMYFUNCTION("GOOGLETRANSLATE(I527,""zh_HANT"",""zh_HANS"")"),"庞岩怪")</f>
        <v>庞岩怪</v>
      </c>
    </row>
    <row r="528">
      <c r="A528" s="3" t="str">
        <f t="shared" si="106"/>
        <v>NAME_PkMn_WOOBAT</v>
      </c>
      <c r="B528" s="3" t="s">
        <v>2897</v>
      </c>
      <c r="C528" s="3" t="s">
        <v>2898</v>
      </c>
      <c r="D528" s="3" t="s">
        <v>2899</v>
      </c>
      <c r="E528" s="3" t="s">
        <v>2900</v>
      </c>
      <c r="F528" s="5" t="str">
        <f t="shared" si="2"/>
        <v>Woobat</v>
      </c>
      <c r="G528" s="5" t="str">
        <f t="shared" si="3"/>
        <v>Woobat</v>
      </c>
      <c r="H528" s="3" t="s">
        <v>2901</v>
      </c>
      <c r="I528" s="3" t="s">
        <v>2902</v>
      </c>
      <c r="J528" s="5" t="str">
        <f>IFERROR(__xludf.DUMMYFUNCTION("GOOGLETRANSLATE(I528,""zh_HANT"",""zh_HANS"")"),"滚滚蝙蝠")</f>
        <v>滚滚蝙蝠</v>
      </c>
    </row>
    <row r="529">
      <c r="A529" s="3" t="str">
        <f t="shared" si="106"/>
        <v>NAME_PkMn_SWOOBAT</v>
      </c>
      <c r="B529" s="3" t="s">
        <v>2903</v>
      </c>
      <c r="C529" s="3" t="s">
        <v>2904</v>
      </c>
      <c r="D529" s="3" t="s">
        <v>2905</v>
      </c>
      <c r="E529" s="3" t="s">
        <v>2906</v>
      </c>
      <c r="F529" s="5" t="str">
        <f t="shared" si="2"/>
        <v>Swoobat</v>
      </c>
      <c r="G529" s="5" t="str">
        <f t="shared" si="3"/>
        <v>Swoobat</v>
      </c>
      <c r="H529" s="3" t="s">
        <v>2907</v>
      </c>
      <c r="I529" s="3" t="s">
        <v>2908</v>
      </c>
      <c r="J529" s="5" t="str">
        <f>I529</f>
        <v>心蝙蝠</v>
      </c>
    </row>
    <row r="530">
      <c r="A530" s="3" t="str">
        <f t="shared" si="106"/>
        <v>NAME_PkMn_DRILBUR</v>
      </c>
      <c r="B530" s="3" t="s">
        <v>2909</v>
      </c>
      <c r="C530" s="3" t="s">
        <v>2910</v>
      </c>
      <c r="D530" s="3" t="s">
        <v>2911</v>
      </c>
      <c r="E530" s="3" t="s">
        <v>2912</v>
      </c>
      <c r="F530" s="5" t="str">
        <f t="shared" si="2"/>
        <v>Drilbur</v>
      </c>
      <c r="G530" s="5" t="str">
        <f t="shared" si="3"/>
        <v>Drilbur</v>
      </c>
      <c r="H530" s="3" t="s">
        <v>2913</v>
      </c>
      <c r="I530" s="3" t="s">
        <v>2914</v>
      </c>
      <c r="J530" s="5" t="str">
        <f>IFERROR(__xludf.DUMMYFUNCTION("GOOGLETRANSLATE(I530,""zh_HANT"",""zh_HANS"")"),"螺钉地鼠")</f>
        <v>螺钉地鼠</v>
      </c>
    </row>
    <row r="531">
      <c r="A531" s="3" t="str">
        <f t="shared" si="106"/>
        <v>NAME_PkMn_EXCADRILL</v>
      </c>
      <c r="B531" s="3" t="s">
        <v>2915</v>
      </c>
      <c r="C531" s="3" t="s">
        <v>2916</v>
      </c>
      <c r="D531" s="3" t="s">
        <v>2917</v>
      </c>
      <c r="E531" s="3" t="s">
        <v>2918</v>
      </c>
      <c r="F531" s="5" t="str">
        <f t="shared" si="2"/>
        <v>Excadrill</v>
      </c>
      <c r="G531" s="5" t="str">
        <f t="shared" si="3"/>
        <v>Excadrill</v>
      </c>
      <c r="H531" s="3" t="s">
        <v>2919</v>
      </c>
      <c r="I531" s="3" t="s">
        <v>2920</v>
      </c>
      <c r="J531" s="5" t="str">
        <f>IFERROR(__xludf.DUMMYFUNCTION("GOOGLETRANSLATE(I531,""zh_HANT"",""zh_HANS"")"),"龙头地鼠")</f>
        <v>龙头地鼠</v>
      </c>
    </row>
    <row r="532">
      <c r="A532" s="3" t="str">
        <f t="shared" si="106"/>
        <v>NAME_PkMn_AUDINO</v>
      </c>
      <c r="B532" s="3" t="s">
        <v>2921</v>
      </c>
      <c r="C532" s="3" t="s">
        <v>2922</v>
      </c>
      <c r="D532" s="3" t="s">
        <v>2923</v>
      </c>
      <c r="E532" s="3" t="s">
        <v>2924</v>
      </c>
      <c r="F532" s="5" t="str">
        <f t="shared" si="2"/>
        <v>Audino</v>
      </c>
      <c r="G532" s="5" t="str">
        <f t="shared" si="3"/>
        <v>Audino</v>
      </c>
      <c r="H532" s="3" t="s">
        <v>2925</v>
      </c>
      <c r="I532" s="5" t="str">
        <f>J532</f>
        <v>差不多娃娃</v>
      </c>
      <c r="J532" s="3" t="s">
        <v>2926</v>
      </c>
    </row>
    <row r="533">
      <c r="A533" s="3" t="str">
        <f t="shared" si="106"/>
        <v>NAME_PkMn_TIMBURR</v>
      </c>
      <c r="B533" s="3" t="s">
        <v>2927</v>
      </c>
      <c r="C533" s="3" t="s">
        <v>2928</v>
      </c>
      <c r="D533" s="3" t="s">
        <v>2929</v>
      </c>
      <c r="E533" s="3" t="s">
        <v>2930</v>
      </c>
      <c r="F533" s="5" t="str">
        <f t="shared" si="2"/>
        <v>Timburr</v>
      </c>
      <c r="G533" s="5" t="str">
        <f t="shared" si="3"/>
        <v>Timburr</v>
      </c>
      <c r="H533" s="3" t="s">
        <v>2931</v>
      </c>
      <c r="I533" s="3" t="s">
        <v>2932</v>
      </c>
      <c r="J533" s="5" t="str">
        <f>IFERROR(__xludf.DUMMYFUNCTION("GOOGLETRANSLATE(I533,""zh_HANT"",""zh_HANS"")"),"搬运小匠")</f>
        <v>搬运小匠</v>
      </c>
    </row>
    <row r="534">
      <c r="A534" s="3" t="str">
        <f t="shared" si="106"/>
        <v>NAME_PkMn_GURDURR</v>
      </c>
      <c r="B534" s="3" t="s">
        <v>2933</v>
      </c>
      <c r="C534" s="3" t="s">
        <v>2934</v>
      </c>
      <c r="D534" s="3" t="s">
        <v>2935</v>
      </c>
      <c r="E534" s="3" t="s">
        <v>2936</v>
      </c>
      <c r="F534" s="5" t="str">
        <f t="shared" si="2"/>
        <v>Gurdurr</v>
      </c>
      <c r="G534" s="5" t="str">
        <f t="shared" si="3"/>
        <v>Gurdurr</v>
      </c>
      <c r="H534" s="3" t="s">
        <v>2937</v>
      </c>
      <c r="I534" s="3" t="s">
        <v>2938</v>
      </c>
      <c r="J534" s="5" t="str">
        <f>IFERROR(__xludf.DUMMYFUNCTION("GOOGLETRANSLATE(I534,""zh_HANT"",""zh_HANS"")"),"铁骨土人")</f>
        <v>铁骨土人</v>
      </c>
    </row>
    <row r="535">
      <c r="A535" s="3" t="str">
        <f t="shared" si="106"/>
        <v>NAME_PkMn_CONKELDURR</v>
      </c>
      <c r="B535" s="3" t="s">
        <v>2939</v>
      </c>
      <c r="C535" s="3" t="s">
        <v>2940</v>
      </c>
      <c r="D535" s="3" t="s">
        <v>2941</v>
      </c>
      <c r="E535" s="3" t="s">
        <v>2942</v>
      </c>
      <c r="F535" s="5" t="str">
        <f t="shared" si="2"/>
        <v>Conkeldurr</v>
      </c>
      <c r="G535" s="5" t="str">
        <f t="shared" si="3"/>
        <v>Conkeldurr</v>
      </c>
      <c r="H535" s="3" t="s">
        <v>2943</v>
      </c>
      <c r="I535" s="3" t="s">
        <v>2944</v>
      </c>
      <c r="J535" s="5" t="str">
        <f>I535</f>
        <v>修建老匠</v>
      </c>
    </row>
    <row r="536">
      <c r="A536" s="3" t="str">
        <f t="shared" si="106"/>
        <v>NAME_PkMn_TYMPOLE</v>
      </c>
      <c r="B536" s="3" t="s">
        <v>2945</v>
      </c>
      <c r="C536" s="3" t="s">
        <v>2946</v>
      </c>
      <c r="D536" s="3" t="s">
        <v>2947</v>
      </c>
      <c r="E536" s="3" t="s">
        <v>2948</v>
      </c>
      <c r="F536" s="5" t="str">
        <f t="shared" si="2"/>
        <v>Tympole</v>
      </c>
      <c r="G536" s="5" t="str">
        <f t="shared" si="3"/>
        <v>Tympole</v>
      </c>
      <c r="H536" s="3" t="s">
        <v>2949</v>
      </c>
      <c r="I536" s="3" t="s">
        <v>2950</v>
      </c>
      <c r="J536" s="5" t="str">
        <f>IFERROR(__xludf.DUMMYFUNCTION("GOOGLETRANSLATE(I536,""zh_HANT"",""zh_HANS"")"),"圆蝌蚪")</f>
        <v>圆蝌蚪</v>
      </c>
    </row>
    <row r="537">
      <c r="A537" s="3" t="str">
        <f t="shared" si="106"/>
        <v>NAME_PkMn_PALPITOAD</v>
      </c>
      <c r="B537" s="3" t="s">
        <v>2951</v>
      </c>
      <c r="C537" s="3" t="s">
        <v>2952</v>
      </c>
      <c r="D537" s="3" t="s">
        <v>2953</v>
      </c>
      <c r="E537" s="3" t="s">
        <v>2954</v>
      </c>
      <c r="F537" s="5" t="str">
        <f t="shared" si="2"/>
        <v>Palpitoad</v>
      </c>
      <c r="G537" s="5" t="str">
        <f t="shared" si="3"/>
        <v>Palpitoad</v>
      </c>
      <c r="H537" s="3" t="s">
        <v>2955</v>
      </c>
      <c r="I537" s="3" t="s">
        <v>2956</v>
      </c>
      <c r="J537" s="5" t="str">
        <f>IFERROR(__xludf.DUMMYFUNCTION("GOOGLETRANSLATE(I537,""zh_HANT"",""zh_HANS"")"),"蓝蟾蜍")</f>
        <v>蓝蟾蜍</v>
      </c>
    </row>
    <row r="538">
      <c r="A538" s="3" t="str">
        <f t="shared" si="106"/>
        <v>NAME_PkMn_SEISMITOAD</v>
      </c>
      <c r="B538" s="3" t="s">
        <v>2957</v>
      </c>
      <c r="C538" s="3" t="s">
        <v>2958</v>
      </c>
      <c r="D538" s="3" t="s">
        <v>2959</v>
      </c>
      <c r="E538" s="3" t="s">
        <v>2960</v>
      </c>
      <c r="F538" s="5" t="str">
        <f t="shared" si="2"/>
        <v>Seismitoad</v>
      </c>
      <c r="G538" s="5" t="str">
        <f t="shared" si="3"/>
        <v>Seismitoad</v>
      </c>
      <c r="H538" s="3" t="s">
        <v>2961</v>
      </c>
      <c r="I538" s="3" t="s">
        <v>2962</v>
      </c>
      <c r="J538" s="5" t="str">
        <f t="shared" ref="J538:J539" si="115">I538</f>
        <v>蟾蜍王</v>
      </c>
    </row>
    <row r="539">
      <c r="A539" s="3" t="str">
        <f t="shared" si="106"/>
        <v>NAME_PkMn_THROH</v>
      </c>
      <c r="B539" s="3" t="s">
        <v>2963</v>
      </c>
      <c r="C539" s="3" t="s">
        <v>2964</v>
      </c>
      <c r="D539" s="3" t="s">
        <v>2965</v>
      </c>
      <c r="E539" s="3" t="s">
        <v>2966</v>
      </c>
      <c r="F539" s="5" t="str">
        <f t="shared" si="2"/>
        <v>Throh</v>
      </c>
      <c r="G539" s="5" t="str">
        <f t="shared" si="3"/>
        <v>Throh</v>
      </c>
      <c r="H539" s="3" t="s">
        <v>2967</v>
      </c>
      <c r="I539" s="3" t="s">
        <v>2968</v>
      </c>
      <c r="J539" s="5" t="str">
        <f t="shared" si="115"/>
        <v>投摔鬼</v>
      </c>
    </row>
    <row r="540">
      <c r="A540" s="3" t="str">
        <f t="shared" si="106"/>
        <v>NAME_PkMn_SAWK</v>
      </c>
      <c r="B540" s="3" t="s">
        <v>2969</v>
      </c>
      <c r="C540" s="3" t="s">
        <v>2970</v>
      </c>
      <c r="D540" s="3" t="s">
        <v>2971</v>
      </c>
      <c r="E540" s="3" t="s">
        <v>2972</v>
      </c>
      <c r="F540" s="5" t="str">
        <f t="shared" si="2"/>
        <v>Sawk</v>
      </c>
      <c r="G540" s="5" t="str">
        <f t="shared" si="3"/>
        <v>Sawk</v>
      </c>
      <c r="H540" s="3" t="s">
        <v>2973</v>
      </c>
      <c r="I540" s="3" t="s">
        <v>2974</v>
      </c>
      <c r="J540" s="5" t="str">
        <f>IFERROR(__xludf.DUMMYFUNCTION("GOOGLETRANSLATE(I540,""zh_HANT"",""zh_HANS"")"),"打击鬼")</f>
        <v>打击鬼</v>
      </c>
    </row>
    <row r="541">
      <c r="A541" s="3" t="str">
        <f t="shared" si="106"/>
        <v>NAME_PkMn_SEWADDLE</v>
      </c>
      <c r="B541" s="3" t="s">
        <v>2975</v>
      </c>
      <c r="C541" s="3" t="s">
        <v>2976</v>
      </c>
      <c r="D541" s="3" t="s">
        <v>2977</v>
      </c>
      <c r="E541" s="3" t="s">
        <v>2978</v>
      </c>
      <c r="F541" s="5" t="str">
        <f t="shared" si="2"/>
        <v>Sewaddle</v>
      </c>
      <c r="G541" s="5" t="str">
        <f t="shared" si="3"/>
        <v>Sewaddle</v>
      </c>
      <c r="H541" s="3" t="s">
        <v>2979</v>
      </c>
      <c r="I541" s="3" t="s">
        <v>2980</v>
      </c>
      <c r="J541" s="5" t="str">
        <f>IFERROR(__xludf.DUMMYFUNCTION("GOOGLETRANSLATE(I541,""zh_HANT"",""zh_HANS"")"),"虫宝包")</f>
        <v>虫宝包</v>
      </c>
    </row>
    <row r="542">
      <c r="A542" s="3" t="str">
        <f t="shared" si="106"/>
        <v>NAME_PkMn_SWADLOON</v>
      </c>
      <c r="B542" s="3" t="s">
        <v>2981</v>
      </c>
      <c r="C542" s="3" t="s">
        <v>2982</v>
      </c>
      <c r="D542" s="3" t="s">
        <v>2983</v>
      </c>
      <c r="E542" s="3" t="s">
        <v>2984</v>
      </c>
      <c r="F542" s="5" t="str">
        <f t="shared" si="2"/>
        <v>Swadloon</v>
      </c>
      <c r="G542" s="5" t="str">
        <f t="shared" si="3"/>
        <v>Swadloon</v>
      </c>
      <c r="H542" s="3" t="s">
        <v>2985</v>
      </c>
      <c r="I542" s="3" t="s">
        <v>2986</v>
      </c>
      <c r="J542" s="5" t="str">
        <f>IFERROR(__xludf.DUMMYFUNCTION("GOOGLETRANSLATE(I542,""zh_HANT"",""zh_HANS"")"),"宝包茧")</f>
        <v>宝包茧</v>
      </c>
    </row>
    <row r="543">
      <c r="A543" s="3" t="str">
        <f t="shared" si="106"/>
        <v>NAME_PkMn_LEAVANNY</v>
      </c>
      <c r="B543" s="3" t="s">
        <v>2987</v>
      </c>
      <c r="C543" s="3" t="s">
        <v>2988</v>
      </c>
      <c r="D543" s="3" t="s">
        <v>2989</v>
      </c>
      <c r="E543" s="3" t="s">
        <v>2990</v>
      </c>
      <c r="F543" s="5" t="str">
        <f t="shared" si="2"/>
        <v>Leavanny</v>
      </c>
      <c r="G543" s="5" t="str">
        <f t="shared" si="3"/>
        <v>Leavanny</v>
      </c>
      <c r="H543" s="3" t="s">
        <v>2991</v>
      </c>
      <c r="I543" s="3" t="s">
        <v>2992</v>
      </c>
      <c r="J543" s="5" t="str">
        <f>IFERROR(__xludf.DUMMYFUNCTION("GOOGLETRANSLATE(I543,""zh_HANT"",""zh_HANS"")"),"保母虫")</f>
        <v>保母虫</v>
      </c>
    </row>
    <row r="544">
      <c r="A544" s="3" t="str">
        <f t="shared" si="106"/>
        <v>NAME_PkMn_VENIPEDE</v>
      </c>
      <c r="B544" s="3" t="s">
        <v>2993</v>
      </c>
      <c r="C544" s="3" t="s">
        <v>2994</v>
      </c>
      <c r="D544" s="3" t="s">
        <v>2995</v>
      </c>
      <c r="E544" s="3" t="s">
        <v>2996</v>
      </c>
      <c r="F544" s="5" t="str">
        <f t="shared" si="2"/>
        <v>Venipede</v>
      </c>
      <c r="G544" s="5" t="str">
        <f t="shared" si="3"/>
        <v>Venipede</v>
      </c>
      <c r="H544" s="3" t="s">
        <v>2997</v>
      </c>
      <c r="I544" s="3" t="s">
        <v>2998</v>
      </c>
      <c r="J544" s="5" t="str">
        <f>I544</f>
        <v>百足蜈蚣</v>
      </c>
    </row>
    <row r="545">
      <c r="A545" s="3" t="str">
        <f t="shared" si="106"/>
        <v>NAME_PkMn_WHIRLIPEDE</v>
      </c>
      <c r="B545" s="3" t="s">
        <v>2999</v>
      </c>
      <c r="C545" s="3" t="s">
        <v>3000</v>
      </c>
      <c r="D545" s="3" t="s">
        <v>3001</v>
      </c>
      <c r="E545" s="3" t="s">
        <v>3002</v>
      </c>
      <c r="F545" s="5" t="str">
        <f t="shared" si="2"/>
        <v>Whirlipede</v>
      </c>
      <c r="G545" s="5" t="str">
        <f t="shared" si="3"/>
        <v>Whirlipede</v>
      </c>
      <c r="H545" s="3" t="s">
        <v>3003</v>
      </c>
      <c r="I545" s="3" t="s">
        <v>3004</v>
      </c>
      <c r="J545" s="5" t="str">
        <f>IFERROR(__xludf.DUMMYFUNCTION("GOOGLETRANSLATE(I545,""zh_HANT"",""zh_HANS"")"),"车轮毬")</f>
        <v>车轮毬</v>
      </c>
    </row>
    <row r="546">
      <c r="A546" s="3" t="str">
        <f t="shared" si="106"/>
        <v>NAME_PkMn_SCOLIOPEDE</v>
      </c>
      <c r="B546" s="3" t="s">
        <v>3005</v>
      </c>
      <c r="C546" s="3" t="s">
        <v>3006</v>
      </c>
      <c r="D546" s="3" t="s">
        <v>3007</v>
      </c>
      <c r="E546" s="3" t="s">
        <v>3008</v>
      </c>
      <c r="F546" s="5" t="str">
        <f t="shared" si="2"/>
        <v>Scoliopede</v>
      </c>
      <c r="G546" s="5" t="str">
        <f t="shared" si="3"/>
        <v>Scoliopede</v>
      </c>
      <c r="H546" s="3" t="s">
        <v>3009</v>
      </c>
      <c r="I546" s="3" t="s">
        <v>3010</v>
      </c>
      <c r="J546" s="5" t="str">
        <f t="shared" ref="J546:J547" si="116">I546</f>
        <v>蜈蚣王</v>
      </c>
    </row>
    <row r="547">
      <c r="A547" s="3" t="str">
        <f t="shared" si="106"/>
        <v>NAME_PkMn_COTTONEE</v>
      </c>
      <c r="B547" s="3" t="s">
        <v>3011</v>
      </c>
      <c r="C547" s="3" t="s">
        <v>3012</v>
      </c>
      <c r="D547" s="3" t="s">
        <v>3013</v>
      </c>
      <c r="E547" s="3" t="s">
        <v>3014</v>
      </c>
      <c r="F547" s="5" t="str">
        <f t="shared" si="2"/>
        <v>Cottonee</v>
      </c>
      <c r="G547" s="5" t="str">
        <f t="shared" si="3"/>
        <v>Cottonee</v>
      </c>
      <c r="H547" s="3" t="s">
        <v>3015</v>
      </c>
      <c r="I547" s="3" t="s">
        <v>3016</v>
      </c>
      <c r="J547" s="5" t="str">
        <f t="shared" si="116"/>
        <v>木棉球</v>
      </c>
    </row>
    <row r="548">
      <c r="A548" s="3" t="str">
        <f t="shared" si="106"/>
        <v>NAME_PkMn_WHIMSICOTT</v>
      </c>
      <c r="B548" s="3" t="s">
        <v>3017</v>
      </c>
      <c r="C548" s="3" t="s">
        <v>3018</v>
      </c>
      <c r="D548" s="3" t="s">
        <v>3019</v>
      </c>
      <c r="E548" s="3" t="s">
        <v>3020</v>
      </c>
      <c r="F548" s="5" t="str">
        <f t="shared" si="2"/>
        <v>Whimsicott</v>
      </c>
      <c r="G548" s="5" t="str">
        <f t="shared" si="3"/>
        <v>Whimsicott</v>
      </c>
      <c r="H548" s="3" t="s">
        <v>3021</v>
      </c>
      <c r="I548" s="3" t="s">
        <v>3022</v>
      </c>
      <c r="J548" s="5" t="str">
        <f>IFERROR(__xludf.DUMMYFUNCTION("GOOGLETRANSLATE(I548,""zh_HANT"",""zh_HANS"")"),"风妖精")</f>
        <v>风妖精</v>
      </c>
    </row>
    <row r="549">
      <c r="A549" s="3" t="str">
        <f t="shared" si="106"/>
        <v>NAME_PkMn_PETILIL</v>
      </c>
      <c r="B549" s="3" t="s">
        <v>3023</v>
      </c>
      <c r="C549" s="3" t="s">
        <v>3024</v>
      </c>
      <c r="D549" s="3" t="s">
        <v>3025</v>
      </c>
      <c r="E549" s="3" t="s">
        <v>3026</v>
      </c>
      <c r="F549" s="5" t="str">
        <f t="shared" si="2"/>
        <v>Petilil</v>
      </c>
      <c r="G549" s="5" t="str">
        <f t="shared" si="3"/>
        <v>Petilil</v>
      </c>
      <c r="H549" s="3" t="s">
        <v>3027</v>
      </c>
      <c r="I549" s="3" t="s">
        <v>3028</v>
      </c>
      <c r="J549" s="5" t="str">
        <f>I549</f>
        <v>百合根娃娃</v>
      </c>
    </row>
    <row r="550">
      <c r="A550" s="3" t="str">
        <f t="shared" si="106"/>
        <v>NAME_PkMn_LILLIGANT</v>
      </c>
      <c r="B550" s="3" t="s">
        <v>3029</v>
      </c>
      <c r="C550" s="3" t="s">
        <v>3030</v>
      </c>
      <c r="D550" s="3" t="s">
        <v>3031</v>
      </c>
      <c r="E550" s="3" t="s">
        <v>3032</v>
      </c>
      <c r="F550" s="5" t="str">
        <f t="shared" si="2"/>
        <v>Lilligant</v>
      </c>
      <c r="G550" s="5" t="str">
        <f t="shared" si="3"/>
        <v>Lilligant</v>
      </c>
      <c r="H550" s="3" t="s">
        <v>3033</v>
      </c>
      <c r="I550" s="3" t="s">
        <v>3034</v>
      </c>
      <c r="J550" s="5" t="str">
        <f>IFERROR(__xludf.DUMMYFUNCTION("GOOGLETRANSLATE(I550,""zh_HANT"",""zh_HANS"")"),"裙儿小姐")</f>
        <v>裙儿小姐</v>
      </c>
    </row>
    <row r="551">
      <c r="A551" s="3" t="str">
        <f t="shared" si="106"/>
        <v>NAME_PkMn_BASCULIN</v>
      </c>
      <c r="B551" s="3" t="s">
        <v>3035</v>
      </c>
      <c r="C551" s="3" t="s">
        <v>3036</v>
      </c>
      <c r="D551" s="3" t="s">
        <v>3037</v>
      </c>
      <c r="E551" s="3" t="s">
        <v>3038</v>
      </c>
      <c r="F551" s="5" t="str">
        <f t="shared" si="2"/>
        <v>Basculin</v>
      </c>
      <c r="G551" s="5" t="str">
        <f t="shared" si="3"/>
        <v>Basculin</v>
      </c>
      <c r="H551" s="3" t="s">
        <v>3039</v>
      </c>
      <c r="I551" s="3" t="s">
        <v>3040</v>
      </c>
      <c r="J551" s="5" t="str">
        <f>IFERROR(__xludf.DUMMYFUNCTION("GOOGLETRANSLATE(I551,""zh_HANT"",""zh_HANS"")"),"野蛮鲈鱼")</f>
        <v>野蛮鲈鱼</v>
      </c>
    </row>
    <row r="552">
      <c r="A552" s="3" t="str">
        <f t="shared" si="106"/>
        <v>NAME_PkMn_SANDILE</v>
      </c>
      <c r="B552" s="3" t="s">
        <v>3041</v>
      </c>
      <c r="C552" s="3" t="s">
        <v>3042</v>
      </c>
      <c r="D552" s="3" t="s">
        <v>3043</v>
      </c>
      <c r="E552" s="3" t="s">
        <v>3044</v>
      </c>
      <c r="F552" s="5" t="str">
        <f t="shared" si="2"/>
        <v>Sandile</v>
      </c>
      <c r="G552" s="5" t="str">
        <f t="shared" si="3"/>
        <v>Sandile</v>
      </c>
      <c r="H552" s="3" t="s">
        <v>3045</v>
      </c>
      <c r="I552" s="3" t="s">
        <v>3046</v>
      </c>
      <c r="J552" s="5" t="str">
        <f>IFERROR(__xludf.DUMMYFUNCTION("GOOGLETRANSLATE(I552,""zh_HANT"",""zh_HANS"")"),"黑眼鳄")</f>
        <v>黑眼鳄</v>
      </c>
    </row>
    <row r="553">
      <c r="A553" s="3" t="str">
        <f t="shared" si="106"/>
        <v>NAME_PkMn_KROKOROK</v>
      </c>
      <c r="B553" s="3" t="s">
        <v>3047</v>
      </c>
      <c r="C553" s="3" t="s">
        <v>3048</v>
      </c>
      <c r="D553" s="3" t="s">
        <v>3049</v>
      </c>
      <c r="E553" s="3" t="s">
        <v>3050</v>
      </c>
      <c r="F553" s="5" t="str">
        <f t="shared" si="2"/>
        <v>Krokorok</v>
      </c>
      <c r="G553" s="5" t="str">
        <f t="shared" si="3"/>
        <v>Krokorok</v>
      </c>
      <c r="H553" s="3" t="s">
        <v>3051</v>
      </c>
      <c r="I553" s="3" t="s">
        <v>3052</v>
      </c>
      <c r="J553" s="5" t="str">
        <f>IFERROR(__xludf.DUMMYFUNCTION("GOOGLETRANSLATE(I553,""zh_HANT"",""zh_HANS"")"),"混混鳄")</f>
        <v>混混鳄</v>
      </c>
    </row>
    <row r="554">
      <c r="A554" s="3" t="str">
        <f t="shared" si="106"/>
        <v>NAME_PkMn_KROOKODILE</v>
      </c>
      <c r="B554" s="3" t="s">
        <v>3053</v>
      </c>
      <c r="C554" s="3" t="s">
        <v>3054</v>
      </c>
      <c r="D554" s="3" t="s">
        <v>3055</v>
      </c>
      <c r="E554" s="3" t="s">
        <v>3056</v>
      </c>
      <c r="F554" s="5" t="str">
        <f t="shared" si="2"/>
        <v>Krookodile</v>
      </c>
      <c r="G554" s="5" t="str">
        <f t="shared" si="3"/>
        <v>Krookodile</v>
      </c>
      <c r="H554" s="3" t="s">
        <v>3057</v>
      </c>
      <c r="I554" s="3" t="s">
        <v>3058</v>
      </c>
      <c r="J554" s="5" t="str">
        <f>IFERROR(__xludf.DUMMYFUNCTION("GOOGLETRANSLATE(I554,""zh_HANT"",""zh_HANS"")"),"流氓鳄")</f>
        <v>流氓鳄</v>
      </c>
    </row>
    <row r="555">
      <c r="A555" s="3" t="str">
        <f t="shared" si="106"/>
        <v>NAME_PkMn_DARUMAKA</v>
      </c>
      <c r="B555" s="3" t="s">
        <v>3059</v>
      </c>
      <c r="C555" s="3" t="s">
        <v>3060</v>
      </c>
      <c r="D555" s="3" t="s">
        <v>3061</v>
      </c>
      <c r="E555" s="3" t="s">
        <v>3062</v>
      </c>
      <c r="F555" s="5" t="str">
        <f t="shared" si="2"/>
        <v>Darumaka</v>
      </c>
      <c r="G555" s="5" t="str">
        <f t="shared" si="3"/>
        <v>Darumaka</v>
      </c>
      <c r="H555" s="3" t="s">
        <v>3063</v>
      </c>
      <c r="I555" s="3" t="s">
        <v>3064</v>
      </c>
      <c r="J555" s="5" t="str">
        <f>IFERROR(__xludf.DUMMYFUNCTION("GOOGLETRANSLATE(I555,""zh_HANT"",""zh_HANS"")"),"火红不倒翁")</f>
        <v>火红不倒翁</v>
      </c>
    </row>
    <row r="556">
      <c r="A556" s="3" t="str">
        <f t="shared" si="106"/>
        <v>NAME_PkMn_DARMANITAN</v>
      </c>
      <c r="B556" s="3" t="s">
        <v>3065</v>
      </c>
      <c r="C556" s="3" t="s">
        <v>3066</v>
      </c>
      <c r="D556" s="3" t="s">
        <v>3067</v>
      </c>
      <c r="E556" s="3" t="s">
        <v>3068</v>
      </c>
      <c r="F556" s="5" t="str">
        <f t="shared" si="2"/>
        <v>Darmanitan</v>
      </c>
      <c r="G556" s="5" t="str">
        <f t="shared" si="3"/>
        <v>Darmanitan</v>
      </c>
      <c r="H556" s="3" t="s">
        <v>3069</v>
      </c>
      <c r="I556" s="3" t="s">
        <v>3070</v>
      </c>
      <c r="J556" s="5" t="str">
        <f>IFERROR(__xludf.DUMMYFUNCTION("GOOGLETRANSLATE(I556,""zh_HANT"",""zh_HANS"")"),"达摩狒狒")</f>
        <v>达摩狒狒</v>
      </c>
    </row>
    <row r="557">
      <c r="A557" s="3" t="str">
        <f t="shared" si="106"/>
        <v>NAME_PkMn_MARACTUS</v>
      </c>
      <c r="B557" s="3" t="s">
        <v>3071</v>
      </c>
      <c r="C557" s="3" t="s">
        <v>3072</v>
      </c>
      <c r="D557" s="3" t="s">
        <v>3073</v>
      </c>
      <c r="E557" s="3" t="s">
        <v>3074</v>
      </c>
      <c r="F557" s="5" t="str">
        <f t="shared" si="2"/>
        <v>Maractus</v>
      </c>
      <c r="G557" s="5" t="str">
        <f t="shared" si="3"/>
        <v>Maractus</v>
      </c>
      <c r="H557" s="3" t="s">
        <v>3075</v>
      </c>
      <c r="I557" s="3" t="s">
        <v>3076</v>
      </c>
      <c r="J557" s="5" t="str">
        <f>IFERROR(__xludf.DUMMYFUNCTION("GOOGLETRANSLATE(I557,""zh_HANT"",""zh_HANS"")"),"沙铃仙人掌")</f>
        <v>沙铃仙人掌</v>
      </c>
    </row>
    <row r="558">
      <c r="A558" s="3" t="str">
        <f t="shared" si="106"/>
        <v>NAME_PkMn_DWEBBLE</v>
      </c>
      <c r="B558" s="3" t="s">
        <v>3077</v>
      </c>
      <c r="C558" s="3" t="s">
        <v>3078</v>
      </c>
      <c r="D558" s="3" t="s">
        <v>3079</v>
      </c>
      <c r="E558" s="3" t="s">
        <v>3080</v>
      </c>
      <c r="F558" s="5" t="str">
        <f t="shared" si="2"/>
        <v>Dwebble</v>
      </c>
      <c r="G558" s="5" t="str">
        <f t="shared" si="3"/>
        <v>Dwebble</v>
      </c>
      <c r="H558" s="3" t="s">
        <v>3081</v>
      </c>
      <c r="I558" s="3" t="s">
        <v>3082</v>
      </c>
      <c r="J558" s="5" t="str">
        <f t="shared" ref="J558:J560" si="117">I558</f>
        <v>石居蟹</v>
      </c>
    </row>
    <row r="559">
      <c r="A559" s="3" t="str">
        <f t="shared" si="106"/>
        <v>NAME_PkMn_CRUSTLE</v>
      </c>
      <c r="B559" s="3" t="s">
        <v>3083</v>
      </c>
      <c r="C559" s="3" t="s">
        <v>3084</v>
      </c>
      <c r="D559" s="3" t="s">
        <v>3085</v>
      </c>
      <c r="E559" s="3" t="s">
        <v>3086</v>
      </c>
      <c r="F559" s="5" t="str">
        <f t="shared" si="2"/>
        <v>Crustle</v>
      </c>
      <c r="G559" s="5" t="str">
        <f t="shared" si="3"/>
        <v>Crustle</v>
      </c>
      <c r="H559" s="3" t="s">
        <v>3087</v>
      </c>
      <c r="I559" s="3" t="s">
        <v>3088</v>
      </c>
      <c r="J559" s="5" t="str">
        <f t="shared" si="117"/>
        <v>岩殿居蟹</v>
      </c>
    </row>
    <row r="560">
      <c r="A560" s="3" t="str">
        <f t="shared" si="106"/>
        <v>NAME_PkMn_SCRAGGY</v>
      </c>
      <c r="B560" s="3" t="s">
        <v>3089</v>
      </c>
      <c r="C560" s="3" t="s">
        <v>3090</v>
      </c>
      <c r="D560" s="3" t="s">
        <v>3091</v>
      </c>
      <c r="E560" s="3" t="s">
        <v>3092</v>
      </c>
      <c r="F560" s="5" t="str">
        <f t="shared" si="2"/>
        <v>Scraggy</v>
      </c>
      <c r="G560" s="5" t="str">
        <f t="shared" si="3"/>
        <v>Scraggy</v>
      </c>
      <c r="H560" s="3" t="s">
        <v>3093</v>
      </c>
      <c r="I560" s="3" t="s">
        <v>3094</v>
      </c>
      <c r="J560" s="5" t="str">
        <f t="shared" si="117"/>
        <v>滑滑小子</v>
      </c>
    </row>
    <row r="561">
      <c r="A561" s="3" t="str">
        <f t="shared" si="106"/>
        <v>NAME_PkMn_SCRAFTY</v>
      </c>
      <c r="B561" s="3" t="s">
        <v>3095</v>
      </c>
      <c r="C561" s="3" t="s">
        <v>3096</v>
      </c>
      <c r="D561" s="3" t="s">
        <v>3097</v>
      </c>
      <c r="E561" s="3" t="s">
        <v>3098</v>
      </c>
      <c r="F561" s="5" t="str">
        <f t="shared" si="2"/>
        <v>Scrafty</v>
      </c>
      <c r="G561" s="5" t="str">
        <f t="shared" si="3"/>
        <v>Scrafty</v>
      </c>
      <c r="H561" s="3" t="s">
        <v>3099</v>
      </c>
      <c r="I561" s="3" t="s">
        <v>3100</v>
      </c>
      <c r="J561" s="5" t="str">
        <f>IFERROR(__xludf.DUMMYFUNCTION("GOOGLETRANSLATE(I561,""zh_HANT"",""zh_HANS"")"),"头巾混混")</f>
        <v>头巾混混</v>
      </c>
    </row>
    <row r="562">
      <c r="A562" s="3" t="str">
        <f t="shared" si="106"/>
        <v>NAME_PkMn_SIGILYPH</v>
      </c>
      <c r="B562" s="3" t="s">
        <v>3101</v>
      </c>
      <c r="C562" s="3" t="s">
        <v>3102</v>
      </c>
      <c r="D562" s="3" t="s">
        <v>3103</v>
      </c>
      <c r="E562" s="3" t="s">
        <v>3104</v>
      </c>
      <c r="F562" s="5" t="str">
        <f t="shared" si="2"/>
        <v>Sigilyph</v>
      </c>
      <c r="G562" s="5" t="str">
        <f t="shared" si="3"/>
        <v>Sigilyph</v>
      </c>
      <c r="H562" s="3" t="s">
        <v>3105</v>
      </c>
      <c r="I562" s="3" t="s">
        <v>3106</v>
      </c>
      <c r="J562" s="5" t="str">
        <f>IFERROR(__xludf.DUMMYFUNCTION("GOOGLETRANSLATE(I562,""zh_HANT"",""zh_HANS"")"),"象征鸟")</f>
        <v>象征鸟</v>
      </c>
    </row>
    <row r="563">
      <c r="A563" s="3" t="str">
        <f t="shared" si="106"/>
        <v>NAME_PkMn_YAMASK</v>
      </c>
      <c r="B563" s="3" t="s">
        <v>3107</v>
      </c>
      <c r="C563" s="3" t="s">
        <v>3108</v>
      </c>
      <c r="D563" s="3" t="s">
        <v>3109</v>
      </c>
      <c r="E563" s="3" t="s">
        <v>3110</v>
      </c>
      <c r="F563" s="5" t="str">
        <f t="shared" si="2"/>
        <v>Yamask</v>
      </c>
      <c r="G563" s="5" t="str">
        <f t="shared" si="3"/>
        <v>Yamask</v>
      </c>
      <c r="H563" s="3" t="s">
        <v>3111</v>
      </c>
      <c r="I563" s="3" t="s">
        <v>3112</v>
      </c>
      <c r="J563" s="5" t="str">
        <f>I563</f>
        <v>哭哭面具</v>
      </c>
    </row>
    <row r="564">
      <c r="A564" s="3" t="str">
        <f t="shared" si="106"/>
        <v>NAME_PkMn_COFAGRIGUS</v>
      </c>
      <c r="B564" s="3" t="s">
        <v>3113</v>
      </c>
      <c r="C564" s="3" t="s">
        <v>3114</v>
      </c>
      <c r="D564" s="3" t="s">
        <v>3115</v>
      </c>
      <c r="E564" s="3" t="s">
        <v>3116</v>
      </c>
      <c r="F564" s="5" t="str">
        <f t="shared" si="2"/>
        <v>Cofagrigus</v>
      </c>
      <c r="G564" s="5" t="str">
        <f t="shared" si="3"/>
        <v>Cofagrigus</v>
      </c>
      <c r="H564" s="3" t="s">
        <v>3117</v>
      </c>
      <c r="I564" s="3" t="s">
        <v>3118</v>
      </c>
      <c r="J564" s="3" t="s">
        <v>3119</v>
      </c>
    </row>
    <row r="565">
      <c r="A565" s="3" t="str">
        <f t="shared" si="106"/>
        <v>NAME_PkMn_TIRTOUGA</v>
      </c>
      <c r="B565" s="3" t="s">
        <v>3120</v>
      </c>
      <c r="C565" s="3" t="s">
        <v>3121</v>
      </c>
      <c r="D565" s="3" t="s">
        <v>3122</v>
      </c>
      <c r="E565" s="3" t="s">
        <v>3123</v>
      </c>
      <c r="F565" s="5" t="str">
        <f t="shared" si="2"/>
        <v>Tirtouga</v>
      </c>
      <c r="G565" s="5" t="str">
        <f t="shared" si="3"/>
        <v>Tirtouga</v>
      </c>
      <c r="H565" s="3" t="s">
        <v>3124</v>
      </c>
      <c r="I565" s="3" t="s">
        <v>3125</v>
      </c>
      <c r="J565" s="5" t="str">
        <f>IFERROR(__xludf.DUMMYFUNCTION("GOOGLETRANSLATE(I565,""zh_HANT"",""zh_HANS"")"),"原盖海龟")</f>
        <v>原盖海龟</v>
      </c>
    </row>
    <row r="566">
      <c r="A566" s="3" t="str">
        <f t="shared" si="106"/>
        <v>NAME_PkMn_CARRACOSTA</v>
      </c>
      <c r="B566" s="3" t="s">
        <v>3126</v>
      </c>
      <c r="C566" s="3" t="s">
        <v>3127</v>
      </c>
      <c r="D566" s="3" t="s">
        <v>3128</v>
      </c>
      <c r="E566" s="3" t="s">
        <v>3129</v>
      </c>
      <c r="F566" s="5" t="str">
        <f t="shared" si="2"/>
        <v>Carracosta</v>
      </c>
      <c r="G566" s="5" t="str">
        <f t="shared" si="3"/>
        <v>Carracosta</v>
      </c>
      <c r="H566" s="3" t="s">
        <v>3130</v>
      </c>
      <c r="I566" s="3" t="s">
        <v>3131</v>
      </c>
      <c r="J566" s="5" t="str">
        <f>IFERROR(__xludf.DUMMYFUNCTION("GOOGLETRANSLATE(I566,""zh_HANT"",""zh_HANS"")"),"肋骨海龟")</f>
        <v>肋骨海龟</v>
      </c>
    </row>
    <row r="567">
      <c r="A567" s="3" t="str">
        <f t="shared" si="106"/>
        <v>NAME_PkMn_ARCHEN</v>
      </c>
      <c r="B567" s="3" t="s">
        <v>3132</v>
      </c>
      <c r="C567" s="3" t="s">
        <v>3133</v>
      </c>
      <c r="D567" s="3" t="s">
        <v>3134</v>
      </c>
      <c r="E567" s="3" t="s">
        <v>3135</v>
      </c>
      <c r="F567" s="5" t="str">
        <f t="shared" si="2"/>
        <v>Archen</v>
      </c>
      <c r="G567" s="5" t="str">
        <f t="shared" si="3"/>
        <v>Archen</v>
      </c>
      <c r="H567" s="3" t="s">
        <v>3136</v>
      </c>
      <c r="I567" s="3" t="s">
        <v>3137</v>
      </c>
      <c r="J567" s="5" t="str">
        <f>IFERROR(__xludf.DUMMYFUNCTION("GOOGLETRANSLATE(I567,""zh_HANT"",""zh_HANS"")"),"始祖小鸟")</f>
        <v>始祖小鸟</v>
      </c>
    </row>
    <row r="568">
      <c r="A568" s="3" t="str">
        <f t="shared" si="106"/>
        <v>NAME_PkMn_ARCHEOPS</v>
      </c>
      <c r="B568" s="3" t="s">
        <v>3138</v>
      </c>
      <c r="C568" s="3" t="s">
        <v>3139</v>
      </c>
      <c r="D568" s="3" t="s">
        <v>3140</v>
      </c>
      <c r="E568" s="3" t="s">
        <v>3141</v>
      </c>
      <c r="F568" s="5" t="str">
        <f t="shared" si="2"/>
        <v>Archeops</v>
      </c>
      <c r="G568" s="5" t="str">
        <f t="shared" si="3"/>
        <v>Archeops</v>
      </c>
      <c r="H568" s="3" t="s">
        <v>3142</v>
      </c>
      <c r="I568" s="3" t="s">
        <v>3143</v>
      </c>
      <c r="J568" s="5" t="str">
        <f>IFERROR(__xludf.DUMMYFUNCTION("GOOGLETRANSLATE(I568,""zh_HANT"",""zh_HANS"")"),"始祖大鸟")</f>
        <v>始祖大鸟</v>
      </c>
    </row>
    <row r="569">
      <c r="A569" s="3" t="str">
        <f t="shared" si="106"/>
        <v>NAME_PkMn_TRUBBISH</v>
      </c>
      <c r="B569" s="3" t="s">
        <v>3144</v>
      </c>
      <c r="C569" s="3" t="s">
        <v>3145</v>
      </c>
      <c r="D569" s="3" t="s">
        <v>3146</v>
      </c>
      <c r="E569" s="3" t="s">
        <v>3147</v>
      </c>
      <c r="F569" s="5" t="str">
        <f t="shared" si="2"/>
        <v>Trubbish</v>
      </c>
      <c r="G569" s="5" t="str">
        <f t="shared" si="3"/>
        <v>Trubbish</v>
      </c>
      <c r="H569" s="3" t="s">
        <v>3148</v>
      </c>
      <c r="I569" s="3" t="s">
        <v>3149</v>
      </c>
      <c r="J569" s="5" t="str">
        <f>I569</f>
        <v>破破袋</v>
      </c>
    </row>
    <row r="570">
      <c r="A570" s="3" t="str">
        <f t="shared" si="106"/>
        <v>NAME_PkMn_GARBODOR</v>
      </c>
      <c r="B570" s="3" t="s">
        <v>3150</v>
      </c>
      <c r="C570" s="3" t="s">
        <v>3151</v>
      </c>
      <c r="D570" s="3" t="s">
        <v>3152</v>
      </c>
      <c r="E570" s="3" t="s">
        <v>3153</v>
      </c>
      <c r="F570" s="5" t="str">
        <f t="shared" si="2"/>
        <v>Garbodor</v>
      </c>
      <c r="G570" s="5" t="str">
        <f t="shared" si="3"/>
        <v>Garbodor</v>
      </c>
      <c r="H570" s="3" t="s">
        <v>3154</v>
      </c>
      <c r="I570" s="3" t="s">
        <v>3155</v>
      </c>
      <c r="J570" s="5" t="str">
        <f>IFERROR(__xludf.DUMMYFUNCTION("GOOGLETRANSLATE(I570,""zh_HANT"",""zh_HANS"")"),"灰尘山")</f>
        <v>灰尘山</v>
      </c>
    </row>
    <row r="571">
      <c r="A571" s="3" t="str">
        <f t="shared" si="106"/>
        <v>NAME_PkMn_ZORUA</v>
      </c>
      <c r="B571" s="3" t="s">
        <v>3156</v>
      </c>
      <c r="C571" s="3" t="s">
        <v>3157</v>
      </c>
      <c r="D571" s="5" t="str">
        <f t="shared" ref="D571:D572" si="118">B571</f>
        <v>Zorua</v>
      </c>
      <c r="E571" s="5" t="str">
        <f t="shared" ref="E571:E572" si="119">B571</f>
        <v>Zorua</v>
      </c>
      <c r="F571" s="5" t="str">
        <f t="shared" si="2"/>
        <v>Zorua</v>
      </c>
      <c r="G571" s="5" t="str">
        <f t="shared" si="3"/>
        <v>Zorua</v>
      </c>
      <c r="H571" s="3" t="s">
        <v>3158</v>
      </c>
      <c r="I571" s="3" t="s">
        <v>3159</v>
      </c>
      <c r="J571" s="5" t="str">
        <f>IFERROR(__xludf.DUMMYFUNCTION("GOOGLETRANSLATE(I571,""zh_HANT"",""zh_HANS"")"),"索罗亚")</f>
        <v>索罗亚</v>
      </c>
    </row>
    <row r="572">
      <c r="A572" s="3" t="str">
        <f t="shared" si="106"/>
        <v>NAME_PkMn_ZOROARK</v>
      </c>
      <c r="B572" s="3" t="s">
        <v>3160</v>
      </c>
      <c r="C572" s="3" t="s">
        <v>3161</v>
      </c>
      <c r="D572" s="5" t="str">
        <f t="shared" si="118"/>
        <v>Zoroark</v>
      </c>
      <c r="E572" s="5" t="str">
        <f t="shared" si="119"/>
        <v>Zoroark</v>
      </c>
      <c r="F572" s="5" t="str">
        <f t="shared" si="2"/>
        <v>Zoroark</v>
      </c>
      <c r="G572" s="5" t="str">
        <f t="shared" si="3"/>
        <v>Zoroark</v>
      </c>
      <c r="H572" s="3" t="s">
        <v>3162</v>
      </c>
      <c r="I572" s="3" t="s">
        <v>3163</v>
      </c>
      <c r="J572" s="5" t="str">
        <f>IFERROR(__xludf.DUMMYFUNCTION("GOOGLETRANSLATE(I572,""zh_HANT"",""zh_HANS"")"),"索罗亚克")</f>
        <v>索罗亚克</v>
      </c>
    </row>
    <row r="573">
      <c r="A573" s="3" t="str">
        <f t="shared" si="106"/>
        <v>NAME_PkMn_MINCCINO</v>
      </c>
      <c r="B573" s="3" t="s">
        <v>3164</v>
      </c>
      <c r="C573" s="3" t="s">
        <v>3165</v>
      </c>
      <c r="D573" s="3" t="s">
        <v>3166</v>
      </c>
      <c r="E573" s="3" t="s">
        <v>3167</v>
      </c>
      <c r="F573" s="5" t="str">
        <f t="shared" si="2"/>
        <v>Minccino</v>
      </c>
      <c r="G573" s="5" t="str">
        <f t="shared" si="3"/>
        <v>Minccino</v>
      </c>
      <c r="H573" s="3" t="s">
        <v>3168</v>
      </c>
      <c r="I573" s="3" t="s">
        <v>3169</v>
      </c>
      <c r="J573" s="5" t="str">
        <f>I573</f>
        <v>泡沫栗鼠</v>
      </c>
    </row>
    <row r="574">
      <c r="A574" s="3" t="str">
        <f t="shared" si="106"/>
        <v>NAME_PkMn_CINCCINO</v>
      </c>
      <c r="B574" s="3" t="s">
        <v>3170</v>
      </c>
      <c r="C574" s="3" t="s">
        <v>3171</v>
      </c>
      <c r="D574" s="3" t="s">
        <v>3172</v>
      </c>
      <c r="E574" s="3" t="s">
        <v>3173</v>
      </c>
      <c r="F574" s="5" t="str">
        <f t="shared" si="2"/>
        <v>Cinccino</v>
      </c>
      <c r="G574" s="5" t="str">
        <f t="shared" si="3"/>
        <v>Cinccino</v>
      </c>
      <c r="H574" s="3" t="s">
        <v>3174</v>
      </c>
      <c r="I574" s="3" t="s">
        <v>3175</v>
      </c>
      <c r="J574" s="5" t="str">
        <f>IFERROR(__xludf.DUMMYFUNCTION("GOOGLETRANSLATE(I574,""zh_HANT"",""zh_HANS"")"),"奇诺栗鼠")</f>
        <v>奇诺栗鼠</v>
      </c>
    </row>
    <row r="575">
      <c r="A575" s="3" t="str">
        <f t="shared" si="106"/>
        <v>NAME_PkMn_GOTHITA</v>
      </c>
      <c r="B575" s="3" t="s">
        <v>3176</v>
      </c>
      <c r="C575" s="3" t="s">
        <v>3177</v>
      </c>
      <c r="D575" s="3" t="s">
        <v>3178</v>
      </c>
      <c r="E575" s="3" t="s">
        <v>3179</v>
      </c>
      <c r="F575" s="5" t="str">
        <f t="shared" si="2"/>
        <v>Gothita</v>
      </c>
      <c r="G575" s="5" t="str">
        <f t="shared" si="3"/>
        <v>Gothita</v>
      </c>
      <c r="H575" s="3" t="s">
        <v>3180</v>
      </c>
      <c r="I575" s="3" t="s">
        <v>3181</v>
      </c>
      <c r="J575" s="5" t="str">
        <f>IFERROR(__xludf.DUMMYFUNCTION("GOOGLETRANSLATE(I575,""zh_HANT"",""zh_HANS"")"),"哥德宝宝")</f>
        <v>哥德宝宝</v>
      </c>
    </row>
    <row r="576">
      <c r="A576" s="3" t="str">
        <f t="shared" si="106"/>
        <v>NAME_PkMn_GOTHORITA</v>
      </c>
      <c r="B576" s="3" t="s">
        <v>3182</v>
      </c>
      <c r="C576" s="3" t="s">
        <v>3183</v>
      </c>
      <c r="D576" s="3" t="s">
        <v>3184</v>
      </c>
      <c r="E576" s="3" t="s">
        <v>3185</v>
      </c>
      <c r="F576" s="5" t="str">
        <f t="shared" si="2"/>
        <v>Gothorita</v>
      </c>
      <c r="G576" s="5" t="str">
        <f t="shared" si="3"/>
        <v>Gothorita</v>
      </c>
      <c r="H576" s="3" t="s">
        <v>3186</v>
      </c>
      <c r="I576" s="3" t="s">
        <v>3187</v>
      </c>
      <c r="J576" s="5" t="str">
        <f t="shared" ref="J576:J577" si="120">I576</f>
        <v>哥德小童</v>
      </c>
    </row>
    <row r="577">
      <c r="A577" s="3" t="str">
        <f t="shared" si="106"/>
        <v>NAME_PkMn_GOTHITELLE</v>
      </c>
      <c r="B577" s="3" t="s">
        <v>3188</v>
      </c>
      <c r="C577" s="3" t="s">
        <v>3189</v>
      </c>
      <c r="D577" s="3" t="s">
        <v>3190</v>
      </c>
      <c r="E577" s="3" t="s">
        <v>3191</v>
      </c>
      <c r="F577" s="5" t="str">
        <f t="shared" si="2"/>
        <v>Gothitelle</v>
      </c>
      <c r="G577" s="5" t="str">
        <f t="shared" si="3"/>
        <v>Gothitelle</v>
      </c>
      <c r="H577" s="3" t="s">
        <v>3192</v>
      </c>
      <c r="I577" s="3" t="s">
        <v>3193</v>
      </c>
      <c r="J577" s="5" t="str">
        <f t="shared" si="120"/>
        <v>哥德小姐</v>
      </c>
    </row>
    <row r="578">
      <c r="A578" s="3" t="str">
        <f t="shared" si="106"/>
        <v>NAME_PkMn_SOLOSIS</v>
      </c>
      <c r="B578" s="9" t="s">
        <v>3194</v>
      </c>
      <c r="C578" s="3" t="s">
        <v>3195</v>
      </c>
      <c r="D578" s="3" t="s">
        <v>3196</v>
      </c>
      <c r="E578" s="3" t="s">
        <v>3197</v>
      </c>
      <c r="F578" s="5" t="str">
        <f t="shared" si="2"/>
        <v>Solosis</v>
      </c>
      <c r="G578" s="5" t="str">
        <f t="shared" si="3"/>
        <v>Solosis</v>
      </c>
      <c r="H578" s="3" t="s">
        <v>3198</v>
      </c>
      <c r="I578" s="3" t="s">
        <v>3199</v>
      </c>
      <c r="J578" s="5" t="str">
        <f>IFERROR(__xludf.DUMMYFUNCTION("GOOGLETRANSLATE(I578,""zh_HANT"",""zh_HANS"")"),"单卵细胞球")</f>
        <v>单卵细胞球</v>
      </c>
    </row>
    <row r="579">
      <c r="A579" s="3" t="str">
        <f t="shared" si="106"/>
        <v>NAME_PkMn_DUOSION</v>
      </c>
      <c r="B579" s="3" t="s">
        <v>3200</v>
      </c>
      <c r="C579" s="3" t="s">
        <v>3201</v>
      </c>
      <c r="D579" s="3" t="s">
        <v>3202</v>
      </c>
      <c r="E579" s="3" t="s">
        <v>3203</v>
      </c>
      <c r="F579" s="5" t="str">
        <f t="shared" si="2"/>
        <v>Duosion</v>
      </c>
      <c r="G579" s="5" t="str">
        <f t="shared" si="3"/>
        <v>Duosion</v>
      </c>
      <c r="H579" s="3" t="s">
        <v>3204</v>
      </c>
      <c r="I579" s="3" t="s">
        <v>3205</v>
      </c>
      <c r="J579" s="5" t="str">
        <f>IFERROR(__xludf.DUMMYFUNCTION("GOOGLETRANSLATE(I579,""zh_HANT"",""zh_HANS"")"),"双卵细胞球")</f>
        <v>双卵细胞球</v>
      </c>
    </row>
    <row r="580">
      <c r="A580" s="3" t="str">
        <f t="shared" si="106"/>
        <v>NAME_PkMn_REUNICLUS</v>
      </c>
      <c r="B580" s="3" t="s">
        <v>3206</v>
      </c>
      <c r="C580" s="3" t="s">
        <v>3207</v>
      </c>
      <c r="D580" s="3" t="s">
        <v>3208</v>
      </c>
      <c r="E580" s="3" t="s">
        <v>3209</v>
      </c>
      <c r="F580" s="5" t="str">
        <f t="shared" si="2"/>
        <v>Reuniclus</v>
      </c>
      <c r="G580" s="5" t="str">
        <f t="shared" si="3"/>
        <v>Reuniclus</v>
      </c>
      <c r="H580" s="3" t="s">
        <v>3210</v>
      </c>
      <c r="I580" s="3" t="s">
        <v>3211</v>
      </c>
      <c r="J580" s="5" t="str">
        <f>IFERROR(__xludf.DUMMYFUNCTION("GOOGLETRANSLATE(I580,""zh_HANT"",""zh_HANS"")"),"人造细胞卵")</f>
        <v>人造细胞卵</v>
      </c>
    </row>
    <row r="581">
      <c r="A581" s="3" t="str">
        <f t="shared" si="106"/>
        <v>NAME_PkMn_DUCKLETT</v>
      </c>
      <c r="B581" s="3" t="s">
        <v>3212</v>
      </c>
      <c r="C581" s="3" t="s">
        <v>3213</v>
      </c>
      <c r="D581" s="3" t="s">
        <v>3214</v>
      </c>
      <c r="E581" s="3" t="s">
        <v>3215</v>
      </c>
      <c r="F581" s="5" t="str">
        <f t="shared" si="2"/>
        <v>Ducklett</v>
      </c>
      <c r="G581" s="5" t="str">
        <f t="shared" si="3"/>
        <v>Ducklett</v>
      </c>
      <c r="H581" s="3" t="s">
        <v>3216</v>
      </c>
      <c r="I581" s="3" t="s">
        <v>3217</v>
      </c>
      <c r="J581" s="5" t="str">
        <f>IFERROR(__xludf.DUMMYFUNCTION("GOOGLETRANSLATE(I581,""zh_HANT"",""zh_HANS"")"),"鸭宝宝")</f>
        <v>鸭宝宝</v>
      </c>
    </row>
    <row r="582">
      <c r="A582" s="3" t="str">
        <f t="shared" si="106"/>
        <v>NAME_PkMn_SWANNA</v>
      </c>
      <c r="B582" s="3" t="s">
        <v>3218</v>
      </c>
      <c r="C582" s="3" t="s">
        <v>3219</v>
      </c>
      <c r="D582" s="3" t="s">
        <v>3220</v>
      </c>
      <c r="E582" s="3" t="s">
        <v>3221</v>
      </c>
      <c r="F582" s="5" t="str">
        <f t="shared" si="2"/>
        <v>Swanna</v>
      </c>
      <c r="G582" s="5" t="str">
        <f t="shared" si="3"/>
        <v>Swanna</v>
      </c>
      <c r="H582" s="3" t="s">
        <v>3222</v>
      </c>
      <c r="I582" s="3" t="s">
        <v>3223</v>
      </c>
      <c r="J582" s="5" t="str">
        <f>IFERROR(__xludf.DUMMYFUNCTION("GOOGLETRANSLATE(I582,""zh_HANT"",""zh_HANS"")"),"舞天鹅")</f>
        <v>舞天鹅</v>
      </c>
    </row>
    <row r="583">
      <c r="A583" s="3" t="str">
        <f t="shared" si="106"/>
        <v>NAME_PkMn_VANILLITE</v>
      </c>
      <c r="B583" s="3" t="s">
        <v>3224</v>
      </c>
      <c r="C583" s="3" t="s">
        <v>3225</v>
      </c>
      <c r="D583" s="3" t="s">
        <v>3226</v>
      </c>
      <c r="E583" s="3" t="s">
        <v>3227</v>
      </c>
      <c r="F583" s="5" t="str">
        <f t="shared" si="2"/>
        <v>Vanillite</v>
      </c>
      <c r="G583" s="5" t="str">
        <f t="shared" si="3"/>
        <v>Vanillite</v>
      </c>
      <c r="H583" s="3" t="s">
        <v>3228</v>
      </c>
      <c r="I583" s="3" t="s">
        <v>3229</v>
      </c>
      <c r="J583" s="5" t="str">
        <f t="shared" ref="J583:J584" si="121">I583</f>
        <v>迷你冰</v>
      </c>
    </row>
    <row r="584">
      <c r="A584" s="3" t="str">
        <f t="shared" si="106"/>
        <v>NAME_PkMn_VANILLISH</v>
      </c>
      <c r="B584" s="3" t="s">
        <v>3230</v>
      </c>
      <c r="C584" s="3" t="s">
        <v>3231</v>
      </c>
      <c r="D584" s="3" t="s">
        <v>3232</v>
      </c>
      <c r="E584" s="3" t="s">
        <v>3233</v>
      </c>
      <c r="F584" s="5" t="str">
        <f t="shared" si="2"/>
        <v>Vanillish</v>
      </c>
      <c r="G584" s="5" t="str">
        <f t="shared" si="3"/>
        <v>Vanillish</v>
      </c>
      <c r="H584" s="3" t="s">
        <v>3234</v>
      </c>
      <c r="I584" s="3" t="s">
        <v>3235</v>
      </c>
      <c r="J584" s="5" t="str">
        <f t="shared" si="121"/>
        <v>多多冰</v>
      </c>
    </row>
    <row r="585">
      <c r="A585" s="3" t="str">
        <f t="shared" si="106"/>
        <v>NAME_PkMn_VANILLUXE</v>
      </c>
      <c r="B585" s="3" t="s">
        <v>3236</v>
      </c>
      <c r="C585" s="3" t="s">
        <v>3237</v>
      </c>
      <c r="D585" s="3" t="s">
        <v>3238</v>
      </c>
      <c r="E585" s="3" t="s">
        <v>3239</v>
      </c>
      <c r="F585" s="5" t="str">
        <f t="shared" si="2"/>
        <v>Vanilluxe</v>
      </c>
      <c r="G585" s="5" t="str">
        <f t="shared" si="3"/>
        <v>Vanilluxe</v>
      </c>
      <c r="H585" s="3" t="s">
        <v>3240</v>
      </c>
      <c r="I585" s="3" t="s">
        <v>3241</v>
      </c>
      <c r="J585" s="5" t="str">
        <f>IFERROR(__xludf.DUMMYFUNCTION("GOOGLETRANSLATE(I585,""zh_HANT"",""zh_HANS"")"),"双倍多多冰")</f>
        <v>双倍多多冰</v>
      </c>
    </row>
    <row r="586">
      <c r="A586" s="3" t="str">
        <f t="shared" si="106"/>
        <v>NAME_PkMn_DEERLING</v>
      </c>
      <c r="B586" s="3" t="s">
        <v>3242</v>
      </c>
      <c r="C586" s="3" t="s">
        <v>3243</v>
      </c>
      <c r="D586" s="3" t="s">
        <v>3244</v>
      </c>
      <c r="E586" s="3" t="s">
        <v>3245</v>
      </c>
      <c r="F586" s="5" t="str">
        <f t="shared" si="2"/>
        <v>Deerling</v>
      </c>
      <c r="G586" s="5" t="str">
        <f t="shared" si="3"/>
        <v>Deerling</v>
      </c>
      <c r="H586" s="3" t="s">
        <v>3246</v>
      </c>
      <c r="I586" s="3" t="s">
        <v>3247</v>
      </c>
      <c r="J586" s="5" t="str">
        <f t="shared" ref="J586:J587" si="122">I586</f>
        <v>四季鹿</v>
      </c>
    </row>
    <row r="587">
      <c r="A587" s="3" t="str">
        <f t="shared" si="106"/>
        <v>NAME_PkMn_SAWSBUCK</v>
      </c>
      <c r="B587" s="3" t="s">
        <v>3248</v>
      </c>
      <c r="C587" s="3" t="s">
        <v>3249</v>
      </c>
      <c r="D587" s="3" t="s">
        <v>3250</v>
      </c>
      <c r="E587" s="3" t="s">
        <v>3251</v>
      </c>
      <c r="F587" s="5" t="str">
        <f t="shared" si="2"/>
        <v>Sawsbuck</v>
      </c>
      <c r="G587" s="5" t="str">
        <f t="shared" si="3"/>
        <v>Sawsbuck</v>
      </c>
      <c r="H587" s="3" t="s">
        <v>3252</v>
      </c>
      <c r="I587" s="3" t="s">
        <v>3253</v>
      </c>
      <c r="J587" s="5" t="str">
        <f t="shared" si="122"/>
        <v>萌芽鹿</v>
      </c>
    </row>
    <row r="588">
      <c r="A588" s="3" t="str">
        <f t="shared" si="106"/>
        <v>NAME_PkMn_EMOLGA</v>
      </c>
      <c r="B588" s="3" t="s">
        <v>3254</v>
      </c>
      <c r="C588" s="3" t="s">
        <v>3255</v>
      </c>
      <c r="D588" s="5" t="str">
        <f>B588</f>
        <v>Emolga</v>
      </c>
      <c r="E588" s="5" t="str">
        <f>B588</f>
        <v>Emolga</v>
      </c>
      <c r="F588" s="5" t="str">
        <f t="shared" si="2"/>
        <v>Emolga</v>
      </c>
      <c r="G588" s="5" t="str">
        <f t="shared" si="3"/>
        <v>Emolga</v>
      </c>
      <c r="H588" s="3" t="s">
        <v>3256</v>
      </c>
      <c r="I588" s="3" t="s">
        <v>3257</v>
      </c>
      <c r="J588" s="5" t="str">
        <f>IFERROR(__xludf.DUMMYFUNCTION("GOOGLETRANSLATE(I588,""zh_HANT"",""zh_HANS"")"),"电飞鼠")</f>
        <v>电飞鼠</v>
      </c>
    </row>
    <row r="589">
      <c r="A589" s="3" t="str">
        <f t="shared" si="106"/>
        <v>NAME_PkMn_KARRABLAST</v>
      </c>
      <c r="B589" s="3" t="s">
        <v>3258</v>
      </c>
      <c r="C589" s="3" t="s">
        <v>3259</v>
      </c>
      <c r="D589" s="3" t="s">
        <v>3260</v>
      </c>
      <c r="E589" s="3" t="s">
        <v>3261</v>
      </c>
      <c r="F589" s="5" t="str">
        <f t="shared" si="2"/>
        <v>Karrablast</v>
      </c>
      <c r="G589" s="5" t="str">
        <f t="shared" si="3"/>
        <v>Karrablast</v>
      </c>
      <c r="H589" s="3" t="s">
        <v>3262</v>
      </c>
      <c r="I589" s="3" t="s">
        <v>3263</v>
      </c>
      <c r="J589" s="5" t="str">
        <f>IFERROR(__xludf.DUMMYFUNCTION("GOOGLETRANSLATE(I589,""zh_HANT"",""zh_HANS"")"),"盖盖虫")</f>
        <v>盖盖虫</v>
      </c>
    </row>
    <row r="590">
      <c r="A590" s="3" t="str">
        <f t="shared" si="106"/>
        <v>NAME_PkMn_ESCAVALIER</v>
      </c>
      <c r="B590" s="3" t="s">
        <v>3264</v>
      </c>
      <c r="C590" s="3" t="s">
        <v>3265</v>
      </c>
      <c r="D590" s="3" t="s">
        <v>3266</v>
      </c>
      <c r="E590" s="3" t="s">
        <v>3267</v>
      </c>
      <c r="F590" s="5" t="str">
        <f t="shared" si="2"/>
        <v>Escavalier</v>
      </c>
      <c r="G590" s="5" t="str">
        <f t="shared" si="3"/>
        <v>Escavalier</v>
      </c>
      <c r="H590" s="3" t="s">
        <v>3268</v>
      </c>
      <c r="I590" s="3" t="s">
        <v>3269</v>
      </c>
      <c r="J590" s="5" t="str">
        <f>IFERROR(__xludf.DUMMYFUNCTION("GOOGLETRANSLATE(I590,""zh_HANT"",""zh_HANS"")"),"骑士蜗牛")</f>
        <v>骑士蜗牛</v>
      </c>
    </row>
    <row r="591">
      <c r="A591" s="3" t="str">
        <f t="shared" si="106"/>
        <v>NAME_PkMn_FOONGUS</v>
      </c>
      <c r="B591" s="3" t="s">
        <v>3270</v>
      </c>
      <c r="C591" s="3" t="s">
        <v>3271</v>
      </c>
      <c r="D591" s="3" t="s">
        <v>3272</v>
      </c>
      <c r="E591" s="3" t="s">
        <v>3273</v>
      </c>
      <c r="F591" s="5" t="str">
        <f t="shared" si="2"/>
        <v>Foongus</v>
      </c>
      <c r="G591" s="5" t="str">
        <f t="shared" si="3"/>
        <v>Foongus</v>
      </c>
      <c r="H591" s="3" t="s">
        <v>3274</v>
      </c>
      <c r="I591" s="3" t="s">
        <v>3275</v>
      </c>
      <c r="J591" s="5" t="str">
        <f>I591</f>
        <v>哎呀球菇</v>
      </c>
    </row>
    <row r="592">
      <c r="A592" s="3" t="str">
        <f t="shared" si="106"/>
        <v>NAME_PkMn_AMOONGUS</v>
      </c>
      <c r="B592" s="3" t="s">
        <v>3276</v>
      </c>
      <c r="C592" s="3" t="s">
        <v>3277</v>
      </c>
      <c r="D592" s="3" t="s">
        <v>3278</v>
      </c>
      <c r="E592" s="3" t="s">
        <v>3279</v>
      </c>
      <c r="F592" s="5" t="str">
        <f t="shared" si="2"/>
        <v>Amoongus</v>
      </c>
      <c r="G592" s="5" t="str">
        <f t="shared" si="3"/>
        <v>Amoongus</v>
      </c>
      <c r="H592" s="3" t="s">
        <v>3280</v>
      </c>
      <c r="I592" s="3" t="s">
        <v>3281</v>
      </c>
      <c r="J592" s="5" t="str">
        <f>IFERROR(__xludf.DUMMYFUNCTION("GOOGLETRANSLATE(I592,""zh_HANT"",""zh_HANS"")"),"败露球菇")</f>
        <v>败露球菇</v>
      </c>
    </row>
    <row r="593">
      <c r="A593" s="3" t="str">
        <f t="shared" si="106"/>
        <v>NAME_PkMn_FRILLISH</v>
      </c>
      <c r="B593" s="3" t="s">
        <v>3282</v>
      </c>
      <c r="C593" s="3" t="s">
        <v>3283</v>
      </c>
      <c r="D593" s="3" t="s">
        <v>3284</v>
      </c>
      <c r="E593" s="3" t="s">
        <v>3285</v>
      </c>
      <c r="F593" s="5" t="str">
        <f t="shared" si="2"/>
        <v>Frillish</v>
      </c>
      <c r="G593" s="5" t="str">
        <f t="shared" si="3"/>
        <v>Frillish</v>
      </c>
      <c r="H593" s="3" t="s">
        <v>3286</v>
      </c>
      <c r="I593" s="3" t="s">
        <v>3287</v>
      </c>
      <c r="J593" s="5" t="str">
        <f>IFERROR(__xludf.DUMMYFUNCTION("GOOGLETRANSLATE(I593,""zh_HANT"",""zh_HANS"")"),"轻飘飘")</f>
        <v>轻飘飘</v>
      </c>
    </row>
    <row r="594">
      <c r="A594" s="3" t="str">
        <f t="shared" si="106"/>
        <v>NAME_PkMn_JELLICENT</v>
      </c>
      <c r="B594" s="3" t="s">
        <v>3288</v>
      </c>
      <c r="C594" s="3" t="s">
        <v>3289</v>
      </c>
      <c r="D594" s="3" t="s">
        <v>3290</v>
      </c>
      <c r="E594" s="3" t="s">
        <v>3291</v>
      </c>
      <c r="F594" s="5" t="str">
        <f t="shared" si="2"/>
        <v>Jellicent</v>
      </c>
      <c r="G594" s="5" t="str">
        <f t="shared" si="3"/>
        <v>Jellicent</v>
      </c>
      <c r="H594" s="3" t="s">
        <v>3292</v>
      </c>
      <c r="I594" s="3" t="s">
        <v>3293</v>
      </c>
      <c r="J594" s="5" t="str">
        <f t="shared" ref="J594:J595" si="123">I594</f>
        <v>胖嘟嘟</v>
      </c>
    </row>
    <row r="595">
      <c r="A595" s="3" t="str">
        <f t="shared" si="106"/>
        <v>NAME_PkMn_ALOMOMOLA</v>
      </c>
      <c r="B595" s="3" t="s">
        <v>3294</v>
      </c>
      <c r="C595" s="3" t="s">
        <v>3295</v>
      </c>
      <c r="D595" s="3" t="s">
        <v>3296</v>
      </c>
      <c r="E595" s="3" t="s">
        <v>3297</v>
      </c>
      <c r="F595" s="5" t="str">
        <f t="shared" si="2"/>
        <v>Alomomola</v>
      </c>
      <c r="G595" s="5" t="str">
        <f t="shared" si="3"/>
        <v>Alomomola</v>
      </c>
      <c r="H595" s="3" t="s">
        <v>3298</v>
      </c>
      <c r="I595" s="3" t="s">
        <v>3299</v>
      </c>
      <c r="J595" s="5" t="str">
        <f t="shared" si="123"/>
        <v>保母曼波</v>
      </c>
    </row>
    <row r="596">
      <c r="A596" s="3" t="str">
        <f t="shared" si="106"/>
        <v>NAME_PkMn_JOLTIK</v>
      </c>
      <c r="B596" s="3" t="s">
        <v>3300</v>
      </c>
      <c r="C596" s="3" t="s">
        <v>3301</v>
      </c>
      <c r="D596" s="3" t="s">
        <v>3302</v>
      </c>
      <c r="E596" s="3" t="s">
        <v>3303</v>
      </c>
      <c r="F596" s="5" t="str">
        <f t="shared" si="2"/>
        <v>Joltik</v>
      </c>
      <c r="G596" s="5" t="str">
        <f t="shared" si="3"/>
        <v>Joltik</v>
      </c>
      <c r="H596" s="3" t="s">
        <v>3304</v>
      </c>
      <c r="I596" s="3" t="s">
        <v>3305</v>
      </c>
      <c r="J596" s="5" t="str">
        <f>IFERROR(__xludf.DUMMYFUNCTION("GOOGLETRANSLATE(I596,""zh_HANT"",""zh_HANS"")"),"电电虫")</f>
        <v>电电虫</v>
      </c>
    </row>
    <row r="597">
      <c r="A597" s="3" t="str">
        <f t="shared" si="106"/>
        <v>NAME_PkMn_GALVANTULA</v>
      </c>
      <c r="B597" s="3" t="s">
        <v>3306</v>
      </c>
      <c r="C597" s="3" t="s">
        <v>3307</v>
      </c>
      <c r="D597" s="3" t="s">
        <v>3308</v>
      </c>
      <c r="E597" s="3" t="s">
        <v>3309</v>
      </c>
      <c r="F597" s="5" t="str">
        <f t="shared" si="2"/>
        <v>Galvantula</v>
      </c>
      <c r="G597" s="5" t="str">
        <f t="shared" si="3"/>
        <v>Galvantula</v>
      </c>
      <c r="H597" s="3" t="s">
        <v>3310</v>
      </c>
      <c r="I597" s="3" t="s">
        <v>3311</v>
      </c>
      <c r="J597" s="5" t="str">
        <f>IFERROR(__xludf.DUMMYFUNCTION("GOOGLETRANSLATE(I597,""zh_HANT"",""zh_HANS"")"),"电蜘蛛")</f>
        <v>电蜘蛛</v>
      </c>
    </row>
    <row r="598">
      <c r="A598" s="3" t="str">
        <f t="shared" si="106"/>
        <v>NAME_PkMn_FERROSEED</v>
      </c>
      <c r="B598" s="3" t="s">
        <v>3312</v>
      </c>
      <c r="C598" s="3" t="s">
        <v>3313</v>
      </c>
      <c r="D598" s="3" t="s">
        <v>3314</v>
      </c>
      <c r="E598" s="3" t="s">
        <v>3315</v>
      </c>
      <c r="F598" s="5" t="str">
        <f t="shared" si="2"/>
        <v>Ferroseed</v>
      </c>
      <c r="G598" s="5" t="str">
        <f t="shared" si="3"/>
        <v>Ferroseed</v>
      </c>
      <c r="H598" s="3" t="s">
        <v>3316</v>
      </c>
      <c r="I598" s="3" t="s">
        <v>3317</v>
      </c>
      <c r="J598" s="5" t="str">
        <f>IFERROR(__xludf.DUMMYFUNCTION("GOOGLETRANSLATE(I598,""zh_HANT"",""zh_HANS"")"),"种子铁球")</f>
        <v>种子铁球</v>
      </c>
    </row>
    <row r="599">
      <c r="A599" s="3" t="str">
        <f t="shared" si="106"/>
        <v>NAME_PkMn_FERROTHORN</v>
      </c>
      <c r="B599" s="3" t="s">
        <v>3318</v>
      </c>
      <c r="C599" s="3" t="s">
        <v>3319</v>
      </c>
      <c r="D599" s="3" t="s">
        <v>3320</v>
      </c>
      <c r="E599" s="3" t="s">
        <v>3321</v>
      </c>
      <c r="F599" s="5" t="str">
        <f t="shared" si="2"/>
        <v>Ferrothorn</v>
      </c>
      <c r="G599" s="5" t="str">
        <f t="shared" si="3"/>
        <v>Ferrothorn</v>
      </c>
      <c r="H599" s="3" t="s">
        <v>3322</v>
      </c>
      <c r="I599" s="3" t="s">
        <v>3323</v>
      </c>
      <c r="J599" s="5" t="str">
        <f>IFERROR(__xludf.DUMMYFUNCTION("GOOGLETRANSLATE(I599,""zh_HANT"",""zh_HANS"")"),"坚果哑铃")</f>
        <v>坚果哑铃</v>
      </c>
    </row>
    <row r="600">
      <c r="A600" s="3" t="str">
        <f t="shared" si="106"/>
        <v>NAME_PkMn_KLINK</v>
      </c>
      <c r="B600" s="3" t="s">
        <v>3324</v>
      </c>
      <c r="C600" s="3" t="s">
        <v>3325</v>
      </c>
      <c r="D600" s="3" t="s">
        <v>3326</v>
      </c>
      <c r="E600" s="3" t="s">
        <v>3327</v>
      </c>
      <c r="F600" s="5" t="str">
        <f t="shared" si="2"/>
        <v>Klink</v>
      </c>
      <c r="G600" s="5" t="str">
        <f t="shared" si="3"/>
        <v>Klink</v>
      </c>
      <c r="H600" s="3" t="s">
        <v>3328</v>
      </c>
      <c r="I600" s="3" t="s">
        <v>3329</v>
      </c>
      <c r="J600" s="5" t="str">
        <f>IFERROR(__xludf.DUMMYFUNCTION("GOOGLETRANSLATE(I600,""zh_HANT"",""zh_HANS"")"),"齿轮儿")</f>
        <v>齿轮儿</v>
      </c>
    </row>
    <row r="601">
      <c r="A601" s="3" t="str">
        <f t="shared" si="106"/>
        <v>NAME_PkMn_KLANG</v>
      </c>
      <c r="B601" s="3" t="s">
        <v>3330</v>
      </c>
      <c r="C601" s="5" t="str">
        <f t="shared" ref="C601:C602" si="124">CONCATENATE("ギ",C600)</f>
        <v>ギギアル</v>
      </c>
      <c r="D601" s="3" t="s">
        <v>3331</v>
      </c>
      <c r="E601" s="3" t="s">
        <v>3332</v>
      </c>
      <c r="F601" s="5" t="str">
        <f t="shared" si="2"/>
        <v>Klang</v>
      </c>
      <c r="G601" s="5" t="str">
        <f t="shared" si="3"/>
        <v>Klang</v>
      </c>
      <c r="H601" s="3" t="s">
        <v>3333</v>
      </c>
      <c r="I601" s="3" t="s">
        <v>3334</v>
      </c>
      <c r="J601" s="5" t="str">
        <f>IFERROR(__xludf.DUMMYFUNCTION("GOOGLETRANSLATE(I601,""zh_HANT"",""zh_HANS"")"),"齿轮组")</f>
        <v>齿轮组</v>
      </c>
    </row>
    <row r="602">
      <c r="A602" s="3" t="str">
        <f t="shared" si="106"/>
        <v>NAME_PkMn_KLINKLANG</v>
      </c>
      <c r="B602" s="3" t="s">
        <v>3335</v>
      </c>
      <c r="C602" s="5" t="str">
        <f t="shared" si="124"/>
        <v>ギギギアル</v>
      </c>
      <c r="D602" s="3" t="s">
        <v>3336</v>
      </c>
      <c r="E602" s="3" t="s">
        <v>3337</v>
      </c>
      <c r="F602" s="5" t="str">
        <f t="shared" si="2"/>
        <v>Klinklang</v>
      </c>
      <c r="G602" s="5" t="str">
        <f t="shared" si="3"/>
        <v>Klinklang</v>
      </c>
      <c r="H602" s="3" t="s">
        <v>3338</v>
      </c>
      <c r="I602" s="3" t="s">
        <v>3339</v>
      </c>
      <c r="J602" s="5" t="str">
        <f>IFERROR(__xludf.DUMMYFUNCTION("GOOGLETRANSLATE(I602,""zh_HANT"",""zh_HANS"")"),"齿轮怪")</f>
        <v>齿轮怪</v>
      </c>
    </row>
    <row r="603">
      <c r="A603" s="3" t="str">
        <f t="shared" si="106"/>
        <v>NAME_PkMn_TYNAMO</v>
      </c>
      <c r="B603" s="3" t="s">
        <v>3340</v>
      </c>
      <c r="C603" s="3" t="s">
        <v>3341</v>
      </c>
      <c r="D603" s="3" t="s">
        <v>3342</v>
      </c>
      <c r="E603" s="3" t="s">
        <v>3343</v>
      </c>
      <c r="F603" s="5" t="str">
        <f t="shared" si="2"/>
        <v>Tynamo</v>
      </c>
      <c r="G603" s="5" t="str">
        <f t="shared" si="3"/>
        <v>Tynamo</v>
      </c>
      <c r="H603" s="3" t="s">
        <v>3344</v>
      </c>
      <c r="I603" s="3" t="s">
        <v>3345</v>
      </c>
      <c r="J603" s="5" t="str">
        <f>IFERROR(__xludf.DUMMYFUNCTION("GOOGLETRANSLATE(I603,""zh_HANT"",""zh_HANS"")"),"麻麻小鱼")</f>
        <v>麻麻小鱼</v>
      </c>
    </row>
    <row r="604">
      <c r="A604" s="3" t="str">
        <f t="shared" si="106"/>
        <v>NAME_PkMn_EELEKTRIK</v>
      </c>
      <c r="B604" s="3" t="s">
        <v>3346</v>
      </c>
      <c r="C604" s="3" t="s">
        <v>3347</v>
      </c>
      <c r="D604" s="3" t="s">
        <v>3348</v>
      </c>
      <c r="E604" s="3" t="s">
        <v>3349</v>
      </c>
      <c r="F604" s="5" t="str">
        <f t="shared" si="2"/>
        <v>Eelektrik</v>
      </c>
      <c r="G604" s="5" t="str">
        <f t="shared" si="3"/>
        <v>Eelektrik</v>
      </c>
      <c r="H604" s="3" t="s">
        <v>3350</v>
      </c>
      <c r="I604" s="3" t="s">
        <v>3351</v>
      </c>
      <c r="J604" s="5" t="str">
        <f>IFERROR(__xludf.DUMMYFUNCTION("GOOGLETRANSLATE(I604,""zh_HANT"",""zh_HANS"")"),"麻麻鳗")</f>
        <v>麻麻鳗</v>
      </c>
    </row>
    <row r="605">
      <c r="A605" s="3" t="str">
        <f t="shared" si="106"/>
        <v>NAME_PkMn_EELEKTROSS</v>
      </c>
      <c r="B605" s="3" t="s">
        <v>3352</v>
      </c>
      <c r="C605" s="3" t="s">
        <v>3353</v>
      </c>
      <c r="D605" s="3" t="s">
        <v>3354</v>
      </c>
      <c r="E605" s="3" t="s">
        <v>3355</v>
      </c>
      <c r="F605" s="5" t="str">
        <f t="shared" si="2"/>
        <v>Eelektross</v>
      </c>
      <c r="G605" s="5" t="str">
        <f t="shared" si="3"/>
        <v>Eelektross</v>
      </c>
      <c r="H605" s="3" t="s">
        <v>3356</v>
      </c>
      <c r="I605" s="3" t="s">
        <v>3357</v>
      </c>
      <c r="J605" s="5" t="str">
        <f>IFERROR(__xludf.DUMMYFUNCTION("GOOGLETRANSLATE(I605,""zh_HANT"",""zh_HANS"")"),"麻麻鳗鱼王")</f>
        <v>麻麻鳗鱼王</v>
      </c>
    </row>
    <row r="606">
      <c r="A606" s="3" t="str">
        <f t="shared" si="106"/>
        <v>NAME_PkMn_ELGYEM</v>
      </c>
      <c r="B606" s="3" t="s">
        <v>3358</v>
      </c>
      <c r="C606" s="3" t="s">
        <v>3359</v>
      </c>
      <c r="D606" s="3" t="s">
        <v>3360</v>
      </c>
      <c r="E606" s="3" t="s">
        <v>3361</v>
      </c>
      <c r="F606" s="5" t="str">
        <f t="shared" si="2"/>
        <v>Elgyem</v>
      </c>
      <c r="G606" s="5" t="str">
        <f t="shared" si="3"/>
        <v>Elgyem</v>
      </c>
      <c r="H606" s="3" t="s">
        <v>3362</v>
      </c>
      <c r="I606" s="3" t="s">
        <v>3363</v>
      </c>
      <c r="J606" s="5" t="str">
        <f t="shared" ref="J606:J607" si="125">I606</f>
        <v>小灰怪</v>
      </c>
    </row>
    <row r="607">
      <c r="A607" s="3" t="str">
        <f t="shared" si="106"/>
        <v>NAME_PkMn_BEHEEYEM</v>
      </c>
      <c r="B607" s="3" t="s">
        <v>3364</v>
      </c>
      <c r="C607" s="3" t="s">
        <v>3365</v>
      </c>
      <c r="D607" s="3" t="s">
        <v>3366</v>
      </c>
      <c r="E607" s="3" t="s">
        <v>3367</v>
      </c>
      <c r="F607" s="5" t="str">
        <f t="shared" si="2"/>
        <v>Beheeyem</v>
      </c>
      <c r="G607" s="5" t="str">
        <f t="shared" si="3"/>
        <v>Beheeyem</v>
      </c>
      <c r="H607" s="3" t="s">
        <v>3368</v>
      </c>
      <c r="I607" s="3" t="s">
        <v>3369</v>
      </c>
      <c r="J607" s="5" t="str">
        <f t="shared" si="125"/>
        <v>大宇怪</v>
      </c>
    </row>
    <row r="608">
      <c r="A608" s="3" t="str">
        <f t="shared" si="106"/>
        <v>NAME_PkMn_LITWICK</v>
      </c>
      <c r="B608" s="3" t="s">
        <v>3370</v>
      </c>
      <c r="C608" s="3" t="s">
        <v>3371</v>
      </c>
      <c r="D608" s="3" t="s">
        <v>3372</v>
      </c>
      <c r="E608" s="3" t="s">
        <v>3373</v>
      </c>
      <c r="F608" s="5" t="str">
        <f t="shared" si="2"/>
        <v>Litwick</v>
      </c>
      <c r="G608" s="5" t="str">
        <f t="shared" si="3"/>
        <v>Litwick</v>
      </c>
      <c r="H608" s="3" t="s">
        <v>3374</v>
      </c>
      <c r="I608" s="3" t="s">
        <v>3375</v>
      </c>
      <c r="J608" s="5" t="str">
        <f>IFERROR(__xludf.DUMMYFUNCTION("GOOGLETRANSLATE(I608,""zh_HANT"",""zh_HANS"")"),"烛光灵")</f>
        <v>烛光灵</v>
      </c>
    </row>
    <row r="609">
      <c r="A609" s="3" t="str">
        <f t="shared" si="106"/>
        <v>NAME_PkMn_LAMPENT</v>
      </c>
      <c r="B609" s="3" t="s">
        <v>3376</v>
      </c>
      <c r="C609" s="3" t="s">
        <v>3377</v>
      </c>
      <c r="D609" s="3" t="s">
        <v>3378</v>
      </c>
      <c r="E609" s="3" t="s">
        <v>3379</v>
      </c>
      <c r="F609" s="5" t="str">
        <f t="shared" si="2"/>
        <v>Lampent</v>
      </c>
      <c r="G609" s="5" t="str">
        <f t="shared" si="3"/>
        <v>Lampent</v>
      </c>
      <c r="H609" s="3" t="s">
        <v>3380</v>
      </c>
      <c r="I609" s="3" t="s">
        <v>3381</v>
      </c>
      <c r="J609" s="5" t="str">
        <f>IFERROR(__xludf.DUMMYFUNCTION("GOOGLETRANSLATE(I609,""zh_HANT"",""zh_HANS"")"),"灯火幽灵")</f>
        <v>灯火幽灵</v>
      </c>
    </row>
    <row r="610">
      <c r="A610" s="3" t="str">
        <f t="shared" si="106"/>
        <v>NAME_PkMn_CHANDELURE</v>
      </c>
      <c r="B610" s="3" t="s">
        <v>3382</v>
      </c>
      <c r="C610" s="3" t="s">
        <v>3383</v>
      </c>
      <c r="D610" s="3" t="s">
        <v>3384</v>
      </c>
      <c r="E610" s="3" t="s">
        <v>3385</v>
      </c>
      <c r="F610" s="5" t="str">
        <f t="shared" si="2"/>
        <v>Chandelure</v>
      </c>
      <c r="G610" s="5" t="str">
        <f t="shared" si="3"/>
        <v>Chandelure</v>
      </c>
      <c r="H610" s="3" t="s">
        <v>3386</v>
      </c>
      <c r="I610" s="3" t="s">
        <v>3387</v>
      </c>
      <c r="J610" s="5" t="str">
        <f>IFERROR(__xludf.DUMMYFUNCTION("GOOGLETRANSLATE(I610,""zh_HANT"",""zh_HANS"")"),"水晶灯火灵")</f>
        <v>水晶灯火灵</v>
      </c>
    </row>
    <row r="611">
      <c r="A611" s="3" t="str">
        <f t="shared" si="106"/>
        <v>NAME_PkMn_AXEW</v>
      </c>
      <c r="B611" s="3" t="s">
        <v>3388</v>
      </c>
      <c r="C611" s="3" t="s">
        <v>3389</v>
      </c>
      <c r="D611" s="3" t="s">
        <v>3390</v>
      </c>
      <c r="E611" s="3" t="s">
        <v>3391</v>
      </c>
      <c r="F611" s="5" t="str">
        <f t="shared" si="2"/>
        <v>Axew</v>
      </c>
      <c r="G611" s="5" t="str">
        <f t="shared" si="3"/>
        <v>Axew</v>
      </c>
      <c r="H611" s="3" t="s">
        <v>3392</v>
      </c>
      <c r="I611" s="3" t="s">
        <v>3393</v>
      </c>
      <c r="J611" s="5" t="str">
        <f>I611</f>
        <v>牙牙</v>
      </c>
    </row>
    <row r="612">
      <c r="A612" s="3" t="str">
        <f t="shared" si="106"/>
        <v>NAME_PkMn_FRAXURE</v>
      </c>
      <c r="B612" s="3" t="s">
        <v>3394</v>
      </c>
      <c r="C612" s="3" t="s">
        <v>3395</v>
      </c>
      <c r="D612" s="3" t="s">
        <v>3396</v>
      </c>
      <c r="E612" s="3" t="s">
        <v>3397</v>
      </c>
      <c r="F612" s="5" t="str">
        <f t="shared" si="2"/>
        <v>Fraxure</v>
      </c>
      <c r="G612" s="5" t="str">
        <f t="shared" si="3"/>
        <v>Fraxure</v>
      </c>
      <c r="H612" s="3" t="s">
        <v>3398</v>
      </c>
      <c r="I612" s="3" t="s">
        <v>3399</v>
      </c>
      <c r="J612" s="5" t="str">
        <f>IFERROR(__xludf.DUMMYFUNCTION("GOOGLETRANSLATE(I612,""zh_HANT"",""zh_HANS"")"),"斧牙龙")</f>
        <v>斧牙龙</v>
      </c>
    </row>
    <row r="613">
      <c r="A613" s="3" t="str">
        <f t="shared" si="106"/>
        <v>NAME_PkMn_HAXORUS</v>
      </c>
      <c r="B613" s="3" t="s">
        <v>3400</v>
      </c>
      <c r="C613" s="3" t="s">
        <v>3401</v>
      </c>
      <c r="D613" s="3" t="s">
        <v>3402</v>
      </c>
      <c r="E613" s="3" t="s">
        <v>3403</v>
      </c>
      <c r="F613" s="5" t="str">
        <f t="shared" si="2"/>
        <v>Haxorus</v>
      </c>
      <c r="G613" s="5" t="str">
        <f t="shared" si="3"/>
        <v>Haxorus</v>
      </c>
      <c r="H613" s="3" t="s">
        <v>3404</v>
      </c>
      <c r="I613" s="3" t="s">
        <v>3405</v>
      </c>
      <c r="J613" s="5" t="str">
        <f>IFERROR(__xludf.DUMMYFUNCTION("GOOGLETRANSLATE(I613,""zh_HANT"",""zh_HANS"")"),"双斧战龙")</f>
        <v>双斧战龙</v>
      </c>
    </row>
    <row r="614">
      <c r="A614" s="3" t="str">
        <f t="shared" si="106"/>
        <v>NAME_PkMn_CUBCHOO</v>
      </c>
      <c r="B614" s="3" t="s">
        <v>3406</v>
      </c>
      <c r="C614" s="3" t="s">
        <v>3407</v>
      </c>
      <c r="D614" s="3" t="s">
        <v>3408</v>
      </c>
      <c r="E614" s="3" t="s">
        <v>3409</v>
      </c>
      <c r="F614" s="5" t="str">
        <f t="shared" si="2"/>
        <v>Cubchoo</v>
      </c>
      <c r="G614" s="5" t="str">
        <f t="shared" si="3"/>
        <v>Cubchoo</v>
      </c>
      <c r="H614" s="3" t="s">
        <v>3410</v>
      </c>
      <c r="I614" s="3" t="s">
        <v>3411</v>
      </c>
      <c r="J614" s="5" t="str">
        <f>IFERROR(__xludf.DUMMYFUNCTION("GOOGLETRANSLATE(I614,""zh_HANT"",""zh_HANS"")"),"喷嚏熊")</f>
        <v>喷嚏熊</v>
      </c>
    </row>
    <row r="615">
      <c r="A615" s="3" t="str">
        <f t="shared" si="106"/>
        <v>NAME_PkMn_BEARTIC</v>
      </c>
      <c r="B615" s="3" t="s">
        <v>3412</v>
      </c>
      <c r="C615" s="3" t="s">
        <v>3413</v>
      </c>
      <c r="D615" s="3" t="s">
        <v>3414</v>
      </c>
      <c r="E615" s="3" t="s">
        <v>3415</v>
      </c>
      <c r="F615" s="5" t="str">
        <f t="shared" si="2"/>
        <v>Beartic</v>
      </c>
      <c r="G615" s="5" t="str">
        <f t="shared" si="3"/>
        <v>Beartic</v>
      </c>
      <c r="H615" s="3" t="s">
        <v>3416</v>
      </c>
      <c r="I615" s="3" t="s">
        <v>3417</v>
      </c>
      <c r="J615" s="5" t="str">
        <f>IFERROR(__xludf.DUMMYFUNCTION("GOOGLETRANSLATE(I615,""zh_HANT"",""zh_HANS"")"),"冻原熊")</f>
        <v>冻原熊</v>
      </c>
    </row>
    <row r="616">
      <c r="A616" s="3" t="str">
        <f t="shared" si="106"/>
        <v>NAME_PkMn_CRYOGONAL</v>
      </c>
      <c r="B616" s="3" t="s">
        <v>3418</v>
      </c>
      <c r="C616" s="3" t="s">
        <v>3419</v>
      </c>
      <c r="D616" s="3" t="s">
        <v>3420</v>
      </c>
      <c r="E616" s="3" t="s">
        <v>3421</v>
      </c>
      <c r="F616" s="5" t="str">
        <f t="shared" si="2"/>
        <v>Cryogonal</v>
      </c>
      <c r="G616" s="5" t="str">
        <f t="shared" si="3"/>
        <v>Cryogonal</v>
      </c>
      <c r="H616" s="3" t="s">
        <v>3422</v>
      </c>
      <c r="I616" s="3" t="s">
        <v>3423</v>
      </c>
      <c r="J616" s="5" t="str">
        <f>IFERROR(__xludf.DUMMYFUNCTION("GOOGLETRANSLATE(I616,""zh_HANT"",""zh_HANS"")"),"几何雪花")</f>
        <v>几何雪花</v>
      </c>
    </row>
    <row r="617">
      <c r="A617" s="3" t="str">
        <f t="shared" si="106"/>
        <v>NAME_PkMn_SHELMET</v>
      </c>
      <c r="B617" s="3" t="s">
        <v>3424</v>
      </c>
      <c r="C617" s="3" t="s">
        <v>3425</v>
      </c>
      <c r="D617" s="3" t="s">
        <v>3426</v>
      </c>
      <c r="E617" s="3" t="s">
        <v>3427</v>
      </c>
      <c r="F617" s="5" t="str">
        <f t="shared" si="2"/>
        <v>Shelmet</v>
      </c>
      <c r="G617" s="5" t="str">
        <f t="shared" si="3"/>
        <v>Shelmet</v>
      </c>
      <c r="H617" s="3" t="s">
        <v>3428</v>
      </c>
      <c r="I617" s="3" t="s">
        <v>3429</v>
      </c>
      <c r="J617" s="5" t="str">
        <f>IFERROR(__xludf.DUMMYFUNCTION("GOOGLETRANSLATE(I617,""zh_HANT"",""zh_HANS"")"),"小嘴蜗")</f>
        <v>小嘴蜗</v>
      </c>
    </row>
    <row r="618">
      <c r="A618" s="3" t="str">
        <f t="shared" si="106"/>
        <v>NAME_PkMn_ACCELGOR</v>
      </c>
      <c r="B618" s="3" t="s">
        <v>3430</v>
      </c>
      <c r="C618" s="3" t="s">
        <v>3431</v>
      </c>
      <c r="D618" s="3" t="s">
        <v>3432</v>
      </c>
      <c r="E618" s="3" t="s">
        <v>3433</v>
      </c>
      <c r="F618" s="5" t="str">
        <f t="shared" si="2"/>
        <v>Accelgor</v>
      </c>
      <c r="G618" s="5" t="str">
        <f t="shared" si="3"/>
        <v>Accelgor</v>
      </c>
      <c r="H618" s="3" t="s">
        <v>3434</v>
      </c>
      <c r="I618" s="3" t="s">
        <v>3435</v>
      </c>
      <c r="J618" s="5" t="str">
        <f>IFERROR(__xludf.DUMMYFUNCTION("GOOGLETRANSLATE(I618,""zh_HANT"",""zh_HANS"")"),"敏捷虫")</f>
        <v>敏捷虫</v>
      </c>
    </row>
    <row r="619">
      <c r="A619" s="3" t="str">
        <f t="shared" si="106"/>
        <v>NAME_PkMn_STUNFISK</v>
      </c>
      <c r="B619" s="3" t="s">
        <v>3436</v>
      </c>
      <c r="C619" s="3" t="s">
        <v>3437</v>
      </c>
      <c r="D619" s="3" t="s">
        <v>3438</v>
      </c>
      <c r="E619" s="3" t="s">
        <v>3439</v>
      </c>
      <c r="F619" s="5" t="str">
        <f t="shared" si="2"/>
        <v>Stunfisk</v>
      </c>
      <c r="G619" s="5" t="str">
        <f t="shared" si="3"/>
        <v>Stunfisk</v>
      </c>
      <c r="H619" s="3" t="s">
        <v>3440</v>
      </c>
      <c r="I619" s="3" t="s">
        <v>3441</v>
      </c>
      <c r="J619" s="5" t="str">
        <f>IFERROR(__xludf.DUMMYFUNCTION("GOOGLETRANSLATE(I619,""zh_HANT"",""zh_HANS"")"),"泥巴鱼")</f>
        <v>泥巴鱼</v>
      </c>
    </row>
    <row r="620">
      <c r="A620" s="3" t="str">
        <f t="shared" si="106"/>
        <v>NAME_PkMn_MIENFOO</v>
      </c>
      <c r="B620" s="3" t="s">
        <v>3442</v>
      </c>
      <c r="C620" s="3" t="s">
        <v>3443</v>
      </c>
      <c r="D620" s="3" t="s">
        <v>3444</v>
      </c>
      <c r="E620" s="3" t="s">
        <v>3445</v>
      </c>
      <c r="F620" s="5" t="str">
        <f t="shared" si="2"/>
        <v>Mienfoo</v>
      </c>
      <c r="G620" s="5" t="str">
        <f t="shared" si="3"/>
        <v>Mienfoo</v>
      </c>
      <c r="H620" s="3" t="s">
        <v>3446</v>
      </c>
      <c r="I620" s="3" t="s">
        <v>3447</v>
      </c>
      <c r="J620" s="5" t="str">
        <f>I620</f>
        <v>功夫鼬</v>
      </c>
    </row>
    <row r="621">
      <c r="A621" s="3" t="str">
        <f t="shared" si="106"/>
        <v>NAME_PkMn_MIENSHAO</v>
      </c>
      <c r="B621" s="3" t="s">
        <v>3448</v>
      </c>
      <c r="C621" s="3" t="s">
        <v>3449</v>
      </c>
      <c r="D621" s="3" t="s">
        <v>3450</v>
      </c>
      <c r="E621" s="3" t="s">
        <v>3451</v>
      </c>
      <c r="F621" s="5" t="str">
        <f t="shared" si="2"/>
        <v>Mienshao</v>
      </c>
      <c r="G621" s="5" t="str">
        <f t="shared" si="3"/>
        <v>Mienshao</v>
      </c>
      <c r="H621" s="3" t="s">
        <v>3452</v>
      </c>
      <c r="I621" s="3" t="s">
        <v>3453</v>
      </c>
      <c r="J621" s="5" t="str">
        <f>IFERROR(__xludf.DUMMYFUNCTION("GOOGLETRANSLATE(I621,""zh_HANT"",""zh_HANS"")"),"师父鼬")</f>
        <v>师父鼬</v>
      </c>
    </row>
    <row r="622">
      <c r="A622" s="3" t="str">
        <f t="shared" si="106"/>
        <v>NAME_PkMn_DRUDDIGON</v>
      </c>
      <c r="B622" s="3" t="s">
        <v>3454</v>
      </c>
      <c r="C622" s="3" t="s">
        <v>3455</v>
      </c>
      <c r="D622" s="3" t="s">
        <v>3456</v>
      </c>
      <c r="E622" s="3" t="s">
        <v>3457</v>
      </c>
      <c r="F622" s="5" t="str">
        <f t="shared" si="2"/>
        <v>Druddigon</v>
      </c>
      <c r="G622" s="5" t="str">
        <f t="shared" si="3"/>
        <v>Druddigon</v>
      </c>
      <c r="H622" s="3" t="s">
        <v>3458</v>
      </c>
      <c r="I622" s="3" t="s">
        <v>3459</v>
      </c>
      <c r="J622" s="5" t="str">
        <f>IFERROR(__xludf.DUMMYFUNCTION("GOOGLETRANSLATE(I622,""zh_HANT"",""zh_HANS"")"),"赤面龙")</f>
        <v>赤面龙</v>
      </c>
    </row>
    <row r="623">
      <c r="A623" s="3" t="str">
        <f t="shared" si="106"/>
        <v>NAME_PkMn_GOLETTE</v>
      </c>
      <c r="B623" s="3" t="s">
        <v>3460</v>
      </c>
      <c r="C623" s="3" t="s">
        <v>3461</v>
      </c>
      <c r="D623" s="3" t="s">
        <v>3462</v>
      </c>
      <c r="E623" s="3" t="s">
        <v>3463</v>
      </c>
      <c r="F623" s="5" t="str">
        <f t="shared" si="2"/>
        <v>Golette</v>
      </c>
      <c r="G623" s="5" t="str">
        <f t="shared" si="3"/>
        <v>Golette</v>
      </c>
      <c r="H623" s="3" t="s">
        <v>3464</v>
      </c>
      <c r="I623" s="3" t="s">
        <v>3465</v>
      </c>
      <c r="J623" s="5" t="str">
        <f t="shared" ref="J623:J624" si="126">I623</f>
        <v>泥偶小人</v>
      </c>
    </row>
    <row r="624">
      <c r="A624" s="3" t="str">
        <f t="shared" si="106"/>
        <v>NAME_PkMn_GOLURK</v>
      </c>
      <c r="B624" s="3" t="s">
        <v>3466</v>
      </c>
      <c r="C624" s="3" t="s">
        <v>3467</v>
      </c>
      <c r="D624" s="3" t="s">
        <v>3468</v>
      </c>
      <c r="E624" s="3" t="s">
        <v>3469</v>
      </c>
      <c r="F624" s="5" t="str">
        <f t="shared" si="2"/>
        <v>Golurk</v>
      </c>
      <c r="G624" s="5" t="str">
        <f t="shared" si="3"/>
        <v>Golurk</v>
      </c>
      <c r="H624" s="3" t="s">
        <v>3470</v>
      </c>
      <c r="I624" s="3" t="s">
        <v>3471</v>
      </c>
      <c r="J624" s="5" t="str">
        <f t="shared" si="126"/>
        <v>泥偶巨人</v>
      </c>
    </row>
    <row r="625">
      <c r="A625" s="3" t="str">
        <f t="shared" si="106"/>
        <v>NAME_PkMn_PAWNIARD</v>
      </c>
      <c r="B625" s="3" t="s">
        <v>3472</v>
      </c>
      <c r="C625" s="3" t="s">
        <v>3473</v>
      </c>
      <c r="D625" s="3" t="s">
        <v>3474</v>
      </c>
      <c r="E625" s="3" t="s">
        <v>3475</v>
      </c>
      <c r="F625" s="5" t="str">
        <f t="shared" si="2"/>
        <v>Pawniard</v>
      </c>
      <c r="G625" s="5" t="str">
        <f t="shared" si="3"/>
        <v>Pawniard</v>
      </c>
      <c r="H625" s="3" t="s">
        <v>3476</v>
      </c>
      <c r="I625" s="3" t="s">
        <v>3477</v>
      </c>
      <c r="J625" s="5" t="str">
        <f>IFERROR(__xludf.DUMMYFUNCTION("GOOGLETRANSLATE(I625,""zh_HANT"",""zh_HANS"")"),"驹刀小兵")</f>
        <v>驹刀小兵</v>
      </c>
    </row>
    <row r="626">
      <c r="A626" s="3" t="str">
        <f t="shared" si="106"/>
        <v>NAME_PkMn_BISHARP</v>
      </c>
      <c r="B626" s="3" t="s">
        <v>3478</v>
      </c>
      <c r="C626" s="3" t="s">
        <v>3479</v>
      </c>
      <c r="D626" s="3" t="s">
        <v>3480</v>
      </c>
      <c r="E626" s="3" t="s">
        <v>3481</v>
      </c>
      <c r="F626" s="5" t="str">
        <f t="shared" si="2"/>
        <v>Bisharp</v>
      </c>
      <c r="G626" s="5" t="str">
        <f t="shared" si="3"/>
        <v>Bisharp</v>
      </c>
      <c r="H626" s="3" t="s">
        <v>3482</v>
      </c>
      <c r="I626" s="3" t="s">
        <v>3483</v>
      </c>
      <c r="J626" s="5" t="str">
        <f>IFERROR(__xludf.DUMMYFUNCTION("GOOGLETRANSLATE(I626,""zh_HANT"",""zh_HANS"")"),"劈斩司令")</f>
        <v>劈斩司令</v>
      </c>
    </row>
    <row r="627">
      <c r="A627" s="3" t="str">
        <f t="shared" si="106"/>
        <v>NAME_PkMn_BOUFFALANT</v>
      </c>
      <c r="B627" s="3" t="s">
        <v>3484</v>
      </c>
      <c r="C627" s="3" t="s">
        <v>3485</v>
      </c>
      <c r="D627" s="3" t="s">
        <v>3486</v>
      </c>
      <c r="E627" s="3" t="s">
        <v>3487</v>
      </c>
      <c r="F627" s="5" t="str">
        <f t="shared" si="2"/>
        <v>Bouffalant</v>
      </c>
      <c r="G627" s="5" t="str">
        <f t="shared" si="3"/>
        <v>Bouffalant</v>
      </c>
      <c r="H627" s="3" t="s">
        <v>3488</v>
      </c>
      <c r="I627" s="3" t="s">
        <v>3489</v>
      </c>
      <c r="J627" s="5" t="str">
        <f>IFERROR(__xludf.DUMMYFUNCTION("GOOGLETRANSLATE(I627,""zh_HANT"",""zh_HANS"")"),"爆炸头水牛")</f>
        <v>爆炸头水牛</v>
      </c>
    </row>
    <row r="628">
      <c r="A628" s="3" t="str">
        <f t="shared" si="106"/>
        <v>NAME_PkMn_RUFFLET</v>
      </c>
      <c r="B628" s="3" t="s">
        <v>3490</v>
      </c>
      <c r="C628" s="3" t="s">
        <v>3491</v>
      </c>
      <c r="D628" s="3" t="s">
        <v>3492</v>
      </c>
      <c r="E628" s="3" t="s">
        <v>3493</v>
      </c>
      <c r="F628" s="5" t="str">
        <f t="shared" si="2"/>
        <v>Rufflet</v>
      </c>
      <c r="G628" s="5" t="str">
        <f t="shared" si="3"/>
        <v>Rufflet</v>
      </c>
      <c r="H628" s="3" t="s">
        <v>3494</v>
      </c>
      <c r="I628" s="3" t="s">
        <v>3495</v>
      </c>
      <c r="J628" s="5" t="str">
        <f>IFERROR(__xludf.DUMMYFUNCTION("GOOGLETRANSLATE(I628,""zh_HANT"",""zh_HANS"")"),"毛头小鹰")</f>
        <v>毛头小鹰</v>
      </c>
    </row>
    <row r="629">
      <c r="A629" s="3" t="str">
        <f t="shared" si="106"/>
        <v>NAME_PkMn_BRAVIARY</v>
      </c>
      <c r="B629" s="3" t="s">
        <v>3496</v>
      </c>
      <c r="C629" s="3" t="s">
        <v>3497</v>
      </c>
      <c r="D629" s="3" t="s">
        <v>3498</v>
      </c>
      <c r="E629" s="3" t="s">
        <v>3499</v>
      </c>
      <c r="F629" s="5" t="str">
        <f t="shared" si="2"/>
        <v>Braviary</v>
      </c>
      <c r="G629" s="5" t="str">
        <f t="shared" si="3"/>
        <v>Braviary</v>
      </c>
      <c r="H629" s="3" t="s">
        <v>3500</v>
      </c>
      <c r="I629" s="3" t="s">
        <v>3501</v>
      </c>
      <c r="J629" s="5" t="str">
        <f>IFERROR(__xludf.DUMMYFUNCTION("GOOGLETRANSLATE(I629,""zh_HANT"",""zh_HANS"")"),"勇士雄鹰")</f>
        <v>勇士雄鹰</v>
      </c>
    </row>
    <row r="630">
      <c r="A630" s="3" t="str">
        <f t="shared" si="106"/>
        <v>NAME_PkMn_VULLABY</v>
      </c>
      <c r="B630" s="3" t="s">
        <v>3502</v>
      </c>
      <c r="C630" s="3" t="s">
        <v>3503</v>
      </c>
      <c r="D630" s="3" t="s">
        <v>3504</v>
      </c>
      <c r="E630" s="3" t="s">
        <v>3505</v>
      </c>
      <c r="F630" s="5" t="str">
        <f t="shared" si="2"/>
        <v>Vullaby</v>
      </c>
      <c r="G630" s="5" t="str">
        <f t="shared" si="3"/>
        <v>Vullaby</v>
      </c>
      <c r="H630" s="3" t="s">
        <v>3506</v>
      </c>
      <c r="I630" s="3" t="s">
        <v>3507</v>
      </c>
      <c r="J630" s="5" t="str">
        <f>IFERROR(__xludf.DUMMYFUNCTION("GOOGLETRANSLATE(I630,""zh_HANT"",""zh_HANS"")"),"秃鹰丫头")</f>
        <v>秃鹰丫头</v>
      </c>
    </row>
    <row r="631">
      <c r="A631" s="3" t="str">
        <f t="shared" si="106"/>
        <v>NAME_PkMn_MANDIBUZZ</v>
      </c>
      <c r="B631" s="3" t="s">
        <v>3508</v>
      </c>
      <c r="C631" s="3" t="s">
        <v>3509</v>
      </c>
      <c r="D631" s="3" t="s">
        <v>3510</v>
      </c>
      <c r="E631" s="3" t="s">
        <v>3511</v>
      </c>
      <c r="F631" s="5" t="str">
        <f t="shared" si="2"/>
        <v>Mandibuzz</v>
      </c>
      <c r="G631" s="5" t="str">
        <f t="shared" si="3"/>
        <v>Mandibuzz</v>
      </c>
      <c r="H631" s="3" t="s">
        <v>3512</v>
      </c>
      <c r="I631" s="3" t="s">
        <v>3513</v>
      </c>
      <c r="J631" s="5" t="str">
        <f>IFERROR(__xludf.DUMMYFUNCTION("GOOGLETRANSLATE(I631,""zh_HANT"",""zh_HANS"")"),"秃鹰娜")</f>
        <v>秃鹰娜</v>
      </c>
    </row>
    <row r="632">
      <c r="A632" s="3" t="str">
        <f t="shared" si="106"/>
        <v>NAME_PkMn_HEATMOR</v>
      </c>
      <c r="B632" s="3" t="s">
        <v>3514</v>
      </c>
      <c r="C632" s="3" t="s">
        <v>3515</v>
      </c>
      <c r="D632" s="3" t="s">
        <v>3516</v>
      </c>
      <c r="E632" s="3" t="s">
        <v>3517</v>
      </c>
      <c r="F632" s="5" t="str">
        <f t="shared" si="2"/>
        <v>Heatmor</v>
      </c>
      <c r="G632" s="5" t="str">
        <f t="shared" si="3"/>
        <v>Heatmor</v>
      </c>
      <c r="H632" s="3" t="s">
        <v>3518</v>
      </c>
      <c r="I632" s="3" t="s">
        <v>3519</v>
      </c>
      <c r="J632" s="5" t="str">
        <f>IFERROR(__xludf.DUMMYFUNCTION("GOOGLETRANSLATE(I632,""zh_HANT"",""zh_HANS"")"),"熔蚁兽")</f>
        <v>熔蚁兽</v>
      </c>
    </row>
    <row r="633">
      <c r="A633" s="3" t="str">
        <f t="shared" si="106"/>
        <v>NAME_PkMn_DURANT</v>
      </c>
      <c r="B633" s="3" t="s">
        <v>3520</v>
      </c>
      <c r="C633" s="3" t="s">
        <v>3521</v>
      </c>
      <c r="D633" s="3" t="s">
        <v>3522</v>
      </c>
      <c r="E633" s="3" t="s">
        <v>3523</v>
      </c>
      <c r="F633" s="5" t="str">
        <f t="shared" si="2"/>
        <v>Durant</v>
      </c>
      <c r="G633" s="5" t="str">
        <f t="shared" si="3"/>
        <v>Durant</v>
      </c>
      <c r="H633" s="3" t="s">
        <v>3524</v>
      </c>
      <c r="I633" s="3" t="s">
        <v>3525</v>
      </c>
      <c r="J633" s="5" t="str">
        <f>IFERROR(__xludf.DUMMYFUNCTION("GOOGLETRANSLATE(I633,""zh_HANT"",""zh_HANS"")"),"铁蚁")</f>
        <v>铁蚁</v>
      </c>
    </row>
    <row r="634">
      <c r="A634" s="3" t="str">
        <f t="shared" si="106"/>
        <v>NAME_PkMn_DEINO</v>
      </c>
      <c r="B634" s="3" t="s">
        <v>3526</v>
      </c>
      <c r="C634" s="3" t="s">
        <v>3527</v>
      </c>
      <c r="D634" s="3" t="s">
        <v>3528</v>
      </c>
      <c r="E634" s="3" t="s">
        <v>3529</v>
      </c>
      <c r="F634" s="5" t="str">
        <f t="shared" si="2"/>
        <v>Deino</v>
      </c>
      <c r="G634" s="5" t="str">
        <f t="shared" si="3"/>
        <v>Deino</v>
      </c>
      <c r="H634" s="3" t="s">
        <v>3530</v>
      </c>
      <c r="I634" s="3" t="s">
        <v>3531</v>
      </c>
      <c r="J634" s="5" t="str">
        <f>IFERROR(__xludf.DUMMYFUNCTION("GOOGLETRANSLATE(I634,""zh_HANT"",""zh_HANS"")"),"单首龙")</f>
        <v>单首龙</v>
      </c>
    </row>
    <row r="635">
      <c r="A635" s="3" t="str">
        <f t="shared" si="106"/>
        <v>NAME_PkMn_ZWEILOUS</v>
      </c>
      <c r="B635" s="3" t="s">
        <v>3532</v>
      </c>
      <c r="C635" s="3" t="s">
        <v>3533</v>
      </c>
      <c r="D635" s="3" t="s">
        <v>3534</v>
      </c>
      <c r="E635" s="3" t="s">
        <v>3535</v>
      </c>
      <c r="F635" s="5" t="str">
        <f t="shared" si="2"/>
        <v>Zweilous</v>
      </c>
      <c r="G635" s="5" t="str">
        <f t="shared" si="3"/>
        <v>Zweilous</v>
      </c>
      <c r="H635" s="3" t="s">
        <v>3536</v>
      </c>
      <c r="I635" s="3" t="s">
        <v>3537</v>
      </c>
      <c r="J635" s="5" t="str">
        <f>IFERROR(__xludf.DUMMYFUNCTION("GOOGLETRANSLATE(I635,""zh_HANT"",""zh_HANS"")"),"双首暴龙")</f>
        <v>双首暴龙</v>
      </c>
    </row>
    <row r="636">
      <c r="A636" s="3" t="str">
        <f t="shared" si="106"/>
        <v>NAME_PkMn_HYDREIGON</v>
      </c>
      <c r="B636" s="3" t="s">
        <v>3538</v>
      </c>
      <c r="C636" s="3" t="s">
        <v>3539</v>
      </c>
      <c r="D636" s="3" t="s">
        <v>3540</v>
      </c>
      <c r="E636" s="3" t="s">
        <v>3541</v>
      </c>
      <c r="F636" s="5" t="str">
        <f t="shared" si="2"/>
        <v>Hydreigon</v>
      </c>
      <c r="G636" s="5" t="str">
        <f t="shared" si="3"/>
        <v>Hydreigon</v>
      </c>
      <c r="H636" s="3" t="s">
        <v>3542</v>
      </c>
      <c r="I636" s="3" t="s">
        <v>3543</v>
      </c>
      <c r="J636" s="5" t="str">
        <f>IFERROR(__xludf.DUMMYFUNCTION("GOOGLETRANSLATE(I636,""zh_HANT"",""zh_HANS"")"),"三首恶龙")</f>
        <v>三首恶龙</v>
      </c>
    </row>
    <row r="637">
      <c r="A637" s="3" t="str">
        <f t="shared" si="106"/>
        <v>NAME_PkMn_LARVESTA</v>
      </c>
      <c r="B637" s="3" t="s">
        <v>3544</v>
      </c>
      <c r="C637" s="3" t="s">
        <v>3545</v>
      </c>
      <c r="D637" s="3" t="s">
        <v>3546</v>
      </c>
      <c r="E637" s="3" t="s">
        <v>3547</v>
      </c>
      <c r="F637" s="5" t="str">
        <f t="shared" si="2"/>
        <v>Larvesta</v>
      </c>
      <c r="G637" s="5" t="str">
        <f t="shared" si="3"/>
        <v>Larvesta</v>
      </c>
      <c r="H637" s="3" t="s">
        <v>3548</v>
      </c>
      <c r="I637" s="3" t="s">
        <v>3549</v>
      </c>
      <c r="J637" s="5" t="str">
        <f>IFERROR(__xludf.DUMMYFUNCTION("GOOGLETRANSLATE(I637,""zh_HANT"",""zh_HANS"")"),"燃烧虫")</f>
        <v>燃烧虫</v>
      </c>
    </row>
    <row r="638">
      <c r="A638" s="3" t="str">
        <f t="shared" si="106"/>
        <v>NAME_PkMn_VOLCARONA</v>
      </c>
      <c r="B638" s="3" t="s">
        <v>3550</v>
      </c>
      <c r="C638" s="3" t="s">
        <v>3551</v>
      </c>
      <c r="D638" s="3" t="s">
        <v>3552</v>
      </c>
      <c r="E638" s="3" t="s">
        <v>3553</v>
      </c>
      <c r="F638" s="5" t="str">
        <f t="shared" si="2"/>
        <v>Volcarona</v>
      </c>
      <c r="G638" s="5" t="str">
        <f t="shared" si="3"/>
        <v>Volcarona</v>
      </c>
      <c r="H638" s="3" t="s">
        <v>3554</v>
      </c>
      <c r="I638" s="3" t="s">
        <v>3555</v>
      </c>
      <c r="J638" s="5" t="str">
        <f t="shared" ref="J638:J640" si="127">I638</f>
        <v>火神蛾</v>
      </c>
    </row>
    <row r="639">
      <c r="A639" s="3" t="str">
        <f t="shared" si="106"/>
        <v>NAME_PkMn_COBALION</v>
      </c>
      <c r="B639" s="3" t="s">
        <v>3556</v>
      </c>
      <c r="C639" s="3" t="s">
        <v>3557</v>
      </c>
      <c r="D639" s="3" t="s">
        <v>3558</v>
      </c>
      <c r="E639" s="3" t="s">
        <v>3559</v>
      </c>
      <c r="F639" s="5" t="str">
        <f t="shared" si="2"/>
        <v>Cobalion</v>
      </c>
      <c r="G639" s="5" t="str">
        <f t="shared" si="3"/>
        <v>Cobalion</v>
      </c>
      <c r="H639" s="3" t="s">
        <v>3560</v>
      </c>
      <c r="I639" s="3" t="s">
        <v>3561</v>
      </c>
      <c r="J639" s="5" t="str">
        <f t="shared" si="127"/>
        <v>勾帕路翁</v>
      </c>
    </row>
    <row r="640">
      <c r="A640" s="3" t="str">
        <f t="shared" si="106"/>
        <v>NAME_PkMn_TERRAKION</v>
      </c>
      <c r="B640" s="3" t="s">
        <v>3562</v>
      </c>
      <c r="C640" s="3" t="s">
        <v>3563</v>
      </c>
      <c r="D640" s="3" t="s">
        <v>3564</v>
      </c>
      <c r="E640" s="5" t="str">
        <f t="shared" ref="E640:E641" si="128">D640</f>
        <v>Terrakium</v>
      </c>
      <c r="F640" s="5" t="str">
        <f t="shared" si="2"/>
        <v>Terrakion</v>
      </c>
      <c r="G640" s="5" t="str">
        <f t="shared" si="3"/>
        <v>Terrakion</v>
      </c>
      <c r="H640" s="3" t="s">
        <v>3565</v>
      </c>
      <c r="I640" s="3" t="s">
        <v>3566</v>
      </c>
      <c r="J640" s="5" t="str">
        <f t="shared" si="127"/>
        <v>代拉基翁</v>
      </c>
    </row>
    <row r="641">
      <c r="A641" s="3" t="str">
        <f t="shared" si="106"/>
        <v>NAME_PkMn_VIRIZION</v>
      </c>
      <c r="B641" s="3" t="s">
        <v>3567</v>
      </c>
      <c r="C641" s="3" t="s">
        <v>3568</v>
      </c>
      <c r="D641" s="3" t="s">
        <v>3569</v>
      </c>
      <c r="E641" s="5" t="str">
        <f t="shared" si="128"/>
        <v>Viridium</v>
      </c>
      <c r="F641" s="5" t="str">
        <f t="shared" si="2"/>
        <v>Virizion</v>
      </c>
      <c r="G641" s="5" t="str">
        <f t="shared" si="3"/>
        <v>Virizion</v>
      </c>
      <c r="H641" s="3" t="s">
        <v>3570</v>
      </c>
      <c r="I641" s="3" t="s">
        <v>3571</v>
      </c>
      <c r="J641" s="5" t="str">
        <f>IFERROR(__xludf.DUMMYFUNCTION("GOOGLETRANSLATE(I641,""zh_HANT"",""zh_HANS"")"),"毕力吉翁")</f>
        <v>毕力吉翁</v>
      </c>
    </row>
    <row r="642">
      <c r="A642" s="3" t="str">
        <f t="shared" si="106"/>
        <v>NAME_PkMn_TORNADUS</v>
      </c>
      <c r="B642" s="3" t="s">
        <v>3572</v>
      </c>
      <c r="C642" s="3" t="s">
        <v>3573</v>
      </c>
      <c r="D642" s="3" t="s">
        <v>3574</v>
      </c>
      <c r="E642" s="3" t="s">
        <v>3575</v>
      </c>
      <c r="F642" s="5" t="str">
        <f t="shared" si="2"/>
        <v>Tornadus</v>
      </c>
      <c r="G642" s="5" t="str">
        <f t="shared" si="3"/>
        <v>Tornadus</v>
      </c>
      <c r="H642" s="3" t="s">
        <v>3576</v>
      </c>
      <c r="I642" s="3" t="s">
        <v>3577</v>
      </c>
      <c r="J642" s="5" t="str">
        <f>IFERROR(__xludf.DUMMYFUNCTION("GOOGLETRANSLATE(I642,""zh_HANT"",""zh_HANS"")"),"龙卷云")</f>
        <v>龙卷云</v>
      </c>
    </row>
    <row r="643">
      <c r="A643" s="3" t="str">
        <f t="shared" si="106"/>
        <v>NAME_PkMn_THUNDURUS</v>
      </c>
      <c r="B643" s="3" t="s">
        <v>3578</v>
      </c>
      <c r="C643" s="3" t="s">
        <v>3579</v>
      </c>
      <c r="D643" s="3" t="s">
        <v>3580</v>
      </c>
      <c r="E643" s="3" t="s">
        <v>3581</v>
      </c>
      <c r="F643" s="5" t="str">
        <f t="shared" si="2"/>
        <v>Thundurus</v>
      </c>
      <c r="G643" s="5" t="str">
        <f t="shared" si="3"/>
        <v>Thundurus</v>
      </c>
      <c r="H643" s="3" t="s">
        <v>3582</v>
      </c>
      <c r="I643" s="3" t="s">
        <v>3583</v>
      </c>
      <c r="J643" s="5" t="str">
        <f>IFERROR(__xludf.DUMMYFUNCTION("GOOGLETRANSLATE(I643,""zh_HANT"",""zh_HANS"")"),"雷电云")</f>
        <v>雷电云</v>
      </c>
    </row>
    <row r="644">
      <c r="A644" s="3" t="str">
        <f t="shared" si="106"/>
        <v>NAME_PkMn_RESHIRAM</v>
      </c>
      <c r="B644" s="3" t="s">
        <v>3584</v>
      </c>
      <c r="C644" s="3" t="s">
        <v>3585</v>
      </c>
      <c r="D644" s="5" t="str">
        <f t="shared" ref="D644:D645" si="129">B644</f>
        <v>Reshiram</v>
      </c>
      <c r="E644" s="5" t="str">
        <f t="shared" ref="E644:E645" si="130">B644</f>
        <v>Reshiram</v>
      </c>
      <c r="F644" s="5" t="str">
        <f t="shared" si="2"/>
        <v>Reshiram</v>
      </c>
      <c r="G644" s="5" t="str">
        <f t="shared" si="3"/>
        <v>Reshiram</v>
      </c>
      <c r="H644" s="3" t="s">
        <v>3586</v>
      </c>
      <c r="I644" s="3" t="s">
        <v>3587</v>
      </c>
      <c r="J644" s="5" t="str">
        <f>I644</f>
        <v>萊希拉姆</v>
      </c>
    </row>
    <row r="645">
      <c r="A645" s="3" t="str">
        <f t="shared" si="106"/>
        <v>NAME_PkMn_ZEKROM</v>
      </c>
      <c r="B645" s="3" t="s">
        <v>3588</v>
      </c>
      <c r="C645" s="3" t="s">
        <v>3589</v>
      </c>
      <c r="D645" s="5" t="str">
        <f t="shared" si="129"/>
        <v>Zekrom</v>
      </c>
      <c r="E645" s="5" t="str">
        <f t="shared" si="130"/>
        <v>Zekrom</v>
      </c>
      <c r="F645" s="5" t="str">
        <f t="shared" si="2"/>
        <v>Zekrom</v>
      </c>
      <c r="G645" s="5" t="str">
        <f t="shared" si="3"/>
        <v>Zekrom</v>
      </c>
      <c r="H645" s="3" t="s">
        <v>3590</v>
      </c>
      <c r="I645" s="3" t="s">
        <v>3591</v>
      </c>
      <c r="J645" s="5" t="str">
        <f>IFERROR(__xludf.DUMMYFUNCTION("GOOGLETRANSLATE(I645,""zh_HANT"",""zh_HANS"")"),"捷克罗姆")</f>
        <v>捷克罗姆</v>
      </c>
    </row>
    <row r="646">
      <c r="A646" s="3" t="str">
        <f t="shared" si="106"/>
        <v>NAME_PkMn_LANDORUS</v>
      </c>
      <c r="B646" s="3" t="s">
        <v>3592</v>
      </c>
      <c r="C646" s="3" t="s">
        <v>3593</v>
      </c>
      <c r="D646" s="3" t="s">
        <v>3594</v>
      </c>
      <c r="E646" s="3" t="s">
        <v>3595</v>
      </c>
      <c r="F646" s="5" t="str">
        <f t="shared" si="2"/>
        <v>Landorus</v>
      </c>
      <c r="G646" s="5" t="str">
        <f t="shared" si="3"/>
        <v>Landorus</v>
      </c>
      <c r="H646" s="3" t="s">
        <v>3596</v>
      </c>
      <c r="I646" s="3" t="s">
        <v>3597</v>
      </c>
      <c r="J646" s="5" t="str">
        <f>IFERROR(__xludf.DUMMYFUNCTION("GOOGLETRANSLATE(I646,""zh_HANT"",""zh_HANS"")"),"土地云")</f>
        <v>土地云</v>
      </c>
    </row>
    <row r="647">
      <c r="A647" s="3" t="str">
        <f t="shared" si="106"/>
        <v>NAME_PkMn_KYUREM</v>
      </c>
      <c r="B647" s="3" t="s">
        <v>3598</v>
      </c>
      <c r="C647" s="3" t="s">
        <v>3599</v>
      </c>
      <c r="D647" s="5" t="str">
        <f t="shared" ref="D647:D650" si="131">B647</f>
        <v>Kyurem</v>
      </c>
      <c r="E647" s="5" t="str">
        <f t="shared" ref="E647:E650" si="132">B647</f>
        <v>Kyurem</v>
      </c>
      <c r="F647" s="5" t="str">
        <f t="shared" si="2"/>
        <v>Kyurem</v>
      </c>
      <c r="G647" s="5" t="str">
        <f t="shared" si="3"/>
        <v>Kyurem</v>
      </c>
      <c r="H647" s="3" t="s">
        <v>3600</v>
      </c>
      <c r="I647" s="3" t="s">
        <v>3601</v>
      </c>
      <c r="J647" s="5" t="str">
        <f>I647</f>
        <v>酋雷姆</v>
      </c>
    </row>
    <row r="648">
      <c r="A648" s="3" t="str">
        <f t="shared" si="106"/>
        <v>NAME_PkMn_KELDEO</v>
      </c>
      <c r="B648" s="3" t="s">
        <v>3602</v>
      </c>
      <c r="C648" s="3" t="s">
        <v>3603</v>
      </c>
      <c r="D648" s="5" t="str">
        <f t="shared" si="131"/>
        <v>Keldeo</v>
      </c>
      <c r="E648" s="5" t="str">
        <f t="shared" si="132"/>
        <v>Keldeo</v>
      </c>
      <c r="F648" s="5" t="str">
        <f t="shared" si="2"/>
        <v>Keldeo</v>
      </c>
      <c r="G648" s="5" t="str">
        <f t="shared" si="3"/>
        <v>Keldeo</v>
      </c>
      <c r="H648" s="3" t="s">
        <v>3604</v>
      </c>
      <c r="I648" s="3" t="s">
        <v>3605</v>
      </c>
      <c r="J648" s="5" t="str">
        <f>IFERROR(__xludf.DUMMYFUNCTION("GOOGLETRANSLATE(I648,""zh_HANT"",""zh_HANS"")"),"凯路迪欧")</f>
        <v>凯路迪欧</v>
      </c>
    </row>
    <row r="649">
      <c r="A649" s="3" t="str">
        <f t="shared" si="106"/>
        <v>NAME_PkMn_MELOETTA</v>
      </c>
      <c r="B649" s="3" t="s">
        <v>3606</v>
      </c>
      <c r="C649" s="3" t="s">
        <v>3607</v>
      </c>
      <c r="D649" s="5" t="str">
        <f t="shared" si="131"/>
        <v>Meloetta</v>
      </c>
      <c r="E649" s="5" t="str">
        <f t="shared" si="132"/>
        <v>Meloetta</v>
      </c>
      <c r="F649" s="5" t="str">
        <f t="shared" si="2"/>
        <v>Meloetta</v>
      </c>
      <c r="G649" s="5" t="str">
        <f t="shared" si="3"/>
        <v>Meloetta</v>
      </c>
      <c r="H649" s="3" t="s">
        <v>3608</v>
      </c>
      <c r="I649" s="5" t="str">
        <f>J649</f>
        <v>美洛耶塔</v>
      </c>
      <c r="J649" s="3" t="s">
        <v>3609</v>
      </c>
    </row>
    <row r="650">
      <c r="A650" s="3" t="str">
        <f t="shared" si="106"/>
        <v>NAME_PkMn_GENESECT</v>
      </c>
      <c r="B650" s="3" t="s">
        <v>3610</v>
      </c>
      <c r="C650" s="3" t="s">
        <v>3611</v>
      </c>
      <c r="D650" s="5" t="str">
        <f t="shared" si="131"/>
        <v>Genesect</v>
      </c>
      <c r="E650" s="5" t="str">
        <f t="shared" si="132"/>
        <v>Genesect</v>
      </c>
      <c r="F650" s="5" t="str">
        <f t="shared" si="2"/>
        <v>Genesect</v>
      </c>
      <c r="G650" s="5" t="str">
        <f t="shared" si="3"/>
        <v>Genesect</v>
      </c>
      <c r="H650" s="3" t="s">
        <v>3612</v>
      </c>
      <c r="I650" s="3" t="s">
        <v>3613</v>
      </c>
      <c r="J650" s="5" t="str">
        <f>IFERROR(__xludf.DUMMYFUNCTION("GOOGLETRANSLATE(I650,""zh_HANT"",""zh_HANS"")"),"盖诺赛克特")</f>
        <v>盖诺赛克特</v>
      </c>
    </row>
    <row r="651">
      <c r="A651" s="3" t="str">
        <f t="shared" si="106"/>
        <v>NAME_PkMn_CHESPIN</v>
      </c>
      <c r="B651" s="3" t="s">
        <v>3614</v>
      </c>
      <c r="C651" s="3" t="s">
        <v>3615</v>
      </c>
      <c r="D651" s="3" t="s">
        <v>3616</v>
      </c>
      <c r="E651" s="3" t="s">
        <v>3617</v>
      </c>
      <c r="F651" s="5" t="str">
        <f t="shared" si="2"/>
        <v>Chespin</v>
      </c>
      <c r="G651" s="5" t="str">
        <f t="shared" si="3"/>
        <v>Chespin</v>
      </c>
      <c r="H651" s="3" t="s">
        <v>3618</v>
      </c>
      <c r="I651" s="3" t="s">
        <v>3619</v>
      </c>
      <c r="J651" s="5" t="str">
        <f t="shared" ref="J651:J654" si="133">I651</f>
        <v>哈力栗</v>
      </c>
    </row>
    <row r="652">
      <c r="A652" s="3" t="str">
        <f t="shared" si="106"/>
        <v>NAME_PkMn_QUILLADIN</v>
      </c>
      <c r="B652" s="3" t="s">
        <v>3620</v>
      </c>
      <c r="C652" s="3" t="s">
        <v>3621</v>
      </c>
      <c r="D652" s="3" t="s">
        <v>3622</v>
      </c>
      <c r="E652" s="3" t="s">
        <v>3623</v>
      </c>
      <c r="F652" s="5" t="str">
        <f t="shared" si="2"/>
        <v>Quilladin</v>
      </c>
      <c r="G652" s="5" t="str">
        <f t="shared" si="3"/>
        <v>Quilladin</v>
      </c>
      <c r="H652" s="3" t="s">
        <v>3624</v>
      </c>
      <c r="I652" s="3" t="s">
        <v>3625</v>
      </c>
      <c r="J652" s="5" t="str">
        <f t="shared" si="133"/>
        <v>胖胖哈力</v>
      </c>
    </row>
    <row r="653">
      <c r="A653" s="3" t="str">
        <f t="shared" si="106"/>
        <v>NAME_PkMn_CHESNAUGHT</v>
      </c>
      <c r="B653" s="3" t="s">
        <v>3626</v>
      </c>
      <c r="C653" s="3" t="s">
        <v>3627</v>
      </c>
      <c r="D653" s="3" t="s">
        <v>3628</v>
      </c>
      <c r="E653" s="3" t="s">
        <v>3629</v>
      </c>
      <c r="F653" s="5" t="str">
        <f t="shared" si="2"/>
        <v>Chesnaught</v>
      </c>
      <c r="G653" s="5" t="str">
        <f t="shared" si="3"/>
        <v>Chesnaught</v>
      </c>
      <c r="H653" s="3" t="s">
        <v>3630</v>
      </c>
      <c r="I653" s="3" t="s">
        <v>3631</v>
      </c>
      <c r="J653" s="5" t="str">
        <f t="shared" si="133"/>
        <v>布里卡隆</v>
      </c>
    </row>
    <row r="654">
      <c r="A654" s="3" t="str">
        <f t="shared" si="106"/>
        <v>NAME_PkMn_FENNEKIN</v>
      </c>
      <c r="B654" s="3" t="s">
        <v>3632</v>
      </c>
      <c r="C654" s="3" t="s">
        <v>3633</v>
      </c>
      <c r="D654" s="3" t="s">
        <v>3634</v>
      </c>
      <c r="E654" s="3" t="s">
        <v>3635</v>
      </c>
      <c r="F654" s="5" t="str">
        <f t="shared" si="2"/>
        <v>Fennekin</v>
      </c>
      <c r="G654" s="5" t="str">
        <f t="shared" si="3"/>
        <v>Fennekin</v>
      </c>
      <c r="H654" s="3" t="s">
        <v>3636</v>
      </c>
      <c r="I654" s="3" t="s">
        <v>3637</v>
      </c>
      <c r="J654" s="5" t="str">
        <f t="shared" si="133"/>
        <v>火狐狸</v>
      </c>
    </row>
    <row r="655">
      <c r="A655" s="3" t="str">
        <f t="shared" si="106"/>
        <v>NAME_PkMn_BRAIXEN</v>
      </c>
      <c r="B655" s="3" t="s">
        <v>3638</v>
      </c>
      <c r="C655" s="3" t="s">
        <v>3639</v>
      </c>
      <c r="D655" s="3" t="s">
        <v>3640</v>
      </c>
      <c r="E655" s="3" t="s">
        <v>3641</v>
      </c>
      <c r="F655" s="5" t="str">
        <f t="shared" si="2"/>
        <v>Braixen</v>
      </c>
      <c r="G655" s="5" t="str">
        <f t="shared" si="3"/>
        <v>Braixen</v>
      </c>
      <c r="H655" s="3" t="s">
        <v>3642</v>
      </c>
      <c r="I655" s="3" t="s">
        <v>3643</v>
      </c>
      <c r="J655" s="5" t="str">
        <f>IFERROR(__xludf.DUMMYFUNCTION("GOOGLETRANSLATE(I655,""zh_HANT"",""zh_HANS"")"),"长尾火狐")</f>
        <v>长尾火狐</v>
      </c>
    </row>
    <row r="656">
      <c r="A656" s="3" t="str">
        <f t="shared" si="106"/>
        <v>NAME_PkMn_DELPHOX</v>
      </c>
      <c r="B656" s="3" t="s">
        <v>3644</v>
      </c>
      <c r="C656" s="3" t="s">
        <v>3645</v>
      </c>
      <c r="D656" s="3" t="s">
        <v>3646</v>
      </c>
      <c r="E656" s="3" t="s">
        <v>3647</v>
      </c>
      <c r="F656" s="5" t="str">
        <f t="shared" si="2"/>
        <v>Delphox</v>
      </c>
      <c r="G656" s="5" t="str">
        <f t="shared" si="3"/>
        <v>Delphox</v>
      </c>
      <c r="H656" s="3" t="s">
        <v>3648</v>
      </c>
      <c r="I656" s="3" t="s">
        <v>3649</v>
      </c>
      <c r="J656" s="5" t="str">
        <f>IFERROR(__xludf.DUMMYFUNCTION("GOOGLETRANSLATE(I656,""zh_HANT"",""zh_HANS"")"),"妖火红狐")</f>
        <v>妖火红狐</v>
      </c>
    </row>
    <row r="657">
      <c r="A657" s="3" t="str">
        <f t="shared" si="106"/>
        <v>NAME_PkMn_FROAKIE</v>
      </c>
      <c r="B657" s="3" t="s">
        <v>3650</v>
      </c>
      <c r="C657" s="3" t="s">
        <v>3651</v>
      </c>
      <c r="D657" s="3" t="s">
        <v>3652</v>
      </c>
      <c r="E657" s="3" t="s">
        <v>3653</v>
      </c>
      <c r="F657" s="5" t="str">
        <f t="shared" si="2"/>
        <v>Froakie</v>
      </c>
      <c r="G657" s="5" t="str">
        <f t="shared" si="3"/>
        <v>Froakie</v>
      </c>
      <c r="H657" s="3" t="s">
        <v>3654</v>
      </c>
      <c r="I657" s="3" t="s">
        <v>3655</v>
      </c>
      <c r="J657" s="5" t="str">
        <f>I657</f>
        <v>呱呱泡蛙</v>
      </c>
    </row>
    <row r="658">
      <c r="A658" s="3" t="str">
        <f t="shared" si="106"/>
        <v>NAME_PkMn_FROGADIER</v>
      </c>
      <c r="B658" s="3" t="s">
        <v>3656</v>
      </c>
      <c r="C658" s="3" t="s">
        <v>3657</v>
      </c>
      <c r="D658" s="3" t="s">
        <v>3658</v>
      </c>
      <c r="E658" s="3" t="s">
        <v>3659</v>
      </c>
      <c r="F658" s="5" t="str">
        <f t="shared" si="2"/>
        <v>Frogadier</v>
      </c>
      <c r="G658" s="5" t="str">
        <f t="shared" si="3"/>
        <v>Frogadier</v>
      </c>
      <c r="H658" s="3" t="s">
        <v>3660</v>
      </c>
      <c r="I658" s="3" t="s">
        <v>3661</v>
      </c>
      <c r="J658" s="5" t="str">
        <f>IFERROR(__xludf.DUMMYFUNCTION("GOOGLETRANSLATE(I658,""zh_HANT"",""zh_HANS"")"),"呱头蛙")</f>
        <v>呱头蛙</v>
      </c>
    </row>
    <row r="659">
      <c r="A659" s="3" t="str">
        <f t="shared" si="106"/>
        <v>NAME_PkMn_GRENINJA</v>
      </c>
      <c r="B659" s="3" t="s">
        <v>3662</v>
      </c>
      <c r="C659" s="9" t="s">
        <v>3663</v>
      </c>
      <c r="D659" s="3" t="s">
        <v>3664</v>
      </c>
      <c r="E659" s="3" t="s">
        <v>3665</v>
      </c>
      <c r="F659" s="5" t="str">
        <f t="shared" si="2"/>
        <v>Greninja</v>
      </c>
      <c r="G659" s="5" t="str">
        <f t="shared" si="3"/>
        <v>Greninja</v>
      </c>
      <c r="H659" s="3" t="s">
        <v>3666</v>
      </c>
      <c r="I659" s="3" t="s">
        <v>3667</v>
      </c>
      <c r="J659" s="5" t="str">
        <f>IFERROR(__xludf.DUMMYFUNCTION("GOOGLETRANSLATE(I659,""zh_HANT"",""zh_HANS"")"),"甲贺忍蛙")</f>
        <v>甲贺忍蛙</v>
      </c>
    </row>
    <row r="660">
      <c r="A660" s="3" t="str">
        <f t="shared" si="106"/>
        <v>NAME_PkMn_BUNNELBY</v>
      </c>
      <c r="B660" s="3" t="s">
        <v>3668</v>
      </c>
      <c r="C660" s="3" t="s">
        <v>3669</v>
      </c>
      <c r="D660" s="3" t="s">
        <v>3670</v>
      </c>
      <c r="E660" s="3" t="s">
        <v>3671</v>
      </c>
      <c r="F660" s="5" t="str">
        <f t="shared" si="2"/>
        <v>Bunnelby</v>
      </c>
      <c r="G660" s="5" t="str">
        <f t="shared" si="3"/>
        <v>Bunnelby</v>
      </c>
      <c r="H660" s="3" t="s">
        <v>3672</v>
      </c>
      <c r="I660" s="3" t="s">
        <v>3673</v>
      </c>
      <c r="J660" s="5" t="str">
        <f t="shared" ref="J660:J663" si="134">I660</f>
        <v>掘掘兔</v>
      </c>
    </row>
    <row r="661">
      <c r="A661" s="3" t="str">
        <f t="shared" si="106"/>
        <v>NAME_PkMn_DIGGERSBY</v>
      </c>
      <c r="B661" s="3" t="s">
        <v>3674</v>
      </c>
      <c r="C661" s="3" t="s">
        <v>3675</v>
      </c>
      <c r="D661" s="3" t="s">
        <v>3676</v>
      </c>
      <c r="E661" s="3" t="s">
        <v>3677</v>
      </c>
      <c r="F661" s="5" t="str">
        <f t="shared" si="2"/>
        <v>Diggersby</v>
      </c>
      <c r="G661" s="5" t="str">
        <f t="shared" si="3"/>
        <v>Diggersby</v>
      </c>
      <c r="H661" s="3" t="s">
        <v>3678</v>
      </c>
      <c r="I661" s="3" t="s">
        <v>3679</v>
      </c>
      <c r="J661" s="5" t="str">
        <f t="shared" si="134"/>
        <v>掘地兔</v>
      </c>
    </row>
    <row r="662">
      <c r="A662" s="3" t="str">
        <f t="shared" si="106"/>
        <v>NAME_PkMn_FLETCHLING</v>
      </c>
      <c r="B662" s="3" t="s">
        <v>3680</v>
      </c>
      <c r="C662" s="3" t="s">
        <v>3681</v>
      </c>
      <c r="D662" s="3" t="s">
        <v>3682</v>
      </c>
      <c r="E662" s="3" t="s">
        <v>3683</v>
      </c>
      <c r="F662" s="5" t="str">
        <f t="shared" si="2"/>
        <v>Fletchling</v>
      </c>
      <c r="G662" s="5" t="str">
        <f t="shared" si="3"/>
        <v>Fletchling</v>
      </c>
      <c r="H662" s="3" t="s">
        <v>3684</v>
      </c>
      <c r="I662" s="3" t="s">
        <v>3685</v>
      </c>
      <c r="J662" s="5" t="str">
        <f t="shared" si="134"/>
        <v>小箭雀</v>
      </c>
    </row>
    <row r="663">
      <c r="A663" s="3" t="str">
        <f t="shared" si="106"/>
        <v>NAME_PkMn_FLETCHINDER</v>
      </c>
      <c r="B663" s="3" t="s">
        <v>3686</v>
      </c>
      <c r="C663" s="3" t="s">
        <v>3687</v>
      </c>
      <c r="D663" s="3" t="s">
        <v>3688</v>
      </c>
      <c r="E663" s="3" t="s">
        <v>3689</v>
      </c>
      <c r="F663" s="5" t="str">
        <f t="shared" si="2"/>
        <v>Fletchinder</v>
      </c>
      <c r="G663" s="5" t="str">
        <f t="shared" si="3"/>
        <v>Fletchinder</v>
      </c>
      <c r="H663" s="3" t="s">
        <v>3690</v>
      </c>
      <c r="I663" s="3" t="s">
        <v>3691</v>
      </c>
      <c r="J663" s="5" t="str">
        <f t="shared" si="134"/>
        <v>火箭雀</v>
      </c>
    </row>
    <row r="664">
      <c r="A664" s="3" t="str">
        <f t="shared" si="106"/>
        <v>NAME_PkMn_TALONFLAME</v>
      </c>
      <c r="B664" s="3" t="s">
        <v>3692</v>
      </c>
      <c r="C664" s="3" t="s">
        <v>3693</v>
      </c>
      <c r="D664" s="3" t="s">
        <v>3694</v>
      </c>
      <c r="E664" s="3" t="s">
        <v>3695</v>
      </c>
      <c r="F664" s="5" t="str">
        <f t="shared" si="2"/>
        <v>Talonflame</v>
      </c>
      <c r="G664" s="5" t="str">
        <f t="shared" si="3"/>
        <v>Talonflame</v>
      </c>
      <c r="H664" s="3" t="s">
        <v>3696</v>
      </c>
      <c r="I664" s="3" t="s">
        <v>3697</v>
      </c>
      <c r="J664" s="5" t="str">
        <f>IFERROR(__xludf.DUMMYFUNCTION("GOOGLETRANSLATE(I664,""zh_HANT"",""zh_HANS"")"),"烈箭鹰")</f>
        <v>烈箭鹰</v>
      </c>
    </row>
    <row r="665">
      <c r="A665" s="3" t="str">
        <f t="shared" si="106"/>
        <v>NAME_PkMn_SCATTERBUG</v>
      </c>
      <c r="B665" s="3" t="s">
        <v>3698</v>
      </c>
      <c r="C665" s="3" t="s">
        <v>3699</v>
      </c>
      <c r="D665" s="3" t="s">
        <v>3700</v>
      </c>
      <c r="E665" s="3" t="s">
        <v>3701</v>
      </c>
      <c r="F665" s="5" t="str">
        <f t="shared" si="2"/>
        <v>Scatterbug</v>
      </c>
      <c r="G665" s="5" t="str">
        <f t="shared" si="3"/>
        <v>Scatterbug</v>
      </c>
      <c r="H665" s="3" t="s">
        <v>3702</v>
      </c>
      <c r="I665" s="3" t="s">
        <v>3703</v>
      </c>
      <c r="J665" s="5" t="str">
        <f>IFERROR(__xludf.DUMMYFUNCTION("GOOGLETRANSLATE(I665,""zh_HANT"",""zh_HANS"")"),"粉蝶虫")</f>
        <v>粉蝶虫</v>
      </c>
    </row>
    <row r="666">
      <c r="A666" s="3" t="str">
        <f t="shared" si="106"/>
        <v>NAME_PkMn_SPEWPA</v>
      </c>
      <c r="B666" s="3" t="s">
        <v>3704</v>
      </c>
      <c r="C666" s="3" t="s">
        <v>3705</v>
      </c>
      <c r="D666" s="3" t="s">
        <v>3706</v>
      </c>
      <c r="E666" s="3" t="s">
        <v>3707</v>
      </c>
      <c r="F666" s="5" t="str">
        <f t="shared" si="2"/>
        <v>Spewpa</v>
      </c>
      <c r="G666" s="5" t="str">
        <f t="shared" si="3"/>
        <v>Spewpa</v>
      </c>
      <c r="H666" s="3" t="s">
        <v>3708</v>
      </c>
      <c r="I666" s="3" t="s">
        <v>3709</v>
      </c>
      <c r="J666" s="5" t="str">
        <f t="shared" ref="J666:J667" si="135">I666</f>
        <v>粉蝶蛹</v>
      </c>
    </row>
    <row r="667">
      <c r="A667" s="3" t="str">
        <f t="shared" si="106"/>
        <v>NAME_PkMn_VIVILLON</v>
      </c>
      <c r="B667" s="3" t="s">
        <v>3710</v>
      </c>
      <c r="C667" s="3" t="s">
        <v>3711</v>
      </c>
      <c r="D667" s="3" t="s">
        <v>3712</v>
      </c>
      <c r="E667" s="5" t="str">
        <f>B667</f>
        <v>Vivillon</v>
      </c>
      <c r="F667" s="5" t="str">
        <f t="shared" si="2"/>
        <v>Vivillon</v>
      </c>
      <c r="G667" s="5" t="str">
        <f t="shared" si="3"/>
        <v>Vivillon</v>
      </c>
      <c r="H667" s="3" t="s">
        <v>3713</v>
      </c>
      <c r="I667" s="3" t="s">
        <v>3714</v>
      </c>
      <c r="J667" s="5" t="str">
        <f t="shared" si="135"/>
        <v>彩粉蝶</v>
      </c>
    </row>
    <row r="668">
      <c r="A668" s="3" t="str">
        <f t="shared" si="106"/>
        <v>NAME_PkMn_LITLEO</v>
      </c>
      <c r="B668" s="3" t="s">
        <v>3715</v>
      </c>
      <c r="C668" s="3" t="s">
        <v>3716</v>
      </c>
      <c r="D668" s="3" t="s">
        <v>3717</v>
      </c>
      <c r="E668" s="3" t="s">
        <v>3718</v>
      </c>
      <c r="F668" s="5" t="str">
        <f t="shared" si="2"/>
        <v>Litleo</v>
      </c>
      <c r="G668" s="5" t="str">
        <f t="shared" si="3"/>
        <v>Litleo</v>
      </c>
      <c r="H668" s="3" t="s">
        <v>3719</v>
      </c>
      <c r="I668" s="3" t="s">
        <v>3720</v>
      </c>
      <c r="J668" s="5" t="str">
        <f>IFERROR(__xludf.DUMMYFUNCTION("GOOGLETRANSLATE(I668,""zh_HANT"",""zh_HANS"")"),"小狮狮")</f>
        <v>小狮狮</v>
      </c>
    </row>
    <row r="669">
      <c r="A669" s="3" t="str">
        <f t="shared" si="106"/>
        <v>NAME_PkMn_PYROAR</v>
      </c>
      <c r="B669" s="3" t="s">
        <v>3721</v>
      </c>
      <c r="C669" s="3" t="s">
        <v>3722</v>
      </c>
      <c r="D669" s="3" t="s">
        <v>3723</v>
      </c>
      <c r="E669" s="3" t="s">
        <v>3724</v>
      </c>
      <c r="F669" s="5" t="str">
        <f t="shared" si="2"/>
        <v>Pyroar</v>
      </c>
      <c r="G669" s="5" t="str">
        <f t="shared" si="3"/>
        <v>Pyroar</v>
      </c>
      <c r="H669" s="3" t="s">
        <v>3725</v>
      </c>
      <c r="I669" s="3" t="s">
        <v>3726</v>
      </c>
      <c r="J669" s="5" t="str">
        <f>IFERROR(__xludf.DUMMYFUNCTION("GOOGLETRANSLATE(I669,""zh_HANT"",""zh_HANS"")"),"火炎狮")</f>
        <v>火炎狮</v>
      </c>
    </row>
    <row r="670">
      <c r="A670" s="3" t="s">
        <v>3727</v>
      </c>
      <c r="B670" s="3" t="s">
        <v>3728</v>
      </c>
      <c r="C670" s="3" t="s">
        <v>3729</v>
      </c>
      <c r="D670" s="5" t="str">
        <f t="shared" ref="D670:D672" si="136">B670</f>
        <v>Flabébé</v>
      </c>
      <c r="E670" s="5" t="str">
        <f t="shared" ref="E670:E672" si="137">B670</f>
        <v>Flabébé</v>
      </c>
      <c r="F670" s="5" t="str">
        <f t="shared" si="2"/>
        <v>Flabébé</v>
      </c>
      <c r="G670" s="5" t="str">
        <f t="shared" si="3"/>
        <v>Flabébé</v>
      </c>
      <c r="H670" s="3" t="s">
        <v>3730</v>
      </c>
      <c r="I670" s="3" t="s">
        <v>3731</v>
      </c>
      <c r="J670" s="5" t="str">
        <f>I670</f>
        <v>花蓓蓓</v>
      </c>
    </row>
    <row r="671">
      <c r="A671" s="3" t="str">
        <f t="shared" ref="A671:A772" si="138">CONCATENATE("NAME_PkMn_", UPPER(B671))</f>
        <v>NAME_PkMn_FLOETTE</v>
      </c>
      <c r="B671" s="3" t="s">
        <v>3732</v>
      </c>
      <c r="C671" s="3" t="s">
        <v>3733</v>
      </c>
      <c r="D671" s="5" t="str">
        <f t="shared" si="136"/>
        <v>Floette</v>
      </c>
      <c r="E671" s="5" t="str">
        <f t="shared" si="137"/>
        <v>Floette</v>
      </c>
      <c r="F671" s="5" t="str">
        <f t="shared" si="2"/>
        <v>Floette</v>
      </c>
      <c r="G671" s="5" t="str">
        <f t="shared" si="3"/>
        <v>Floette</v>
      </c>
      <c r="H671" s="3" t="s">
        <v>3734</v>
      </c>
      <c r="I671" s="3" t="s">
        <v>3735</v>
      </c>
      <c r="J671" s="5" t="str">
        <f>IFERROR(__xludf.DUMMYFUNCTION("GOOGLETRANSLATE(I671,""zh_HANT"",""zh_HANS"")"),"花叶蒂")</f>
        <v>花叶蒂</v>
      </c>
    </row>
    <row r="672">
      <c r="A672" s="3" t="str">
        <f t="shared" si="138"/>
        <v>NAME_PkMn_FLORGES</v>
      </c>
      <c r="B672" s="3" t="s">
        <v>3736</v>
      </c>
      <c r="C672" s="3" t="s">
        <v>3737</v>
      </c>
      <c r="D672" s="5" t="str">
        <f t="shared" si="136"/>
        <v>Florges</v>
      </c>
      <c r="E672" s="5" t="str">
        <f t="shared" si="137"/>
        <v>Florges</v>
      </c>
      <c r="F672" s="5" t="str">
        <f t="shared" si="2"/>
        <v>Florges</v>
      </c>
      <c r="G672" s="5" t="str">
        <f t="shared" si="3"/>
        <v>Florges</v>
      </c>
      <c r="H672" s="3" t="s">
        <v>3738</v>
      </c>
      <c r="I672" s="3" t="s">
        <v>3739</v>
      </c>
      <c r="J672" s="5" t="str">
        <f>IFERROR(__xludf.DUMMYFUNCTION("GOOGLETRANSLATE(I672,""zh_HANT"",""zh_HANS"")"),"花洁夫人")</f>
        <v>花洁夫人</v>
      </c>
    </row>
    <row r="673">
      <c r="A673" s="3" t="str">
        <f t="shared" si="138"/>
        <v>NAME_PkMn_SKIDDO</v>
      </c>
      <c r="B673" s="3" t="s">
        <v>3740</v>
      </c>
      <c r="C673" s="3" t="s">
        <v>3741</v>
      </c>
      <c r="D673" s="3" t="s">
        <v>3742</v>
      </c>
      <c r="E673" s="3" t="s">
        <v>3743</v>
      </c>
      <c r="F673" s="5" t="str">
        <f t="shared" si="2"/>
        <v>Skiddo</v>
      </c>
      <c r="G673" s="5" t="str">
        <f t="shared" si="3"/>
        <v>Skiddo</v>
      </c>
      <c r="H673" s="3" t="s">
        <v>3744</v>
      </c>
      <c r="I673" s="3" t="s">
        <v>3745</v>
      </c>
      <c r="J673" s="5" t="str">
        <f>IFERROR(__xludf.DUMMYFUNCTION("GOOGLETRANSLATE(I673,""zh_HANT"",""zh_HANS"")"),"坐骑小羊")</f>
        <v>坐骑小羊</v>
      </c>
    </row>
    <row r="674">
      <c r="A674" s="3" t="str">
        <f t="shared" si="138"/>
        <v>NAME_PkMn_GOGOAT</v>
      </c>
      <c r="B674" s="3" t="s">
        <v>3746</v>
      </c>
      <c r="C674" s="3" t="s">
        <v>3747</v>
      </c>
      <c r="D674" s="3" t="s">
        <v>3748</v>
      </c>
      <c r="E674" s="3" t="s">
        <v>3749</v>
      </c>
      <c r="F674" s="5" t="str">
        <f t="shared" si="2"/>
        <v>Gogoat</v>
      </c>
      <c r="G674" s="5" t="str">
        <f t="shared" si="3"/>
        <v>Gogoat</v>
      </c>
      <c r="H674" s="3" t="s">
        <v>3750</v>
      </c>
      <c r="I674" s="3" t="s">
        <v>3745</v>
      </c>
      <c r="J674" s="5" t="str">
        <f>IFERROR(__xludf.DUMMYFUNCTION("GOOGLETRANSLATE(I674,""zh_HANT"",""zh_HANS"")"),"坐骑小羊")</f>
        <v>坐骑小羊</v>
      </c>
    </row>
    <row r="675">
      <c r="A675" s="3" t="str">
        <f t="shared" si="138"/>
        <v>NAME_PkMn_PANCHAM</v>
      </c>
      <c r="B675" s="3" t="s">
        <v>3751</v>
      </c>
      <c r="C675" s="3" t="s">
        <v>3752</v>
      </c>
      <c r="D675" s="3" t="s">
        <v>3753</v>
      </c>
      <c r="E675" s="3" t="s">
        <v>3754</v>
      </c>
      <c r="F675" s="5" t="str">
        <f t="shared" si="2"/>
        <v>Pancham</v>
      </c>
      <c r="G675" s="5" t="str">
        <f t="shared" si="3"/>
        <v>Pancham</v>
      </c>
      <c r="H675" s="3" t="s">
        <v>3755</v>
      </c>
      <c r="I675" s="3" t="s">
        <v>3756</v>
      </c>
      <c r="J675" s="5" t="str">
        <f>IFERROR(__xludf.DUMMYFUNCTION("GOOGLETRANSLATE(I675,""zh_HANT"",""zh_HANS"")"),"顽皮熊猫")</f>
        <v>顽皮熊猫</v>
      </c>
    </row>
    <row r="676">
      <c r="A676" s="3" t="str">
        <f t="shared" si="138"/>
        <v>NAME_PkMn_PANGORO</v>
      </c>
      <c r="B676" s="3" t="s">
        <v>3757</v>
      </c>
      <c r="C676" s="3" t="s">
        <v>3758</v>
      </c>
      <c r="D676" s="3" t="s">
        <v>3759</v>
      </c>
      <c r="E676" s="3" t="s">
        <v>3760</v>
      </c>
      <c r="F676" s="5" t="str">
        <f t="shared" si="2"/>
        <v>Pangoro</v>
      </c>
      <c r="G676" s="5" t="str">
        <f t="shared" si="3"/>
        <v>Pangoro</v>
      </c>
      <c r="H676" s="3" t="s">
        <v>3761</v>
      </c>
      <c r="I676" s="3" t="s">
        <v>3762</v>
      </c>
      <c r="J676" s="3" t="s">
        <v>3763</v>
      </c>
    </row>
    <row r="677">
      <c r="A677" s="3" t="str">
        <f t="shared" si="138"/>
        <v>NAME_PkMn_FURFROU</v>
      </c>
      <c r="B677" s="3" t="s">
        <v>3764</v>
      </c>
      <c r="C677" s="3" t="s">
        <v>3765</v>
      </c>
      <c r="D677" s="3" t="s">
        <v>3766</v>
      </c>
      <c r="E677" s="3" t="s">
        <v>3767</v>
      </c>
      <c r="F677" s="5" t="str">
        <f t="shared" si="2"/>
        <v>Furfrou</v>
      </c>
      <c r="G677" s="5" t="str">
        <f t="shared" si="3"/>
        <v>Furfrou</v>
      </c>
      <c r="H677" s="3" t="s">
        <v>3768</v>
      </c>
      <c r="I677" s="3" t="s">
        <v>3769</v>
      </c>
      <c r="J677" s="5" t="str">
        <f>IFERROR(__xludf.DUMMYFUNCTION("GOOGLETRANSLATE(I677,""zh_HANT"",""zh_HANS"")"),"多丽米亚")</f>
        <v>多丽米亚</v>
      </c>
    </row>
    <row r="678">
      <c r="A678" s="3" t="str">
        <f t="shared" si="138"/>
        <v>NAME_PkMn_ESPURR</v>
      </c>
      <c r="B678" s="3" t="s">
        <v>3770</v>
      </c>
      <c r="C678" s="3" t="s">
        <v>3771</v>
      </c>
      <c r="D678" s="3" t="s">
        <v>3772</v>
      </c>
      <c r="E678" s="3" t="s">
        <v>3773</v>
      </c>
      <c r="F678" s="5" t="str">
        <f t="shared" si="2"/>
        <v>Espurr</v>
      </c>
      <c r="G678" s="5" t="str">
        <f t="shared" si="3"/>
        <v>Espurr</v>
      </c>
      <c r="H678" s="3" t="s">
        <v>3774</v>
      </c>
      <c r="I678" s="3" t="s">
        <v>3775</v>
      </c>
      <c r="J678" s="5" t="str">
        <f t="shared" ref="J678:J679" si="139">I678</f>
        <v>妙喵</v>
      </c>
    </row>
    <row r="679">
      <c r="A679" s="3" t="str">
        <f t="shared" si="138"/>
        <v>NAME_PkMn_MEOWSTIC</v>
      </c>
      <c r="B679" s="3" t="s">
        <v>3776</v>
      </c>
      <c r="C679" s="3" t="s">
        <v>3777</v>
      </c>
      <c r="D679" s="3" t="s">
        <v>3778</v>
      </c>
      <c r="E679" s="5" t="str">
        <f>CONCATENATE(E678,"gon")</f>
        <v>Psiaugon</v>
      </c>
      <c r="F679" s="5" t="str">
        <f t="shared" si="2"/>
        <v>Meowstic</v>
      </c>
      <c r="G679" s="5" t="str">
        <f t="shared" si="3"/>
        <v>Meowstic</v>
      </c>
      <c r="H679" s="3" t="s">
        <v>3779</v>
      </c>
      <c r="I679" s="3" t="s">
        <v>3780</v>
      </c>
      <c r="J679" s="5" t="str">
        <f t="shared" si="139"/>
        <v>超能妙喵</v>
      </c>
    </row>
    <row r="680">
      <c r="A680" s="3" t="str">
        <f t="shared" si="138"/>
        <v>NAME_PkMn_HONEDGE</v>
      </c>
      <c r="B680" s="3" t="s">
        <v>3781</v>
      </c>
      <c r="C680" s="3" t="s">
        <v>3782</v>
      </c>
      <c r="D680" s="3" t="s">
        <v>3783</v>
      </c>
      <c r="E680" s="3" t="s">
        <v>3784</v>
      </c>
      <c r="F680" s="5" t="str">
        <f t="shared" si="2"/>
        <v>Honedge</v>
      </c>
      <c r="G680" s="5" t="str">
        <f t="shared" si="3"/>
        <v>Honedge</v>
      </c>
      <c r="H680" s="3" t="s">
        <v>3785</v>
      </c>
      <c r="I680" s="3" t="s">
        <v>3786</v>
      </c>
      <c r="J680" s="5" t="str">
        <f>IFERROR(__xludf.DUMMYFUNCTION("GOOGLETRANSLATE(I680,""zh_HANT"",""zh_HANS"")"),"独剑鞘")</f>
        <v>独剑鞘</v>
      </c>
    </row>
    <row r="681">
      <c r="A681" s="3" t="str">
        <f t="shared" si="138"/>
        <v>NAME_PkMn_DOUBLADE</v>
      </c>
      <c r="B681" s="3" t="s">
        <v>3787</v>
      </c>
      <c r="C681" s="3" t="s">
        <v>3788</v>
      </c>
      <c r="D681" s="3" t="s">
        <v>3789</v>
      </c>
      <c r="E681" s="3" t="s">
        <v>3790</v>
      </c>
      <c r="F681" s="5" t="str">
        <f t="shared" si="2"/>
        <v>Doublade</v>
      </c>
      <c r="G681" s="5" t="str">
        <f t="shared" si="3"/>
        <v>Doublade</v>
      </c>
      <c r="H681" s="3" t="s">
        <v>3791</v>
      </c>
      <c r="I681" s="3" t="s">
        <v>3792</v>
      </c>
      <c r="J681" s="5" t="str">
        <f>IFERROR(__xludf.DUMMYFUNCTION("GOOGLETRANSLATE(I681,""zh_HANT"",""zh_HANS"")"),"双剑鞘")</f>
        <v>双剑鞘</v>
      </c>
    </row>
    <row r="682">
      <c r="A682" s="3" t="str">
        <f t="shared" si="138"/>
        <v>NAME_PkMn_AEGISLASH</v>
      </c>
      <c r="B682" s="3" t="s">
        <v>3793</v>
      </c>
      <c r="C682" s="3" t="s">
        <v>3794</v>
      </c>
      <c r="D682" s="3" t="s">
        <v>3795</v>
      </c>
      <c r="E682" s="3" t="s">
        <v>3796</v>
      </c>
      <c r="F682" s="5" t="str">
        <f t="shared" si="2"/>
        <v>Aegislash</v>
      </c>
      <c r="G682" s="5" t="str">
        <f t="shared" si="3"/>
        <v>Aegislash</v>
      </c>
      <c r="H682" s="3" t="s">
        <v>3797</v>
      </c>
      <c r="I682" s="3" t="s">
        <v>3798</v>
      </c>
      <c r="J682" s="5" t="str">
        <f>IFERROR(__xludf.DUMMYFUNCTION("GOOGLETRANSLATE(I682,""zh_HANT"",""zh_HANS"")"),"坚盾剑怪")</f>
        <v>坚盾剑怪</v>
      </c>
    </row>
    <row r="683">
      <c r="A683" s="3" t="str">
        <f t="shared" si="138"/>
        <v>NAME_PkMn_SPRITZEE</v>
      </c>
      <c r="B683" s="3" t="s">
        <v>3799</v>
      </c>
      <c r="C683" s="3" t="s">
        <v>3800</v>
      </c>
      <c r="D683" s="3" t="s">
        <v>3801</v>
      </c>
      <c r="E683" s="3" t="s">
        <v>3802</v>
      </c>
      <c r="F683" s="5" t="str">
        <f t="shared" si="2"/>
        <v>Spritzee</v>
      </c>
      <c r="G683" s="5" t="str">
        <f t="shared" si="3"/>
        <v>Spritzee</v>
      </c>
      <c r="H683" s="3" t="s">
        <v>3803</v>
      </c>
      <c r="I683" s="3" t="s">
        <v>3804</v>
      </c>
      <c r="J683" s="5" t="str">
        <f t="shared" ref="J683:J684" si="140">I683</f>
        <v>粉香香</v>
      </c>
    </row>
    <row r="684">
      <c r="A684" s="3" t="str">
        <f t="shared" si="138"/>
        <v>NAME_PkMn_AROMATISSE</v>
      </c>
      <c r="B684" s="3" t="s">
        <v>3805</v>
      </c>
      <c r="C684" s="3" t="s">
        <v>3806</v>
      </c>
      <c r="D684" s="3" t="s">
        <v>3807</v>
      </c>
      <c r="E684" s="5" t="str">
        <f>CONCATENATE(E683,"nesse")</f>
        <v>Parfinesse</v>
      </c>
      <c r="F684" s="5" t="str">
        <f t="shared" si="2"/>
        <v>Aromatisse</v>
      </c>
      <c r="G684" s="5" t="str">
        <f t="shared" si="3"/>
        <v>Aromatisse</v>
      </c>
      <c r="H684" s="3" t="s">
        <v>3808</v>
      </c>
      <c r="I684" s="3" t="s">
        <v>3809</v>
      </c>
      <c r="J684" s="5" t="str">
        <f t="shared" si="140"/>
        <v>芳香精</v>
      </c>
    </row>
    <row r="685">
      <c r="A685" s="3" t="str">
        <f t="shared" si="138"/>
        <v>NAME_PkMn_SWIRLIX</v>
      </c>
      <c r="B685" s="3" t="s">
        <v>3810</v>
      </c>
      <c r="C685" s="3" t="s">
        <v>3811</v>
      </c>
      <c r="D685" s="3" t="s">
        <v>3812</v>
      </c>
      <c r="E685" s="3" t="s">
        <v>3813</v>
      </c>
      <c r="F685" s="5" t="str">
        <f t="shared" si="2"/>
        <v>Swirlix</v>
      </c>
      <c r="G685" s="5" t="str">
        <f t="shared" si="3"/>
        <v>Swirlix</v>
      </c>
      <c r="H685" s="3" t="s">
        <v>3814</v>
      </c>
      <c r="I685" s="3" t="s">
        <v>3815</v>
      </c>
      <c r="J685" s="5" t="str">
        <f>IFERROR(__xludf.DUMMYFUNCTION("GOOGLETRANSLATE(I685,""zh_HANT"",""zh_HANS"")"),"绵绵泡芙")</f>
        <v>绵绵泡芙</v>
      </c>
    </row>
    <row r="686">
      <c r="A686" s="3" t="str">
        <f t="shared" si="138"/>
        <v>NAME_PkMn_SLURPUFF</v>
      </c>
      <c r="B686" s="3" t="s">
        <v>3816</v>
      </c>
      <c r="C686" s="3" t="s">
        <v>3817</v>
      </c>
      <c r="D686" s="3" t="s">
        <v>3818</v>
      </c>
      <c r="E686" s="3" t="s">
        <v>3819</v>
      </c>
      <c r="F686" s="5" t="str">
        <f t="shared" si="2"/>
        <v>Slurpuff</v>
      </c>
      <c r="G686" s="5" t="str">
        <f t="shared" si="3"/>
        <v>Slurpuff</v>
      </c>
      <c r="H686" s="3" t="s">
        <v>3820</v>
      </c>
      <c r="I686" s="3" t="s">
        <v>3821</v>
      </c>
      <c r="J686" s="5" t="str">
        <f>I686</f>
        <v>胖甜妮</v>
      </c>
    </row>
    <row r="687">
      <c r="A687" s="3" t="str">
        <f t="shared" si="138"/>
        <v>NAME_PkMn_INKAY</v>
      </c>
      <c r="B687" s="3" t="s">
        <v>3822</v>
      </c>
      <c r="C687" s="3" t="s">
        <v>3823</v>
      </c>
      <c r="D687" s="3" t="s">
        <v>3824</v>
      </c>
      <c r="E687" s="3" t="s">
        <v>3825</v>
      </c>
      <c r="F687" s="5" t="str">
        <f t="shared" si="2"/>
        <v>Inkay</v>
      </c>
      <c r="G687" s="5" t="str">
        <f t="shared" si="3"/>
        <v>Inkay</v>
      </c>
      <c r="H687" s="3" t="s">
        <v>3826</v>
      </c>
      <c r="I687" s="3" t="s">
        <v>3827</v>
      </c>
      <c r="J687" s="5" t="str">
        <f>IFERROR(__xludf.DUMMYFUNCTION("GOOGLETRANSLATE(I687,""zh_HANT"",""zh_HANS"")"),"好啦鱿")</f>
        <v>好啦鱿</v>
      </c>
    </row>
    <row r="688">
      <c r="A688" s="3" t="str">
        <f t="shared" si="138"/>
        <v>NAME_PkMn_MALAMAR</v>
      </c>
      <c r="B688" s="3" t="s">
        <v>3828</v>
      </c>
      <c r="C688" s="3" t="s">
        <v>3829</v>
      </c>
      <c r="D688" s="3" t="s">
        <v>3830</v>
      </c>
      <c r="E688" s="3" t="s">
        <v>3831</v>
      </c>
      <c r="F688" s="5" t="str">
        <f t="shared" si="2"/>
        <v>Malamar</v>
      </c>
      <c r="G688" s="5" t="str">
        <f t="shared" si="3"/>
        <v>Malamar</v>
      </c>
      <c r="H688" s="3" t="s">
        <v>3832</v>
      </c>
      <c r="I688" s="3" t="s">
        <v>3833</v>
      </c>
      <c r="J688" s="5" t="str">
        <f>IFERROR(__xludf.DUMMYFUNCTION("GOOGLETRANSLATE(I688,""zh_HANT"",""zh_HANS"")"),"乌贼王")</f>
        <v>乌贼王</v>
      </c>
    </row>
    <row r="689">
      <c r="A689" s="3" t="str">
        <f t="shared" si="138"/>
        <v>NAME_PkMn_BINACLE</v>
      </c>
      <c r="B689" s="3" t="s">
        <v>3834</v>
      </c>
      <c r="C689" s="3" t="s">
        <v>3835</v>
      </c>
      <c r="D689" s="3" t="s">
        <v>3836</v>
      </c>
      <c r="E689" s="3" t="s">
        <v>3837</v>
      </c>
      <c r="F689" s="5" t="str">
        <f t="shared" si="2"/>
        <v>Binacle</v>
      </c>
      <c r="G689" s="5" t="str">
        <f t="shared" si="3"/>
        <v>Binacle</v>
      </c>
      <c r="H689" s="3" t="s">
        <v>3838</v>
      </c>
      <c r="I689" s="3" t="s">
        <v>3839</v>
      </c>
      <c r="J689" s="5" t="str">
        <f>IFERROR(__xludf.DUMMYFUNCTION("GOOGLETRANSLATE(I689,""zh_HANT"",""zh_HANS"")"),"龟脚脚")</f>
        <v>龟脚脚</v>
      </c>
    </row>
    <row r="690">
      <c r="A690" s="3" t="str">
        <f t="shared" si="138"/>
        <v>NAME_PkMn_BARBARACLE</v>
      </c>
      <c r="B690" s="3" t="s">
        <v>3840</v>
      </c>
      <c r="C690" s="3" t="s">
        <v>3841</v>
      </c>
      <c r="D690" s="3" t="s">
        <v>3842</v>
      </c>
      <c r="E690" s="3" t="s">
        <v>3843</v>
      </c>
      <c r="F690" s="5" t="str">
        <f t="shared" si="2"/>
        <v>Barbaracle</v>
      </c>
      <c r="G690" s="5" t="str">
        <f t="shared" si="3"/>
        <v>Barbaracle</v>
      </c>
      <c r="H690" s="3" t="s">
        <v>3844</v>
      </c>
      <c r="I690" s="3" t="s">
        <v>3845</v>
      </c>
      <c r="J690" s="5" t="str">
        <f>IFERROR(__xludf.DUMMYFUNCTION("GOOGLETRANSLATE(I690,""zh_HANT"",""zh_HANS"")"),"龟足巨铠")</f>
        <v>龟足巨铠</v>
      </c>
    </row>
    <row r="691">
      <c r="A691" s="3" t="str">
        <f t="shared" si="138"/>
        <v>NAME_PkMn_SKRELP</v>
      </c>
      <c r="B691" s="3" t="s">
        <v>3846</v>
      </c>
      <c r="C691" s="3" t="s">
        <v>3847</v>
      </c>
      <c r="D691" s="3" t="s">
        <v>3848</v>
      </c>
      <c r="E691" s="3" t="s">
        <v>3849</v>
      </c>
      <c r="F691" s="5" t="str">
        <f t="shared" si="2"/>
        <v>Skrelp</v>
      </c>
      <c r="G691" s="5" t="str">
        <f t="shared" si="3"/>
        <v>Skrelp</v>
      </c>
      <c r="H691" s="3" t="s">
        <v>3850</v>
      </c>
      <c r="I691" s="3" t="s">
        <v>3851</v>
      </c>
      <c r="J691" s="5" t="str">
        <f>I691</f>
        <v>垃垃藻</v>
      </c>
    </row>
    <row r="692">
      <c r="A692" s="3" t="str">
        <f t="shared" si="138"/>
        <v>NAME_PkMn_DRAGALGE</v>
      </c>
      <c r="B692" s="3" t="s">
        <v>3852</v>
      </c>
      <c r="C692" s="3" t="s">
        <v>3853</v>
      </c>
      <c r="D692" s="3" t="s">
        <v>3854</v>
      </c>
      <c r="E692" s="3" t="s">
        <v>3855</v>
      </c>
      <c r="F692" s="5" t="str">
        <f t="shared" si="2"/>
        <v>Dragalge</v>
      </c>
      <c r="G692" s="5" t="str">
        <f t="shared" si="3"/>
        <v>Dragalge</v>
      </c>
      <c r="H692" s="3" t="s">
        <v>3856</v>
      </c>
      <c r="I692" s="3" t="s">
        <v>3857</v>
      </c>
      <c r="J692" s="5" t="str">
        <f>IFERROR(__xludf.DUMMYFUNCTION("GOOGLETRANSLATE(I692,""zh_HANT"",""zh_HANS"")"),"毒藻龙")</f>
        <v>毒藻龙</v>
      </c>
    </row>
    <row r="693">
      <c r="A693" s="3" t="str">
        <f t="shared" si="138"/>
        <v>NAME_PkMn_CLAUNCHER</v>
      </c>
      <c r="B693" s="3" t="s">
        <v>3858</v>
      </c>
      <c r="C693" s="3" t="s">
        <v>3859</v>
      </c>
      <c r="D693" s="3" t="s">
        <v>3860</v>
      </c>
      <c r="E693" s="3" t="s">
        <v>3861</v>
      </c>
      <c r="F693" s="5" t="str">
        <f t="shared" si="2"/>
        <v>Clauncher</v>
      </c>
      <c r="G693" s="5" t="str">
        <f t="shared" si="3"/>
        <v>Clauncher</v>
      </c>
      <c r="H693" s="3" t="s">
        <v>3862</v>
      </c>
      <c r="I693" s="3" t="s">
        <v>3863</v>
      </c>
      <c r="J693" s="5" t="str">
        <f>IFERROR(__xludf.DUMMYFUNCTION("GOOGLETRANSLATE(I693,""zh_HANT"",""zh_HANS"")"),"铁臂枪虾")</f>
        <v>铁臂枪虾</v>
      </c>
    </row>
    <row r="694">
      <c r="A694" s="3" t="str">
        <f t="shared" si="138"/>
        <v>NAME_PkMn_CLAWITZER</v>
      </c>
      <c r="B694" s="3" t="s">
        <v>3864</v>
      </c>
      <c r="C694" s="3" t="s">
        <v>3865</v>
      </c>
      <c r="D694" s="3" t="s">
        <v>3866</v>
      </c>
      <c r="E694" s="3" t="s">
        <v>3867</v>
      </c>
      <c r="F694" s="5" t="str">
        <f t="shared" si="2"/>
        <v>Clawitzer</v>
      </c>
      <c r="G694" s="5" t="str">
        <f t="shared" si="3"/>
        <v>Clawitzer</v>
      </c>
      <c r="H694" s="3" t="s">
        <v>3868</v>
      </c>
      <c r="I694" s="3" t="s">
        <v>3869</v>
      </c>
      <c r="J694" s="5" t="str">
        <f>IFERROR(__xludf.DUMMYFUNCTION("GOOGLETRANSLATE(I694,""zh_HANT"",""zh_HANS"")"),"钢炮臂虾")</f>
        <v>钢炮臂虾</v>
      </c>
    </row>
    <row r="695">
      <c r="A695" s="3" t="str">
        <f t="shared" si="138"/>
        <v>NAME_PkMn_HELIOPTILE</v>
      </c>
      <c r="B695" s="3" t="s">
        <v>3870</v>
      </c>
      <c r="C695" s="3" t="s">
        <v>3871</v>
      </c>
      <c r="D695" s="3" t="s">
        <v>3872</v>
      </c>
      <c r="E695" s="3" t="s">
        <v>3873</v>
      </c>
      <c r="F695" s="5" t="str">
        <f t="shared" si="2"/>
        <v>Helioptile</v>
      </c>
      <c r="G695" s="5" t="str">
        <f t="shared" si="3"/>
        <v>Helioptile</v>
      </c>
      <c r="H695" s="3" t="s">
        <v>3874</v>
      </c>
      <c r="I695" s="3" t="s">
        <v>3875</v>
      </c>
      <c r="J695" s="5" t="str">
        <f>IFERROR(__xludf.DUMMYFUNCTION("GOOGLETRANSLATE(I695,""zh_HANT"",""zh_HANS"")"),"伞电蜥")</f>
        <v>伞电蜥</v>
      </c>
    </row>
    <row r="696">
      <c r="A696" s="3" t="str">
        <f t="shared" si="138"/>
        <v>NAME_PkMn_HELIOLISK</v>
      </c>
      <c r="B696" s="3" t="s">
        <v>3876</v>
      </c>
      <c r="C696" s="3" t="s">
        <v>3877</v>
      </c>
      <c r="D696" s="3" t="s">
        <v>3878</v>
      </c>
      <c r="E696" s="3" t="s">
        <v>3879</v>
      </c>
      <c r="F696" s="5" t="str">
        <f t="shared" si="2"/>
        <v>Heliolisk</v>
      </c>
      <c r="G696" s="5" t="str">
        <f t="shared" si="3"/>
        <v>Heliolisk</v>
      </c>
      <c r="H696" s="3" t="s">
        <v>3880</v>
      </c>
      <c r="I696" s="3" t="s">
        <v>3881</v>
      </c>
      <c r="J696" s="5" t="str">
        <f>IFERROR(__xludf.DUMMYFUNCTION("GOOGLETRANSLATE(I696,""zh_HANT"",""zh_HANS"")"),"光电伞蜥")</f>
        <v>光电伞蜥</v>
      </c>
    </row>
    <row r="697">
      <c r="A697" s="3" t="str">
        <f t="shared" si="138"/>
        <v>NAME_PkMn_TYRUNT</v>
      </c>
      <c r="B697" s="3" t="s">
        <v>3882</v>
      </c>
      <c r="C697" s="3" t="s">
        <v>3883</v>
      </c>
      <c r="D697" s="3" t="s">
        <v>3884</v>
      </c>
      <c r="E697" s="3" t="s">
        <v>3885</v>
      </c>
      <c r="F697" s="5" t="str">
        <f t="shared" si="2"/>
        <v>Tyrunt</v>
      </c>
      <c r="G697" s="5" t="str">
        <f t="shared" si="3"/>
        <v>Tyrunt</v>
      </c>
      <c r="H697" s="3" t="s">
        <v>3886</v>
      </c>
      <c r="I697" s="3" t="s">
        <v>3887</v>
      </c>
      <c r="J697" s="5" t="str">
        <f>IFERROR(__xludf.DUMMYFUNCTION("GOOGLETRANSLATE(I697,""zh_HANT"",""zh_HANS"")"),"宝宝暴龙")</f>
        <v>宝宝暴龙</v>
      </c>
    </row>
    <row r="698">
      <c r="A698" s="3" t="str">
        <f t="shared" si="138"/>
        <v>NAME_PkMn_TYRANTRUM</v>
      </c>
      <c r="B698" s="3" t="s">
        <v>3888</v>
      </c>
      <c r="C698" s="3" t="s">
        <v>3889</v>
      </c>
      <c r="D698" s="3" t="s">
        <v>3890</v>
      </c>
      <c r="E698" s="3" t="s">
        <v>3891</v>
      </c>
      <c r="F698" s="5" t="str">
        <f t="shared" si="2"/>
        <v>Tyrantrum</v>
      </c>
      <c r="G698" s="5" t="str">
        <f t="shared" si="3"/>
        <v>Tyrantrum</v>
      </c>
      <c r="H698" s="3" t="s">
        <v>3892</v>
      </c>
      <c r="I698" s="3" t="s">
        <v>3893</v>
      </c>
      <c r="J698" s="5" t="str">
        <f>IFERROR(__xludf.DUMMYFUNCTION("GOOGLETRANSLATE(I698,""zh_HANT"",""zh_HANS"")"),"怪颚龙")</f>
        <v>怪颚龙</v>
      </c>
    </row>
    <row r="699">
      <c r="A699" s="3" t="str">
        <f t="shared" si="138"/>
        <v>NAME_PkMn_AMAURA</v>
      </c>
      <c r="B699" s="3" t="s">
        <v>3894</v>
      </c>
      <c r="C699" s="3" t="s">
        <v>3895</v>
      </c>
      <c r="D699" s="3" t="s">
        <v>3896</v>
      </c>
      <c r="E699" s="3" t="s">
        <v>3897</v>
      </c>
      <c r="F699" s="5" t="str">
        <f t="shared" si="2"/>
        <v>Amaura</v>
      </c>
      <c r="G699" s="5" t="str">
        <f t="shared" si="3"/>
        <v>Amaura</v>
      </c>
      <c r="H699" s="3" t="s">
        <v>3898</v>
      </c>
      <c r="I699" s="3" t="s">
        <v>3899</v>
      </c>
      <c r="J699" s="5" t="str">
        <f>IFERROR(__xludf.DUMMYFUNCTION("GOOGLETRANSLATE(I699,""zh_HANT"",""zh_HANS"")"),"冰雪龙")</f>
        <v>冰雪龙</v>
      </c>
    </row>
    <row r="700">
      <c r="A700" s="3" t="str">
        <f t="shared" si="138"/>
        <v>NAME_PkMn_AURORUS</v>
      </c>
      <c r="B700" s="3" t="s">
        <v>3900</v>
      </c>
      <c r="C700" s="3" t="s">
        <v>3901</v>
      </c>
      <c r="D700" s="3" t="s">
        <v>3902</v>
      </c>
      <c r="E700" s="3" t="s">
        <v>3903</v>
      </c>
      <c r="F700" s="5" t="str">
        <f t="shared" si="2"/>
        <v>Aurorus</v>
      </c>
      <c r="G700" s="5" t="str">
        <f t="shared" si="3"/>
        <v>Aurorus</v>
      </c>
      <c r="H700" s="3" t="s">
        <v>3904</v>
      </c>
      <c r="I700" s="3" t="s">
        <v>3905</v>
      </c>
      <c r="J700" s="5" t="str">
        <f>IFERROR(__xludf.DUMMYFUNCTION("GOOGLETRANSLATE(I700,""zh_HANT"",""zh_HANS"")"),"冰雪巨龙")</f>
        <v>冰雪巨龙</v>
      </c>
    </row>
    <row r="701">
      <c r="A701" s="3" t="str">
        <f t="shared" si="138"/>
        <v>NAME_PkMn_SYLVEON</v>
      </c>
      <c r="B701" s="3" t="s">
        <v>3906</v>
      </c>
      <c r="C701" s="3" t="s">
        <v>3907</v>
      </c>
      <c r="D701" s="3" t="s">
        <v>3908</v>
      </c>
      <c r="E701" s="3" t="s">
        <v>3909</v>
      </c>
      <c r="F701" s="5" t="str">
        <f t="shared" si="2"/>
        <v>Sylveon</v>
      </c>
      <c r="G701" s="5" t="str">
        <f t="shared" si="3"/>
        <v>Sylveon</v>
      </c>
      <c r="H701" s="3" t="s">
        <v>3910</v>
      </c>
      <c r="I701" s="3" t="s">
        <v>3911</v>
      </c>
      <c r="J701" s="5" t="str">
        <f>I701</f>
        <v>仙子伊布</v>
      </c>
    </row>
    <row r="702">
      <c r="A702" s="3" t="str">
        <f t="shared" si="138"/>
        <v>NAME_PkMn_HAWLUCHA</v>
      </c>
      <c r="B702" s="3" t="s">
        <v>3912</v>
      </c>
      <c r="C702" s="3" t="s">
        <v>3913</v>
      </c>
      <c r="D702" s="3" t="s">
        <v>3914</v>
      </c>
      <c r="E702" s="3" t="s">
        <v>3915</v>
      </c>
      <c r="F702" s="5" t="str">
        <f t="shared" si="2"/>
        <v>Hawlucha</v>
      </c>
      <c r="G702" s="5" t="str">
        <f t="shared" si="3"/>
        <v>Hawlucha</v>
      </c>
      <c r="H702" s="3" t="s">
        <v>3916</v>
      </c>
      <c r="I702" s="3" t="s">
        <v>3917</v>
      </c>
      <c r="J702" s="5" t="str">
        <f>IFERROR(__xludf.DUMMYFUNCTION("GOOGLETRANSLATE(I702,""zh_HANT"",""zh_HANS"")"),"摔角鹰人")</f>
        <v>摔角鹰人</v>
      </c>
    </row>
    <row r="703">
      <c r="A703" s="3" t="str">
        <f t="shared" si="138"/>
        <v>NAME_PkMn_DEDENNE</v>
      </c>
      <c r="B703" s="3" t="s">
        <v>3918</v>
      </c>
      <c r="C703" s="3" t="s">
        <v>3919</v>
      </c>
      <c r="D703" s="3" t="s">
        <v>3920</v>
      </c>
      <c r="E703" s="5" t="str">
        <f>B703</f>
        <v>Dedenne</v>
      </c>
      <c r="F703" s="5" t="str">
        <f t="shared" si="2"/>
        <v>Dedenne</v>
      </c>
      <c r="G703" s="5" t="str">
        <f t="shared" si="3"/>
        <v>Dedenne</v>
      </c>
      <c r="H703" s="3" t="s">
        <v>3921</v>
      </c>
      <c r="I703" s="3" t="s">
        <v>3922</v>
      </c>
      <c r="J703" s="5" t="str">
        <f>I703</f>
        <v>咚咚鼠</v>
      </c>
    </row>
    <row r="704">
      <c r="A704" s="3" t="str">
        <f t="shared" si="138"/>
        <v>NAME_PkMn_CARBINK</v>
      </c>
      <c r="B704" s="3" t="s">
        <v>3923</v>
      </c>
      <c r="C704" s="3" t="s">
        <v>3924</v>
      </c>
      <c r="D704" s="3" t="s">
        <v>3925</v>
      </c>
      <c r="E704" s="3" t="s">
        <v>3926</v>
      </c>
      <c r="F704" s="5" t="str">
        <f t="shared" si="2"/>
        <v>Carbink</v>
      </c>
      <c r="G704" s="5" t="str">
        <f t="shared" si="3"/>
        <v>Carbink</v>
      </c>
      <c r="H704" s="3" t="s">
        <v>3927</v>
      </c>
      <c r="I704" s="3" t="s">
        <v>3928</v>
      </c>
      <c r="J704" s="5" t="str">
        <f>IFERROR(__xludf.DUMMYFUNCTION("GOOGLETRANSLATE(I704,""zh_HANT"",""zh_HANS"")"),"小碎钻")</f>
        <v>小碎钻</v>
      </c>
    </row>
    <row r="705">
      <c r="A705" s="3" t="str">
        <f t="shared" si="138"/>
        <v>NAME_PkMn_GOOMY</v>
      </c>
      <c r="B705" s="3" t="s">
        <v>3929</v>
      </c>
      <c r="C705" s="3" t="s">
        <v>3930</v>
      </c>
      <c r="D705" s="3" t="s">
        <v>3931</v>
      </c>
      <c r="E705" s="3" t="s">
        <v>3932</v>
      </c>
      <c r="F705" s="5" t="str">
        <f t="shared" si="2"/>
        <v>Goomy</v>
      </c>
      <c r="G705" s="5" t="str">
        <f t="shared" si="3"/>
        <v>Goomy</v>
      </c>
      <c r="H705" s="3" t="s">
        <v>3933</v>
      </c>
      <c r="I705" s="3" t="s">
        <v>3934</v>
      </c>
      <c r="J705" s="5" t="str">
        <f>IFERROR(__xludf.DUMMYFUNCTION("GOOGLETRANSLATE(I705,""zh_HANT"",""zh_HANS"")"),"黏黏宝")</f>
        <v>黏黏宝</v>
      </c>
    </row>
    <row r="706">
      <c r="A706" s="3" t="str">
        <f t="shared" si="138"/>
        <v>NAME_PkMn_SLIGGOO</v>
      </c>
      <c r="B706" s="3" t="s">
        <v>3935</v>
      </c>
      <c r="C706" s="3" t="s">
        <v>3936</v>
      </c>
      <c r="D706" s="3" t="s">
        <v>3937</v>
      </c>
      <c r="E706" s="3" t="s">
        <v>3938</v>
      </c>
      <c r="F706" s="5" t="str">
        <f t="shared" si="2"/>
        <v>Sliggoo</v>
      </c>
      <c r="G706" s="5" t="str">
        <f t="shared" si="3"/>
        <v>Sliggoo</v>
      </c>
      <c r="H706" s="3" t="s">
        <v>3939</v>
      </c>
      <c r="I706" s="3" t="s">
        <v>3940</v>
      </c>
      <c r="J706" s="5" t="str">
        <f>IFERROR(__xludf.DUMMYFUNCTION("GOOGLETRANSLATE(I706,""zh_HANT"",""zh_HANS"")"),"黏美儿")</f>
        <v>黏美儿</v>
      </c>
    </row>
    <row r="707">
      <c r="A707" s="3" t="str">
        <f t="shared" si="138"/>
        <v>NAME_PkMn_GOODRA</v>
      </c>
      <c r="B707" s="3" t="s">
        <v>3941</v>
      </c>
      <c r="C707" s="3" t="s">
        <v>3942</v>
      </c>
      <c r="D707" s="3" t="s">
        <v>3943</v>
      </c>
      <c r="E707" s="3" t="s">
        <v>3944</v>
      </c>
      <c r="F707" s="5" t="str">
        <f t="shared" si="2"/>
        <v>Goodra</v>
      </c>
      <c r="G707" s="5" t="str">
        <f t="shared" si="3"/>
        <v>Goodra</v>
      </c>
      <c r="H707" s="3" t="s">
        <v>3945</v>
      </c>
      <c r="I707" s="3" t="s">
        <v>3946</v>
      </c>
      <c r="J707" s="5" t="str">
        <f>IFERROR(__xludf.DUMMYFUNCTION("GOOGLETRANSLATE(I707,""zh_HANT"",""zh_HANS"")"),"黏美龙")</f>
        <v>黏美龙</v>
      </c>
    </row>
    <row r="708">
      <c r="A708" s="3" t="str">
        <f t="shared" si="138"/>
        <v>NAME_PkMn_KLEFKI</v>
      </c>
      <c r="B708" s="3" t="s">
        <v>3947</v>
      </c>
      <c r="C708" s="3" t="s">
        <v>3948</v>
      </c>
      <c r="D708" s="3" t="s">
        <v>3949</v>
      </c>
      <c r="E708" s="3" t="s">
        <v>3950</v>
      </c>
      <c r="F708" s="5" t="str">
        <f t="shared" si="2"/>
        <v>Klefki</v>
      </c>
      <c r="G708" s="5" t="str">
        <f t="shared" si="3"/>
        <v>Klefki</v>
      </c>
      <c r="H708" s="3" t="s">
        <v>3951</v>
      </c>
      <c r="I708" s="3" t="s">
        <v>3952</v>
      </c>
      <c r="J708" s="5" t="str">
        <f>IFERROR(__xludf.DUMMYFUNCTION("GOOGLETRANSLATE(I708,""zh_HANT"",""zh_HANS"")"),"钥圈儿")</f>
        <v>钥圈儿</v>
      </c>
    </row>
    <row r="709">
      <c r="A709" s="3" t="str">
        <f t="shared" si="138"/>
        <v>NAME_PkMn_PHANTUMP</v>
      </c>
      <c r="B709" s="3" t="s">
        <v>3953</v>
      </c>
      <c r="C709" s="3" t="s">
        <v>3954</v>
      </c>
      <c r="D709" s="3" t="s">
        <v>3955</v>
      </c>
      <c r="E709" s="3" t="s">
        <v>3956</v>
      </c>
      <c r="F709" s="5" t="str">
        <f t="shared" si="2"/>
        <v>Phantump</v>
      </c>
      <c r="G709" s="5" t="str">
        <f t="shared" si="3"/>
        <v>Phantump</v>
      </c>
      <c r="H709" s="3" t="s">
        <v>3957</v>
      </c>
      <c r="I709" s="3" t="s">
        <v>3958</v>
      </c>
      <c r="J709" s="5" t="str">
        <f>IFERROR(__xludf.DUMMYFUNCTION("GOOGLETRANSLATE(I709,""zh_HANT"",""zh_HANS"")"),"小木灵")</f>
        <v>小木灵</v>
      </c>
    </row>
    <row r="710">
      <c r="A710" s="3" t="str">
        <f t="shared" si="138"/>
        <v>NAME_PkMn_TREVENANT</v>
      </c>
      <c r="B710" s="3" t="s">
        <v>3959</v>
      </c>
      <c r="C710" s="3" t="s">
        <v>3960</v>
      </c>
      <c r="D710" s="3" t="s">
        <v>3961</v>
      </c>
      <c r="E710" s="3" t="s">
        <v>3962</v>
      </c>
      <c r="F710" s="5" t="str">
        <f t="shared" si="2"/>
        <v>Trevenant</v>
      </c>
      <c r="G710" s="5" t="str">
        <f t="shared" si="3"/>
        <v>Trevenant</v>
      </c>
      <c r="H710" s="3" t="s">
        <v>3963</v>
      </c>
      <c r="I710" s="3" t="s">
        <v>3964</v>
      </c>
      <c r="J710" s="5" t="str">
        <f t="shared" ref="J710:J712" si="141">I710</f>
        <v>朽木妖</v>
      </c>
    </row>
    <row r="711">
      <c r="A711" s="3" t="str">
        <f t="shared" si="138"/>
        <v>NAME_PkMn_PUMPKABOO</v>
      </c>
      <c r="B711" s="3" t="s">
        <v>3965</v>
      </c>
      <c r="C711" s="3" t="s">
        <v>3966</v>
      </c>
      <c r="D711" s="3" t="s">
        <v>3967</v>
      </c>
      <c r="E711" s="3" t="s">
        <v>3968</v>
      </c>
      <c r="F711" s="5" t="str">
        <f t="shared" si="2"/>
        <v>Pumpkaboo</v>
      </c>
      <c r="G711" s="5" t="str">
        <f t="shared" si="3"/>
        <v>Pumpkaboo</v>
      </c>
      <c r="H711" s="3" t="s">
        <v>3969</v>
      </c>
      <c r="I711" s="3" t="s">
        <v>3970</v>
      </c>
      <c r="J711" s="5" t="str">
        <f t="shared" si="141"/>
        <v>南瓜精</v>
      </c>
    </row>
    <row r="712">
      <c r="A712" s="3" t="str">
        <f t="shared" si="138"/>
        <v>NAME_PkMn_GOURGEIST</v>
      </c>
      <c r="B712" s="3" t="s">
        <v>3971</v>
      </c>
      <c r="C712" s="3" t="s">
        <v>3972</v>
      </c>
      <c r="D712" s="3" t="s">
        <v>3973</v>
      </c>
      <c r="E712" s="3" t="s">
        <v>3974</v>
      </c>
      <c r="F712" s="5" t="str">
        <f t="shared" si="2"/>
        <v>Gourgeist</v>
      </c>
      <c r="G712" s="5" t="str">
        <f t="shared" si="3"/>
        <v>Gourgeist</v>
      </c>
      <c r="H712" s="3" t="s">
        <v>3975</v>
      </c>
      <c r="I712" s="3" t="s">
        <v>3976</v>
      </c>
      <c r="J712" s="5" t="str">
        <f t="shared" si="141"/>
        <v>南瓜怪人</v>
      </c>
    </row>
    <row r="713">
      <c r="A713" s="3" t="str">
        <f t="shared" si="138"/>
        <v>NAME_PkMn_BERGMITE</v>
      </c>
      <c r="B713" s="3" t="s">
        <v>3977</v>
      </c>
      <c r="C713" s="3" t="s">
        <v>3978</v>
      </c>
      <c r="D713" s="3" t="s">
        <v>3979</v>
      </c>
      <c r="E713" s="3" t="s">
        <v>3980</v>
      </c>
      <c r="F713" s="5" t="str">
        <f t="shared" si="2"/>
        <v>Bergmite</v>
      </c>
      <c r="G713" s="5" t="str">
        <f t="shared" si="3"/>
        <v>Bergmite</v>
      </c>
      <c r="H713" s="3" t="s">
        <v>3981</v>
      </c>
      <c r="I713" s="3" t="s">
        <v>3982</v>
      </c>
      <c r="J713" s="5" t="str">
        <f>IFERROR(__xludf.DUMMYFUNCTION("GOOGLETRANSLATE(I713,""zh_HANT"",""zh_HANS"")"),"冰宝")</f>
        <v>冰宝</v>
      </c>
    </row>
    <row r="714">
      <c r="A714" s="3" t="str">
        <f t="shared" si="138"/>
        <v>NAME_PkMn_AVALUGG</v>
      </c>
      <c r="B714" s="3" t="s">
        <v>3983</v>
      </c>
      <c r="C714" s="3" t="s">
        <v>3984</v>
      </c>
      <c r="D714" s="3" t="s">
        <v>3985</v>
      </c>
      <c r="E714" s="3" t="s">
        <v>3986</v>
      </c>
      <c r="F714" s="5" t="str">
        <f t="shared" si="2"/>
        <v>Avalugg</v>
      </c>
      <c r="G714" s="5" t="str">
        <f t="shared" si="3"/>
        <v>Avalugg</v>
      </c>
      <c r="H714" s="3" t="s">
        <v>3987</v>
      </c>
      <c r="I714" s="3" t="s">
        <v>3988</v>
      </c>
      <c r="J714" s="5" t="str">
        <f t="shared" ref="J714:J715" si="142">I714</f>
        <v>冰岩怪</v>
      </c>
    </row>
    <row r="715">
      <c r="A715" s="3" t="str">
        <f t="shared" si="138"/>
        <v>NAME_PkMn_NOIBAT</v>
      </c>
      <c r="B715" s="3" t="s">
        <v>3989</v>
      </c>
      <c r="C715" s="3" t="s">
        <v>3990</v>
      </c>
      <c r="D715" s="3" t="s">
        <v>3991</v>
      </c>
      <c r="E715" s="3" t="s">
        <v>3992</v>
      </c>
      <c r="F715" s="5" t="str">
        <f t="shared" si="2"/>
        <v>Noibat</v>
      </c>
      <c r="G715" s="5" t="str">
        <f t="shared" si="3"/>
        <v>Noibat</v>
      </c>
      <c r="H715" s="3" t="s">
        <v>3993</v>
      </c>
      <c r="I715" s="3" t="s">
        <v>3994</v>
      </c>
      <c r="J715" s="5" t="str">
        <f t="shared" si="142"/>
        <v>嗡蝠</v>
      </c>
    </row>
    <row r="716">
      <c r="A716" s="3" t="str">
        <f t="shared" si="138"/>
        <v>NAME_PkMn_NOIVERN</v>
      </c>
      <c r="B716" s="3" t="s">
        <v>3995</v>
      </c>
      <c r="C716" s="3" t="s">
        <v>3996</v>
      </c>
      <c r="D716" s="3" t="s">
        <v>3997</v>
      </c>
      <c r="E716" s="3" t="s">
        <v>3998</v>
      </c>
      <c r="F716" s="5" t="str">
        <f t="shared" si="2"/>
        <v>Noivern</v>
      </c>
      <c r="G716" s="5" t="str">
        <f t="shared" si="3"/>
        <v>Noivern</v>
      </c>
      <c r="H716" s="3" t="s">
        <v>3999</v>
      </c>
      <c r="I716" s="3" t="s">
        <v>4000</v>
      </c>
      <c r="J716" s="5" t="str">
        <f>IFERROR(__xludf.DUMMYFUNCTION("GOOGLETRANSLATE(I716,""zh_HANT"",""zh_HANS"")"),"音波龙")</f>
        <v>音波龙</v>
      </c>
    </row>
    <row r="717">
      <c r="A717" s="3" t="str">
        <f t="shared" si="138"/>
        <v>NAME_PkMn_XERNEAS</v>
      </c>
      <c r="B717" s="3" t="s">
        <v>4001</v>
      </c>
      <c r="C717" s="3" t="s">
        <v>4002</v>
      </c>
      <c r="D717" s="5" t="str">
        <f t="shared" ref="D717:D722" si="143">B717</f>
        <v>Xerneas</v>
      </c>
      <c r="E717" s="5" t="str">
        <f t="shared" ref="E717:E722" si="144">B717</f>
        <v>Xerneas</v>
      </c>
      <c r="F717" s="5" t="str">
        <f t="shared" si="2"/>
        <v>Xerneas</v>
      </c>
      <c r="G717" s="5" t="str">
        <f t="shared" si="3"/>
        <v>Xerneas</v>
      </c>
      <c r="H717" s="3" t="s">
        <v>4003</v>
      </c>
      <c r="I717" s="3" t="s">
        <v>4004</v>
      </c>
      <c r="J717" s="5" t="str">
        <f>IFERROR(__xludf.DUMMYFUNCTION("GOOGLETRANSLATE(I717,""zh_HANT"",""zh_HANS"")"),"哲尔尼亚斯")</f>
        <v>哲尔尼亚斯</v>
      </c>
    </row>
    <row r="718">
      <c r="A718" s="3" t="str">
        <f t="shared" si="138"/>
        <v>NAME_PkMn_YVELTAL</v>
      </c>
      <c r="B718" s="3" t="s">
        <v>4005</v>
      </c>
      <c r="C718" s="3" t="s">
        <v>4006</v>
      </c>
      <c r="D718" s="5" t="str">
        <f t="shared" si="143"/>
        <v>Yveltal</v>
      </c>
      <c r="E718" s="5" t="str">
        <f t="shared" si="144"/>
        <v>Yveltal</v>
      </c>
      <c r="F718" s="5" t="str">
        <f t="shared" si="2"/>
        <v>Yveltal</v>
      </c>
      <c r="G718" s="5" t="str">
        <f t="shared" si="3"/>
        <v>Yveltal</v>
      </c>
      <c r="H718" s="3" t="s">
        <v>4007</v>
      </c>
      <c r="I718" s="3" t="s">
        <v>4008</v>
      </c>
      <c r="J718" s="5" t="str">
        <f>IFERROR(__xludf.DUMMYFUNCTION("GOOGLETRANSLATE(I718,""zh_HANT"",""zh_HANS"")"),"伊裴尔塔尔")</f>
        <v>伊裴尔塔尔</v>
      </c>
    </row>
    <row r="719">
      <c r="A719" s="3" t="str">
        <f t="shared" si="138"/>
        <v>NAME_PkMn_ZYGARDE</v>
      </c>
      <c r="B719" s="3" t="s">
        <v>4009</v>
      </c>
      <c r="C719" s="3" t="s">
        <v>4010</v>
      </c>
      <c r="D719" s="5" t="str">
        <f t="shared" si="143"/>
        <v>Zygarde</v>
      </c>
      <c r="E719" s="5" t="str">
        <f t="shared" si="144"/>
        <v>Zygarde</v>
      </c>
      <c r="F719" s="5" t="str">
        <f t="shared" si="2"/>
        <v>Zygarde</v>
      </c>
      <c r="G719" s="5" t="str">
        <f t="shared" si="3"/>
        <v>Zygarde</v>
      </c>
      <c r="H719" s="3" t="s">
        <v>4011</v>
      </c>
      <c r="I719" s="3" t="s">
        <v>4008</v>
      </c>
      <c r="J719" s="5" t="str">
        <f>IFERROR(__xludf.DUMMYFUNCTION("GOOGLETRANSLATE(I719,""zh_HANT"",""zh_HANS"")"),"伊裴尔塔尔")</f>
        <v>伊裴尔塔尔</v>
      </c>
    </row>
    <row r="720">
      <c r="A720" s="3" t="str">
        <f t="shared" si="138"/>
        <v>NAME_PkMn_DIANCIE</v>
      </c>
      <c r="B720" s="3" t="s">
        <v>4012</v>
      </c>
      <c r="C720" s="3" t="s">
        <v>4013</v>
      </c>
      <c r="D720" s="5" t="str">
        <f t="shared" si="143"/>
        <v>Diancie</v>
      </c>
      <c r="E720" s="5" t="str">
        <f t="shared" si="144"/>
        <v>Diancie</v>
      </c>
      <c r="F720" s="5" t="str">
        <f t="shared" si="2"/>
        <v>Diancie</v>
      </c>
      <c r="G720" s="5" t="str">
        <f t="shared" si="3"/>
        <v>Diancie</v>
      </c>
      <c r="H720" s="3" t="s">
        <v>4014</v>
      </c>
      <c r="I720" s="5" t="str">
        <f>J720</f>
        <v>蒂安希</v>
      </c>
      <c r="J720" s="3" t="s">
        <v>4015</v>
      </c>
    </row>
    <row r="721">
      <c r="A721" s="3" t="str">
        <f t="shared" si="138"/>
        <v>NAME_PkMn_HOOPA</v>
      </c>
      <c r="B721" s="3" t="s">
        <v>4016</v>
      </c>
      <c r="C721" s="3" t="s">
        <v>4017</v>
      </c>
      <c r="D721" s="5" t="str">
        <f t="shared" si="143"/>
        <v>Hoopa</v>
      </c>
      <c r="E721" s="5" t="str">
        <f t="shared" si="144"/>
        <v>Hoopa</v>
      </c>
      <c r="F721" s="5" t="str">
        <f t="shared" si="2"/>
        <v>Hoopa</v>
      </c>
      <c r="G721" s="5" t="str">
        <f t="shared" si="3"/>
        <v>Hoopa</v>
      </c>
      <c r="H721" s="3" t="s">
        <v>4018</v>
      </c>
      <c r="I721" s="3" t="s">
        <v>4019</v>
      </c>
      <c r="J721" s="5" t="str">
        <f>I721</f>
        <v>胡帕</v>
      </c>
    </row>
    <row r="722">
      <c r="A722" s="3" t="str">
        <f t="shared" si="138"/>
        <v>NAME_PkMn_VOLCANION</v>
      </c>
      <c r="B722" s="3" t="s">
        <v>4020</v>
      </c>
      <c r="C722" s="3" t="s">
        <v>4021</v>
      </c>
      <c r="D722" s="5" t="str">
        <f t="shared" si="143"/>
        <v>Volcanion</v>
      </c>
      <c r="E722" s="5" t="str">
        <f t="shared" si="144"/>
        <v>Volcanion</v>
      </c>
      <c r="F722" s="5" t="str">
        <f t="shared" si="2"/>
        <v>Volcanion</v>
      </c>
      <c r="G722" s="5" t="str">
        <f t="shared" si="3"/>
        <v>Volcanion</v>
      </c>
      <c r="H722" s="3" t="s">
        <v>4022</v>
      </c>
      <c r="I722" s="3" t="s">
        <v>4023</v>
      </c>
      <c r="J722" s="5" t="str">
        <f>IFERROR(__xludf.DUMMYFUNCTION("GOOGLETRANSLATE(I722,""zh_HANT"",""zh_HANS"")"),"波尔凯尼恩")</f>
        <v>波尔凯尼恩</v>
      </c>
    </row>
    <row r="723">
      <c r="A723" s="3" t="str">
        <f t="shared" si="138"/>
        <v>NAME_PkMn_ROWLET</v>
      </c>
      <c r="B723" s="3" t="s">
        <v>4024</v>
      </c>
      <c r="C723" s="3" t="s">
        <v>4025</v>
      </c>
      <c r="D723" s="3" t="s">
        <v>4026</v>
      </c>
      <c r="E723" s="3" t="s">
        <v>4027</v>
      </c>
      <c r="F723" s="5" t="str">
        <f t="shared" si="2"/>
        <v>Rowlet</v>
      </c>
      <c r="G723" s="5" t="str">
        <f t="shared" si="3"/>
        <v>Rowlet</v>
      </c>
      <c r="H723" s="3" t="s">
        <v>4028</v>
      </c>
      <c r="I723" s="3" t="s">
        <v>4029</v>
      </c>
      <c r="J723" s="5" t="str">
        <f>IFERROR(__xludf.DUMMYFUNCTION("GOOGLETRANSLATE(I723,""zh_HANT"",""zh_HANS"")"),"木木枭")</f>
        <v>木木枭</v>
      </c>
    </row>
    <row r="724">
      <c r="A724" s="3" t="str">
        <f t="shared" si="138"/>
        <v>NAME_PkMn_DARTRIX</v>
      </c>
      <c r="B724" s="3" t="s">
        <v>4030</v>
      </c>
      <c r="C724" s="3" t="s">
        <v>4031</v>
      </c>
      <c r="D724" s="3" t="s">
        <v>4032</v>
      </c>
      <c r="E724" s="3" t="s">
        <v>4033</v>
      </c>
      <c r="F724" s="5" t="str">
        <f t="shared" si="2"/>
        <v>Dartrix</v>
      </c>
      <c r="G724" s="5" t="str">
        <f t="shared" si="3"/>
        <v>Dartrix</v>
      </c>
      <c r="H724" s="3" t="s">
        <v>4034</v>
      </c>
      <c r="I724" s="3" t="s">
        <v>4035</v>
      </c>
      <c r="J724" s="5" t="str">
        <f>IFERROR(__xludf.DUMMYFUNCTION("GOOGLETRANSLATE(I724,""zh_HANT"",""zh_HANS"")"),"投羽枭")</f>
        <v>投羽枭</v>
      </c>
    </row>
    <row r="725">
      <c r="A725" s="3" t="str">
        <f t="shared" si="138"/>
        <v>NAME_PkMn_DECIDUEYE</v>
      </c>
      <c r="B725" s="3" t="s">
        <v>4036</v>
      </c>
      <c r="C725" s="3" t="s">
        <v>4037</v>
      </c>
      <c r="D725" s="3" t="s">
        <v>4038</v>
      </c>
      <c r="E725" s="3" t="s">
        <v>4039</v>
      </c>
      <c r="F725" s="5" t="str">
        <f t="shared" si="2"/>
        <v>Decidueye</v>
      </c>
      <c r="G725" s="5" t="str">
        <f t="shared" si="3"/>
        <v>Decidueye</v>
      </c>
      <c r="H725" s="3" t="s">
        <v>4040</v>
      </c>
      <c r="I725" s="5" t="str">
        <f>IFERROR(__xludf.DUMMYFUNCTION("GOOGLETRANSLATE(J725,""zh_HANS"",""zh_HANT"")"),"狙射樹梟")</f>
        <v>狙射樹梟</v>
      </c>
      <c r="J725" s="3" t="s">
        <v>4041</v>
      </c>
    </row>
    <row r="726">
      <c r="A726" s="3" t="str">
        <f t="shared" si="138"/>
        <v>NAME_PkMn_LITTEN</v>
      </c>
      <c r="B726" s="3" t="s">
        <v>4042</v>
      </c>
      <c r="C726" s="3" t="s">
        <v>4043</v>
      </c>
      <c r="D726" s="3" t="s">
        <v>4044</v>
      </c>
      <c r="E726" s="3" t="s">
        <v>4045</v>
      </c>
      <c r="F726" s="5" t="str">
        <f t="shared" si="2"/>
        <v>Litten</v>
      </c>
      <c r="G726" s="5" t="str">
        <f t="shared" si="3"/>
        <v>Litten</v>
      </c>
      <c r="H726" s="3" t="s">
        <v>4046</v>
      </c>
      <c r="I726" s="3" t="s">
        <v>4047</v>
      </c>
      <c r="J726" s="5" t="str">
        <f>I726</f>
        <v>火斑喵</v>
      </c>
    </row>
    <row r="727">
      <c r="A727" s="3" t="str">
        <f t="shared" si="138"/>
        <v>NAME_PkMn_TORRACAT</v>
      </c>
      <c r="B727" s="3" t="s">
        <v>4048</v>
      </c>
      <c r="C727" s="3" t="s">
        <v>4049</v>
      </c>
      <c r="D727" s="3" t="s">
        <v>4050</v>
      </c>
      <c r="E727" s="3" t="s">
        <v>4051</v>
      </c>
      <c r="F727" s="5" t="str">
        <f t="shared" si="2"/>
        <v>Torracat</v>
      </c>
      <c r="G727" s="5" t="str">
        <f t="shared" si="3"/>
        <v>Torracat</v>
      </c>
      <c r="H727" s="6" t="s">
        <v>4052</v>
      </c>
      <c r="I727" s="3" t="s">
        <v>4053</v>
      </c>
      <c r="J727" s="5" t="str">
        <f>IFERROR(__xludf.DUMMYFUNCTION("GOOGLETRANSLATE(I727,""zh_HANT"",""zh_HANS"")"),"炎热喵")</f>
        <v>炎热喵</v>
      </c>
    </row>
    <row r="728">
      <c r="A728" s="3" t="str">
        <f t="shared" si="138"/>
        <v>NAME_PkMn_INCINEROAR</v>
      </c>
      <c r="B728" s="3" t="s">
        <v>4054</v>
      </c>
      <c r="C728" s="3" t="s">
        <v>4055</v>
      </c>
      <c r="D728" s="3" t="s">
        <v>4056</v>
      </c>
      <c r="E728" s="3" t="s">
        <v>4057</v>
      </c>
      <c r="F728" s="5" t="str">
        <f t="shared" si="2"/>
        <v>Incineroar</v>
      </c>
      <c r="G728" s="5" t="str">
        <f t="shared" si="3"/>
        <v>Incineroar</v>
      </c>
      <c r="H728" s="3" t="s">
        <v>4058</v>
      </c>
      <c r="I728" s="5" t="str">
        <f>IFERROR(__xludf.DUMMYFUNCTION("GOOGLETRANSLATE(J728,""zh_HANS"",""zh_HANT"")"),"熾焰咆哮虎")</f>
        <v>熾焰咆哮虎</v>
      </c>
      <c r="J728" s="3" t="s">
        <v>4059</v>
      </c>
    </row>
    <row r="729">
      <c r="A729" s="3" t="str">
        <f t="shared" si="138"/>
        <v>NAME_PkMn_POPPLIO</v>
      </c>
      <c r="B729" s="3" t="s">
        <v>4060</v>
      </c>
      <c r="C729" s="3" t="s">
        <v>4061</v>
      </c>
      <c r="D729" s="3" t="s">
        <v>4062</v>
      </c>
      <c r="E729" s="3" t="s">
        <v>4063</v>
      </c>
      <c r="F729" s="5" t="str">
        <f t="shared" si="2"/>
        <v>Popplio</v>
      </c>
      <c r="G729" s="5" t="str">
        <f t="shared" si="3"/>
        <v>Popplio</v>
      </c>
      <c r="H729" s="3" t="s">
        <v>4064</v>
      </c>
      <c r="I729" s="3" t="s">
        <v>4065</v>
      </c>
      <c r="J729" s="5" t="str">
        <f>IFERROR(__xludf.DUMMYFUNCTION("GOOGLETRANSLATE(I729,""zh_HANT"",""zh_HANS"")"),"球球海狮")</f>
        <v>球球海狮</v>
      </c>
    </row>
    <row r="730">
      <c r="A730" s="3" t="str">
        <f t="shared" si="138"/>
        <v>NAME_PkMn_BRIONNE</v>
      </c>
      <c r="B730" s="3" t="s">
        <v>4066</v>
      </c>
      <c r="C730" s="3" t="s">
        <v>4067</v>
      </c>
      <c r="D730" s="3" t="s">
        <v>4068</v>
      </c>
      <c r="E730" s="3" t="s">
        <v>4069</v>
      </c>
      <c r="F730" s="5" t="str">
        <f t="shared" si="2"/>
        <v>Brionne</v>
      </c>
      <c r="G730" s="5" t="str">
        <f t="shared" si="3"/>
        <v>Brionne</v>
      </c>
      <c r="H730" s="3" t="s">
        <v>4070</v>
      </c>
      <c r="I730" s="3" t="s">
        <v>4071</v>
      </c>
      <c r="J730" s="5" t="str">
        <f>IFERROR(__xludf.DUMMYFUNCTION("GOOGLETRANSLATE(I730,""zh_HANT"",""zh_HANS"")"),"花漾海狮")</f>
        <v>花漾海狮</v>
      </c>
    </row>
    <row r="731">
      <c r="A731" s="3" t="str">
        <f t="shared" si="138"/>
        <v>NAME_PkMn_PRIMARINA</v>
      </c>
      <c r="B731" s="3" t="s">
        <v>4072</v>
      </c>
      <c r="C731" s="3" t="s">
        <v>4073</v>
      </c>
      <c r="D731" s="3" t="s">
        <v>4074</v>
      </c>
      <c r="E731" s="3" t="s">
        <v>4075</v>
      </c>
      <c r="F731" s="5" t="str">
        <f t="shared" si="2"/>
        <v>Primarina</v>
      </c>
      <c r="G731" s="5" t="str">
        <f t="shared" si="3"/>
        <v>Primarina</v>
      </c>
      <c r="H731" s="3" t="s">
        <v>4076</v>
      </c>
      <c r="I731" s="5" t="str">
        <f>IFERROR(__xludf.DUMMYFUNCTION("GOOGLETRANSLATE(J731,""zh_HANS"",""zh_HANT"")"),"西獅海壬")</f>
        <v>西獅海壬</v>
      </c>
      <c r="J731" s="3" t="s">
        <v>4077</v>
      </c>
    </row>
    <row r="732">
      <c r="A732" s="3" t="str">
        <f t="shared" si="138"/>
        <v>NAME_PkMn_PIKIPEK</v>
      </c>
      <c r="B732" s="3" t="s">
        <v>4078</v>
      </c>
      <c r="C732" s="3" t="s">
        <v>4079</v>
      </c>
      <c r="D732" s="3" t="s">
        <v>4080</v>
      </c>
      <c r="E732" s="3" t="s">
        <v>4081</v>
      </c>
      <c r="F732" s="5" t="str">
        <f t="shared" si="2"/>
        <v>Pikipek</v>
      </c>
      <c r="G732" s="5" t="str">
        <f t="shared" si="3"/>
        <v>Pikipek</v>
      </c>
      <c r="H732" s="3" t="s">
        <v>4082</v>
      </c>
      <c r="I732" s="3" t="s">
        <v>4083</v>
      </c>
      <c r="J732" s="5" t="str">
        <f>IFERROR(__xludf.DUMMYFUNCTION("GOOGLETRANSLATE(I732,""zh_HANT"",""zh_HANS"")"),"小笃儿")</f>
        <v>小笃儿</v>
      </c>
    </row>
    <row r="733">
      <c r="A733" s="3" t="str">
        <f t="shared" si="138"/>
        <v>NAME_PkMn_TRUMBEAK</v>
      </c>
      <c r="B733" s="3" t="s">
        <v>4084</v>
      </c>
      <c r="C733" s="3" t="s">
        <v>4085</v>
      </c>
      <c r="D733" s="3" t="s">
        <v>4086</v>
      </c>
      <c r="E733" s="3" t="s">
        <v>4087</v>
      </c>
      <c r="F733" s="5" t="str">
        <f t="shared" si="2"/>
        <v>Trumbeak</v>
      </c>
      <c r="G733" s="5" t="str">
        <f t="shared" si="3"/>
        <v>Trumbeak</v>
      </c>
      <c r="H733" s="3" t="s">
        <v>4088</v>
      </c>
      <c r="I733" s="3" t="s">
        <v>4089</v>
      </c>
      <c r="J733" s="5" t="str">
        <f>IFERROR(__xludf.DUMMYFUNCTION("GOOGLETRANSLATE(I733,""zh_HANT"",""zh_HANS"")"),"喇叭啄鸟")</f>
        <v>喇叭啄鸟</v>
      </c>
    </row>
    <row r="734">
      <c r="A734" s="3" t="str">
        <f t="shared" si="138"/>
        <v>NAME_PkMn_TOUCANNON</v>
      </c>
      <c r="B734" s="3" t="s">
        <v>4090</v>
      </c>
      <c r="C734" s="3" t="s">
        <v>4091</v>
      </c>
      <c r="D734" s="3" t="s">
        <v>4092</v>
      </c>
      <c r="E734" s="3" t="s">
        <v>4093</v>
      </c>
      <c r="F734" s="5" t="str">
        <f t="shared" si="2"/>
        <v>Toucannon</v>
      </c>
      <c r="G734" s="5" t="str">
        <f t="shared" si="3"/>
        <v>Toucannon</v>
      </c>
      <c r="H734" s="3" t="s">
        <v>4094</v>
      </c>
      <c r="I734" s="3" t="s">
        <v>4095</v>
      </c>
      <c r="J734" s="5" t="str">
        <f>IFERROR(__xludf.DUMMYFUNCTION("GOOGLETRANSLATE(I734,""zh_HANT"",""zh_HANS"")"),"铳嘴大鸟")</f>
        <v>铳嘴大鸟</v>
      </c>
    </row>
    <row r="735">
      <c r="A735" s="3" t="str">
        <f t="shared" si="138"/>
        <v>NAME_PkMn_YUNGOOS</v>
      </c>
      <c r="B735" s="3" t="s">
        <v>4096</v>
      </c>
      <c r="C735" s="3" t="s">
        <v>4097</v>
      </c>
      <c r="D735" s="3" t="s">
        <v>4098</v>
      </c>
      <c r="E735" s="3" t="s">
        <v>4099</v>
      </c>
      <c r="F735" s="5" t="str">
        <f t="shared" si="2"/>
        <v>Yungoos</v>
      </c>
      <c r="G735" s="5" t="str">
        <f t="shared" si="3"/>
        <v>Yungoos</v>
      </c>
      <c r="H735" s="3" t="s">
        <v>4100</v>
      </c>
      <c r="I735" s="3" t="s">
        <v>4101</v>
      </c>
      <c r="J735" s="5" t="str">
        <f>IFERROR(__xludf.DUMMYFUNCTION("GOOGLETRANSLATE(I735,""zh_HANT"",""zh_HANS"")"),"猫鼬少")</f>
        <v>猫鼬少</v>
      </c>
    </row>
    <row r="736">
      <c r="A736" s="3" t="str">
        <f t="shared" si="138"/>
        <v>NAME_PkMn_GUMCHOOS</v>
      </c>
      <c r="B736" s="3" t="s">
        <v>4102</v>
      </c>
      <c r="C736" s="3" t="s">
        <v>4103</v>
      </c>
      <c r="D736" s="3" t="s">
        <v>4104</v>
      </c>
      <c r="E736" s="3" t="s">
        <v>4105</v>
      </c>
      <c r="F736" s="5" t="str">
        <f t="shared" si="2"/>
        <v>Gumchoos</v>
      </c>
      <c r="G736" s="5" t="str">
        <f t="shared" si="3"/>
        <v>Gumchoos</v>
      </c>
      <c r="H736" s="3" t="s">
        <v>4106</v>
      </c>
      <c r="I736" s="3" t="s">
        <v>4107</v>
      </c>
      <c r="J736" s="5" t="str">
        <f>IFERROR(__xludf.DUMMYFUNCTION("GOOGLETRANSLATE(I736,""zh_HANT"",""zh_HANS"")"),"猫鼬探长")</f>
        <v>猫鼬探长</v>
      </c>
    </row>
    <row r="737">
      <c r="A737" s="3" t="str">
        <f t="shared" si="138"/>
        <v>NAME_PkMn_GRUBBIN</v>
      </c>
      <c r="B737" s="3" t="s">
        <v>4108</v>
      </c>
      <c r="C737" s="3" t="s">
        <v>4109</v>
      </c>
      <c r="D737" s="3" t="s">
        <v>4110</v>
      </c>
      <c r="E737" s="3" t="s">
        <v>4111</v>
      </c>
      <c r="F737" s="5" t="str">
        <f t="shared" si="2"/>
        <v>Grubbin</v>
      </c>
      <c r="G737" s="5" t="str">
        <f t="shared" si="3"/>
        <v>Grubbin</v>
      </c>
      <c r="H737" s="3" t="s">
        <v>4112</v>
      </c>
      <c r="I737" s="3" t="s">
        <v>4113</v>
      </c>
      <c r="J737" s="5" t="str">
        <f>IFERROR(__xludf.DUMMYFUNCTION("GOOGLETRANSLATE(I737,""zh_HANT"",""zh_HANS"")"),"强颚鸡母虫")</f>
        <v>强颚鸡母虫</v>
      </c>
    </row>
    <row r="738">
      <c r="A738" s="3" t="str">
        <f t="shared" si="138"/>
        <v>NAME_PkMn_CHARJABUG</v>
      </c>
      <c r="B738" s="3" t="s">
        <v>4114</v>
      </c>
      <c r="C738" s="3" t="s">
        <v>4115</v>
      </c>
      <c r="D738" s="3" t="s">
        <v>4116</v>
      </c>
      <c r="E738" s="3" t="s">
        <v>4117</v>
      </c>
      <c r="F738" s="5" t="str">
        <f t="shared" si="2"/>
        <v>Charjabug</v>
      </c>
      <c r="G738" s="5" t="str">
        <f t="shared" si="3"/>
        <v>Charjabug</v>
      </c>
      <c r="H738" s="3" t="s">
        <v>4118</v>
      </c>
      <c r="I738" s="3" t="s">
        <v>4119</v>
      </c>
      <c r="J738" s="5" t="str">
        <f>IFERROR(__xludf.DUMMYFUNCTION("GOOGLETRANSLATE(I738,""zh_HANT"",""zh_HANS"")"),"虫电宝")</f>
        <v>虫电宝</v>
      </c>
    </row>
    <row r="739">
      <c r="A739" s="3" t="str">
        <f t="shared" si="138"/>
        <v>NAME_PkMn_VIKAVOLT</v>
      </c>
      <c r="B739" s="3" t="s">
        <v>4120</v>
      </c>
      <c r="C739" s="3" t="s">
        <v>4121</v>
      </c>
      <c r="D739" s="3" t="s">
        <v>4122</v>
      </c>
      <c r="E739" s="3" t="s">
        <v>4123</v>
      </c>
      <c r="F739" s="5" t="str">
        <f t="shared" si="2"/>
        <v>Vikavolt</v>
      </c>
      <c r="G739" s="5" t="str">
        <f t="shared" si="3"/>
        <v>Vikavolt</v>
      </c>
      <c r="H739" s="3" t="s">
        <v>4124</v>
      </c>
      <c r="I739" s="3" t="s">
        <v>4125</v>
      </c>
      <c r="J739" s="5" t="str">
        <f>IFERROR(__xludf.DUMMYFUNCTION("GOOGLETRANSLATE(I739,""zh_HANT"",""zh_HANS"")"),"锹农炮虫")</f>
        <v>锹农炮虫</v>
      </c>
    </row>
    <row r="740">
      <c r="A740" s="3" t="str">
        <f t="shared" si="138"/>
        <v>NAME_PkMn_CRABRAWLER</v>
      </c>
      <c r="B740" s="3" t="s">
        <v>4126</v>
      </c>
      <c r="C740" s="3" t="s">
        <v>4127</v>
      </c>
      <c r="D740" s="3" t="s">
        <v>4128</v>
      </c>
      <c r="E740" s="3" t="s">
        <v>4129</v>
      </c>
      <c r="F740" s="5" t="str">
        <f t="shared" si="2"/>
        <v>Crabrawler</v>
      </c>
      <c r="G740" s="5" t="str">
        <f t="shared" si="3"/>
        <v>Crabrawler</v>
      </c>
      <c r="H740" s="3" t="s">
        <v>4130</v>
      </c>
      <c r="I740" s="3" t="s">
        <v>4131</v>
      </c>
      <c r="J740" s="5" t="str">
        <f>IFERROR(__xludf.DUMMYFUNCTION("GOOGLETRANSLATE(I740,""zh_HANT"",""zh_HANS"")"),"好胜蟹")</f>
        <v>好胜蟹</v>
      </c>
    </row>
    <row r="741">
      <c r="A741" s="3" t="str">
        <f t="shared" si="138"/>
        <v>NAME_PkMn_CRABOMINABLE</v>
      </c>
      <c r="B741" s="3" t="s">
        <v>4132</v>
      </c>
      <c r="C741" s="3" t="s">
        <v>4133</v>
      </c>
      <c r="D741" s="5" t="str">
        <f>B741</f>
        <v>Crabominable</v>
      </c>
      <c r="E741" s="3" t="s">
        <v>4134</v>
      </c>
      <c r="F741" s="5" t="str">
        <f t="shared" si="2"/>
        <v>Crabominable</v>
      </c>
      <c r="G741" s="5" t="str">
        <f t="shared" si="3"/>
        <v>Crabominable</v>
      </c>
      <c r="H741" s="3" t="s">
        <v>4135</v>
      </c>
      <c r="I741" s="3" t="s">
        <v>4136</v>
      </c>
      <c r="J741" s="5" t="str">
        <f>IFERROR(__xludf.DUMMYFUNCTION("GOOGLETRANSLATE(I741,""zh_HANT"",""zh_HANS"")"),"好胜毛蟹")</f>
        <v>好胜毛蟹</v>
      </c>
    </row>
    <row r="742">
      <c r="A742" s="3" t="str">
        <f t="shared" si="138"/>
        <v>NAME_PkMn_ORICORIO</v>
      </c>
      <c r="B742" s="3" t="s">
        <v>4137</v>
      </c>
      <c r="C742" s="3" t="s">
        <v>4138</v>
      </c>
      <c r="D742" s="3" t="s">
        <v>4139</v>
      </c>
      <c r="E742" s="3" t="s">
        <v>4140</v>
      </c>
      <c r="F742" s="5" t="str">
        <f t="shared" si="2"/>
        <v>Oricorio</v>
      </c>
      <c r="G742" s="5" t="str">
        <f t="shared" si="3"/>
        <v>Oricorio</v>
      </c>
      <c r="H742" s="3" t="s">
        <v>4141</v>
      </c>
      <c r="I742" s="3" t="s">
        <v>4142</v>
      </c>
      <c r="J742" s="5" t="str">
        <f>IFERROR(__xludf.DUMMYFUNCTION("GOOGLETRANSLATE(I742,""zh_HANT"",""zh_HANS"")"),"花舞鸟")</f>
        <v>花舞鸟</v>
      </c>
    </row>
    <row r="743">
      <c r="A743" s="3" t="str">
        <f t="shared" si="138"/>
        <v>NAME_PkMn_CUTIEFLY</v>
      </c>
      <c r="B743" s="3" t="s">
        <v>4143</v>
      </c>
      <c r="C743" s="3" t="s">
        <v>4144</v>
      </c>
      <c r="D743" s="3" t="s">
        <v>4145</v>
      </c>
      <c r="E743" s="3" t="s">
        <v>4146</v>
      </c>
      <c r="F743" s="5" t="str">
        <f t="shared" si="2"/>
        <v>Cutiefly</v>
      </c>
      <c r="G743" s="5" t="str">
        <f t="shared" si="3"/>
        <v>Cutiefly</v>
      </c>
      <c r="H743" s="3" t="s">
        <v>4147</v>
      </c>
      <c r="I743" s="3" t="s">
        <v>4148</v>
      </c>
      <c r="J743" s="5" t="str">
        <f>I743</f>
        <v>萌虻</v>
      </c>
    </row>
    <row r="744">
      <c r="A744" s="3" t="str">
        <f t="shared" si="138"/>
        <v>NAME_PkMn_RIBOMBEE</v>
      </c>
      <c r="B744" s="3" t="s">
        <v>4149</v>
      </c>
      <c r="C744" s="3" t="s">
        <v>4150</v>
      </c>
      <c r="D744" s="3" t="s">
        <v>4151</v>
      </c>
      <c r="E744" s="3" t="s">
        <v>4152</v>
      </c>
      <c r="F744" s="5" t="str">
        <f t="shared" si="2"/>
        <v>Ribombee</v>
      </c>
      <c r="G744" s="5" t="str">
        <f t="shared" si="3"/>
        <v>Ribombee</v>
      </c>
      <c r="H744" s="3" t="s">
        <v>4153</v>
      </c>
      <c r="I744" s="3" t="s">
        <v>4154</v>
      </c>
      <c r="J744" s="5" t="str">
        <f>IFERROR(__xludf.DUMMYFUNCTION("GOOGLETRANSLATE(I744,""zh_HANT"",""zh_HANS"")"),"蝶结萌虻")</f>
        <v>蝶结萌虻</v>
      </c>
    </row>
    <row r="745">
      <c r="A745" s="3" t="str">
        <f t="shared" si="138"/>
        <v>NAME_PkMn_ROCKRUFF</v>
      </c>
      <c r="B745" s="3" t="s">
        <v>4155</v>
      </c>
      <c r="C745" s="3" t="s">
        <v>4156</v>
      </c>
      <c r="D745" s="3" t="s">
        <v>4157</v>
      </c>
      <c r="E745" s="3" t="s">
        <v>4158</v>
      </c>
      <c r="F745" s="5" t="str">
        <f t="shared" si="2"/>
        <v>Rockruff</v>
      </c>
      <c r="G745" s="5" t="str">
        <f t="shared" si="3"/>
        <v>Rockruff</v>
      </c>
      <c r="H745" s="3" t="s">
        <v>4159</v>
      </c>
      <c r="I745" s="3" t="s">
        <v>4160</v>
      </c>
      <c r="J745" s="5" t="str">
        <f>I745</f>
        <v>岩狗狗</v>
      </c>
    </row>
    <row r="746">
      <c r="A746" s="3" t="str">
        <f t="shared" si="138"/>
        <v>NAME_PkMn_LYCANROC</v>
      </c>
      <c r="B746" s="3" t="s">
        <v>4161</v>
      </c>
      <c r="C746" s="3" t="s">
        <v>4162</v>
      </c>
      <c r="D746" s="3" t="s">
        <v>4163</v>
      </c>
      <c r="E746" s="3" t="s">
        <v>4164</v>
      </c>
      <c r="F746" s="5" t="str">
        <f t="shared" si="2"/>
        <v>Lycanroc</v>
      </c>
      <c r="G746" s="5" t="str">
        <f t="shared" si="3"/>
        <v>Lycanroc</v>
      </c>
      <c r="H746" s="3" t="s">
        <v>4165</v>
      </c>
      <c r="I746" s="5" t="str">
        <f>J746</f>
        <v>鬃岩狼人</v>
      </c>
      <c r="J746" s="3" t="s">
        <v>4166</v>
      </c>
    </row>
    <row r="747">
      <c r="A747" s="3" t="str">
        <f t="shared" si="138"/>
        <v>NAME_PkMn_WISHIWASHI</v>
      </c>
      <c r="B747" s="3" t="s">
        <v>4167</v>
      </c>
      <c r="C747" s="3" t="s">
        <v>4168</v>
      </c>
      <c r="D747" s="3" t="s">
        <v>4169</v>
      </c>
      <c r="E747" s="3" t="s">
        <v>4170</v>
      </c>
      <c r="F747" s="5" t="str">
        <f t="shared" si="2"/>
        <v>Wishiwashi</v>
      </c>
      <c r="G747" s="5" t="str">
        <f t="shared" si="3"/>
        <v>Wishiwashi</v>
      </c>
      <c r="H747" s="3" t="s">
        <v>4171</v>
      </c>
      <c r="I747" s="3" t="s">
        <v>4172</v>
      </c>
      <c r="J747" s="5" t="str">
        <f>IFERROR(__xludf.DUMMYFUNCTION("GOOGLETRANSLATE(I747,""zh_HANT"",""zh_HANS"")"),"弱丁鱼")</f>
        <v>弱丁鱼</v>
      </c>
    </row>
    <row r="748">
      <c r="A748" s="3" t="str">
        <f t="shared" si="138"/>
        <v>NAME_PkMn_MAREANIE</v>
      </c>
      <c r="B748" s="3" t="s">
        <v>4173</v>
      </c>
      <c r="C748" s="3" t="s">
        <v>4174</v>
      </c>
      <c r="D748" s="3" t="s">
        <v>4175</v>
      </c>
      <c r="E748" s="3" t="s">
        <v>4176</v>
      </c>
      <c r="F748" s="5" t="str">
        <f t="shared" si="2"/>
        <v>Mareanie</v>
      </c>
      <c r="G748" s="5" t="str">
        <f t="shared" si="3"/>
        <v>Mareanie</v>
      </c>
      <c r="H748" s="3" t="s">
        <v>4177</v>
      </c>
      <c r="I748" s="3" t="s">
        <v>4178</v>
      </c>
      <c r="J748" s="5" t="str">
        <f>IFERROR(__xludf.DUMMYFUNCTION("GOOGLETRANSLATE(I748,""zh_HANT"",""zh_HANS"")"),"好坏星")</f>
        <v>好坏星</v>
      </c>
    </row>
    <row r="749">
      <c r="A749" s="3" t="str">
        <f t="shared" si="138"/>
        <v>NAME_PkMn_TOXAPEX</v>
      </c>
      <c r="B749" s="3" t="s">
        <v>4179</v>
      </c>
      <c r="C749" s="3" t="s">
        <v>4180</v>
      </c>
      <c r="D749" s="3" t="s">
        <v>4181</v>
      </c>
      <c r="E749" s="3" t="s">
        <v>4182</v>
      </c>
      <c r="F749" s="5" t="str">
        <f t="shared" si="2"/>
        <v>Toxapex</v>
      </c>
      <c r="G749" s="5" t="str">
        <f t="shared" si="3"/>
        <v>Toxapex</v>
      </c>
      <c r="H749" s="3" t="s">
        <v>4183</v>
      </c>
      <c r="I749" s="3" t="s">
        <v>4184</v>
      </c>
      <c r="J749" s="5" t="str">
        <f>IFERROR(__xludf.DUMMYFUNCTION("GOOGLETRANSLATE(I749,""zh_HANT"",""zh_HANS"")"),"超坏星")</f>
        <v>超坏星</v>
      </c>
    </row>
    <row r="750">
      <c r="A750" s="3" t="str">
        <f t="shared" si="138"/>
        <v>NAME_PkMn_MUDBRAY</v>
      </c>
      <c r="B750" s="3" t="s">
        <v>4185</v>
      </c>
      <c r="C750" s="3" t="s">
        <v>4186</v>
      </c>
      <c r="D750" s="3" t="s">
        <v>4187</v>
      </c>
      <c r="E750" s="3" t="s">
        <v>4188</v>
      </c>
      <c r="F750" s="5" t="str">
        <f t="shared" si="2"/>
        <v>Mudbray</v>
      </c>
      <c r="G750" s="5" t="str">
        <f t="shared" si="3"/>
        <v>Mudbray</v>
      </c>
      <c r="H750" s="3" t="s">
        <v>4189</v>
      </c>
      <c r="I750" s="3" t="s">
        <v>4190</v>
      </c>
      <c r="J750" s="5" t="str">
        <f>IFERROR(__xludf.DUMMYFUNCTION("GOOGLETRANSLATE(I750,""zh_HANT"",""zh_HANS"")"),"泥驴仔")</f>
        <v>泥驴仔</v>
      </c>
    </row>
    <row r="751">
      <c r="A751" s="3" t="str">
        <f t="shared" si="138"/>
        <v>NAME_PkMn_MUDSDALE</v>
      </c>
      <c r="B751" s="3" t="s">
        <v>4191</v>
      </c>
      <c r="C751" s="3" t="s">
        <v>4192</v>
      </c>
      <c r="D751" s="3" t="s">
        <v>4193</v>
      </c>
      <c r="E751" s="3" t="s">
        <v>4194</v>
      </c>
      <c r="F751" s="5" t="str">
        <f t="shared" si="2"/>
        <v>Mudsdale</v>
      </c>
      <c r="G751" s="5" t="str">
        <f t="shared" si="3"/>
        <v>Mudsdale</v>
      </c>
      <c r="H751" s="3" t="s">
        <v>4195</v>
      </c>
      <c r="I751" s="3" t="s">
        <v>4196</v>
      </c>
      <c r="J751" s="5" t="str">
        <f>IFERROR(__xludf.DUMMYFUNCTION("GOOGLETRANSLATE(I751,""zh_HANT"",""zh_HANS"")"),"重泥挽马")</f>
        <v>重泥挽马</v>
      </c>
    </row>
    <row r="752">
      <c r="A752" s="3" t="str">
        <f t="shared" si="138"/>
        <v>NAME_PkMn_DEWPIDER</v>
      </c>
      <c r="B752" s="3" t="s">
        <v>4197</v>
      </c>
      <c r="C752" s="3" t="s">
        <v>4198</v>
      </c>
      <c r="D752" s="3" t="s">
        <v>4199</v>
      </c>
      <c r="E752" s="3" t="str">
        <f>D752</f>
        <v>Araqua</v>
      </c>
      <c r="F752" s="5" t="str">
        <f t="shared" si="2"/>
        <v>Dewpider</v>
      </c>
      <c r="G752" s="5" t="str">
        <f t="shared" si="3"/>
        <v>Dewpider</v>
      </c>
      <c r="H752" s="3" t="s">
        <v>4200</v>
      </c>
      <c r="I752" s="3" t="s">
        <v>4201</v>
      </c>
      <c r="J752" s="5" t="str">
        <f t="shared" ref="J752:J753" si="145">I752</f>
        <v>滴蛛</v>
      </c>
    </row>
    <row r="753">
      <c r="A753" s="3" t="str">
        <f t="shared" si="138"/>
        <v>NAME_PkMn_ARAQUANID</v>
      </c>
      <c r="B753" s="3" t="s">
        <v>4202</v>
      </c>
      <c r="C753" s="3" t="s">
        <v>4203</v>
      </c>
      <c r="D753" s="3" t="s">
        <v>4204</v>
      </c>
      <c r="E753" s="3" t="s">
        <v>4205</v>
      </c>
      <c r="F753" s="5" t="str">
        <f t="shared" si="2"/>
        <v>Araquanid</v>
      </c>
      <c r="G753" s="5" t="str">
        <f t="shared" si="3"/>
        <v>Araquanid</v>
      </c>
      <c r="H753" s="3" t="s">
        <v>4206</v>
      </c>
      <c r="I753" s="3" t="s">
        <v>4207</v>
      </c>
      <c r="J753" s="5" t="str">
        <f t="shared" si="145"/>
        <v>滴蛛霸</v>
      </c>
    </row>
    <row r="754">
      <c r="A754" s="3" t="str">
        <f t="shared" si="138"/>
        <v>NAME_PkMn_FOMANTIS</v>
      </c>
      <c r="B754" s="3" t="s">
        <v>4208</v>
      </c>
      <c r="C754" s="3" t="s">
        <v>4209</v>
      </c>
      <c r="D754" s="3" t="s">
        <v>4210</v>
      </c>
      <c r="E754" s="3" t="s">
        <v>4211</v>
      </c>
      <c r="F754" s="5" t="str">
        <f t="shared" si="2"/>
        <v>Fomantis</v>
      </c>
      <c r="G754" s="5" t="str">
        <f t="shared" si="3"/>
        <v>Fomantis</v>
      </c>
      <c r="H754" s="3" t="s">
        <v>4212</v>
      </c>
      <c r="I754" s="3" t="s">
        <v>4213</v>
      </c>
      <c r="J754" s="5" t="str">
        <f>IFERROR(__xludf.DUMMYFUNCTION("GOOGLETRANSLATE(I754,""zh_HANT"",""zh_HANS"")"),"伪螳草")</f>
        <v>伪螳草</v>
      </c>
    </row>
    <row r="755">
      <c r="A755" s="3" t="str">
        <f t="shared" si="138"/>
        <v>NAME_PkMn_LURANTIS</v>
      </c>
      <c r="B755" s="3" t="s">
        <v>4214</v>
      </c>
      <c r="C755" s="3" t="s">
        <v>4215</v>
      </c>
      <c r="D755" s="3" t="s">
        <v>4216</v>
      </c>
      <c r="E755" s="3" t="s">
        <v>4217</v>
      </c>
      <c r="F755" s="5" t="str">
        <f t="shared" si="2"/>
        <v>Lurantis</v>
      </c>
      <c r="G755" s="5" t="str">
        <f t="shared" si="3"/>
        <v>Lurantis</v>
      </c>
      <c r="H755" s="3" t="s">
        <v>4218</v>
      </c>
      <c r="I755" s="3" t="s">
        <v>4219</v>
      </c>
      <c r="J755" s="5" t="str">
        <f>IFERROR(__xludf.DUMMYFUNCTION("GOOGLETRANSLATE(I755,""zh_HANT"",""zh_HANS"")"),"兰螳花")</f>
        <v>兰螳花</v>
      </c>
    </row>
    <row r="756">
      <c r="A756" s="3" t="str">
        <f t="shared" si="138"/>
        <v>NAME_PkMn_MORELULL</v>
      </c>
      <c r="B756" s="3" t="s">
        <v>4220</v>
      </c>
      <c r="C756" s="3" t="s">
        <v>4221</v>
      </c>
      <c r="D756" s="3" t="s">
        <v>4222</v>
      </c>
      <c r="E756" s="3" t="s">
        <v>4223</v>
      </c>
      <c r="F756" s="5" t="str">
        <f t="shared" si="2"/>
        <v>Morelull</v>
      </c>
      <c r="G756" s="5" t="str">
        <f t="shared" si="3"/>
        <v>Morelull</v>
      </c>
      <c r="H756" s="3" t="s">
        <v>4224</v>
      </c>
      <c r="I756" s="3" t="s">
        <v>4225</v>
      </c>
      <c r="J756" s="5" t="str">
        <f>I756</f>
        <v>睡睡菇</v>
      </c>
    </row>
    <row r="757">
      <c r="A757" s="3" t="str">
        <f t="shared" si="138"/>
        <v>NAME_PkMn_SHIINOTIC</v>
      </c>
      <c r="B757" s="3" t="s">
        <v>4226</v>
      </c>
      <c r="C757" s="3" t="s">
        <v>4227</v>
      </c>
      <c r="D757" s="3" t="s">
        <v>4228</v>
      </c>
      <c r="E757" s="3" t="s">
        <v>4229</v>
      </c>
      <c r="F757" s="5" t="str">
        <f t="shared" si="2"/>
        <v>Shiinotic</v>
      </c>
      <c r="G757" s="5" t="str">
        <f t="shared" si="3"/>
        <v>Shiinotic</v>
      </c>
      <c r="H757" s="3" t="s">
        <v>4230</v>
      </c>
      <c r="I757" s="3" t="s">
        <v>4231</v>
      </c>
      <c r="J757" s="5" t="str">
        <f>IFERROR(__xludf.DUMMYFUNCTION("GOOGLETRANSLATE(I757,""zh_HANT"",""zh_HANS"")"),"灯罩夜菇")</f>
        <v>灯罩夜菇</v>
      </c>
    </row>
    <row r="758">
      <c r="A758" s="3" t="str">
        <f t="shared" si="138"/>
        <v>NAME_PkMn_SALANDIT</v>
      </c>
      <c r="B758" s="3" t="s">
        <v>4232</v>
      </c>
      <c r="C758" s="3" t="s">
        <v>4233</v>
      </c>
      <c r="D758" s="3" t="s">
        <v>4234</v>
      </c>
      <c r="E758" s="3" t="s">
        <v>4235</v>
      </c>
      <c r="F758" s="5" t="str">
        <f t="shared" si="2"/>
        <v>Salandit</v>
      </c>
      <c r="G758" s="5" t="str">
        <f t="shared" si="3"/>
        <v>Salandit</v>
      </c>
      <c r="H758" s="3" t="s">
        <v>4236</v>
      </c>
      <c r="I758" s="3" t="s">
        <v>4237</v>
      </c>
      <c r="J758" s="5" t="str">
        <f t="shared" ref="J758:J760" si="146">I758</f>
        <v>夜盜火蜥</v>
      </c>
    </row>
    <row r="759">
      <c r="A759" s="3" t="str">
        <f t="shared" si="138"/>
        <v>NAME_PkMn_SALAZZLE</v>
      </c>
      <c r="B759" s="3" t="s">
        <v>4238</v>
      </c>
      <c r="C759" s="3" t="s">
        <v>4239</v>
      </c>
      <c r="D759" s="3" t="s">
        <v>4240</v>
      </c>
      <c r="E759" s="3" t="s">
        <v>4241</v>
      </c>
      <c r="F759" s="5" t="str">
        <f t="shared" si="2"/>
        <v>Salazzle</v>
      </c>
      <c r="G759" s="5" t="str">
        <f t="shared" si="3"/>
        <v>Salazzle</v>
      </c>
      <c r="H759" s="3" t="s">
        <v>4242</v>
      </c>
      <c r="I759" s="3" t="s">
        <v>4243</v>
      </c>
      <c r="J759" s="5" t="str">
        <f t="shared" si="146"/>
        <v>焰后蜥</v>
      </c>
    </row>
    <row r="760">
      <c r="A760" s="3" t="str">
        <f t="shared" si="138"/>
        <v>NAME_PkMn_STUFFUL</v>
      </c>
      <c r="B760" s="3" t="s">
        <v>4244</v>
      </c>
      <c r="C760" s="3" t="s">
        <v>4245</v>
      </c>
      <c r="D760" s="3" t="s">
        <v>4246</v>
      </c>
      <c r="E760" s="3" t="s">
        <v>4247</v>
      </c>
      <c r="F760" s="5" t="str">
        <f t="shared" si="2"/>
        <v>Stufful</v>
      </c>
      <c r="G760" s="5" t="str">
        <f t="shared" si="3"/>
        <v>Stufful</v>
      </c>
      <c r="H760" s="3" t="s">
        <v>4248</v>
      </c>
      <c r="I760" s="3" t="s">
        <v>4249</v>
      </c>
      <c r="J760" s="5" t="str">
        <f t="shared" si="146"/>
        <v>童偶熊</v>
      </c>
    </row>
    <row r="761">
      <c r="A761" s="3" t="str">
        <f t="shared" si="138"/>
        <v>NAME_PkMn_BEWEAR</v>
      </c>
      <c r="B761" s="3" t="s">
        <v>4250</v>
      </c>
      <c r="C761" s="3" t="s">
        <v>4251</v>
      </c>
      <c r="D761" s="3" t="s">
        <v>4252</v>
      </c>
      <c r="E761" s="3" t="s">
        <v>4253</v>
      </c>
      <c r="F761" s="5" t="str">
        <f t="shared" si="2"/>
        <v>Bewear</v>
      </c>
      <c r="G761" s="5" t="str">
        <f t="shared" si="3"/>
        <v>Bewear</v>
      </c>
      <c r="H761" s="3" t="s">
        <v>4254</v>
      </c>
      <c r="I761" s="3" t="s">
        <v>4255</v>
      </c>
      <c r="J761" s="5" t="str">
        <f>IFERROR(__xludf.DUMMYFUNCTION("GOOGLETRANSLATE(I761,""zh_HANT"",""zh_HANS"")"),"穿着熊")</f>
        <v>穿着熊</v>
      </c>
    </row>
    <row r="762">
      <c r="A762" s="3" t="str">
        <f t="shared" si="138"/>
        <v>NAME_PkMn_BOUNSWEET</v>
      </c>
      <c r="B762" s="3" t="s">
        <v>4256</v>
      </c>
      <c r="C762" s="3" t="s">
        <v>4257</v>
      </c>
      <c r="D762" s="3" t="s">
        <v>4258</v>
      </c>
      <c r="E762" s="3" t="s">
        <v>4259</v>
      </c>
      <c r="F762" s="5" t="str">
        <f t="shared" si="2"/>
        <v>Bounsweet</v>
      </c>
      <c r="G762" s="5" t="str">
        <f t="shared" si="3"/>
        <v>Bounsweet</v>
      </c>
      <c r="H762" s="3" t="s">
        <v>4260</v>
      </c>
      <c r="I762" s="3" t="s">
        <v>4261</v>
      </c>
      <c r="J762" s="5" t="str">
        <f t="shared" ref="J762:J764" si="147">I762</f>
        <v>甜竹竹</v>
      </c>
    </row>
    <row r="763">
      <c r="A763" s="3" t="str">
        <f t="shared" si="138"/>
        <v>NAME_PkMn_STEENEE</v>
      </c>
      <c r="B763" s="3" t="s">
        <v>4262</v>
      </c>
      <c r="C763" s="3" t="s">
        <v>4263</v>
      </c>
      <c r="D763" s="3" t="s">
        <v>4264</v>
      </c>
      <c r="E763" s="3" t="s">
        <v>4265</v>
      </c>
      <c r="F763" s="5" t="str">
        <f t="shared" si="2"/>
        <v>Steenee</v>
      </c>
      <c r="G763" s="5" t="str">
        <f t="shared" si="3"/>
        <v>Steenee</v>
      </c>
      <c r="H763" s="3" t="s">
        <v>4266</v>
      </c>
      <c r="I763" s="3" t="s">
        <v>4267</v>
      </c>
      <c r="J763" s="5" t="str">
        <f t="shared" si="147"/>
        <v>甜舞妮</v>
      </c>
    </row>
    <row r="764">
      <c r="A764" s="3" t="str">
        <f t="shared" si="138"/>
        <v>NAME_PkMn_TSAREENA</v>
      </c>
      <c r="B764" s="3" t="s">
        <v>4268</v>
      </c>
      <c r="C764" s="3" t="s">
        <v>4269</v>
      </c>
      <c r="D764" s="3" t="s">
        <v>4270</v>
      </c>
      <c r="E764" s="3" t="s">
        <v>4271</v>
      </c>
      <c r="F764" s="5" t="str">
        <f t="shared" si="2"/>
        <v>Tsareena</v>
      </c>
      <c r="G764" s="5" t="str">
        <f t="shared" si="3"/>
        <v>Tsareena</v>
      </c>
      <c r="H764" s="3" t="s">
        <v>4272</v>
      </c>
      <c r="I764" s="3" t="s">
        <v>4273</v>
      </c>
      <c r="J764" s="5" t="str">
        <f t="shared" si="147"/>
        <v>甜冷美后</v>
      </c>
    </row>
    <row r="765">
      <c r="A765" s="3" t="str">
        <f t="shared" si="138"/>
        <v>NAME_PkMn_COMFEY</v>
      </c>
      <c r="B765" s="3" t="s">
        <v>4274</v>
      </c>
      <c r="C765" s="3" t="s">
        <v>4275</v>
      </c>
      <c r="D765" s="3" t="s">
        <v>4276</v>
      </c>
      <c r="E765" s="3" t="s">
        <v>4277</v>
      </c>
      <c r="F765" s="5" t="str">
        <f t="shared" si="2"/>
        <v>Comfey</v>
      </c>
      <c r="G765" s="5" t="str">
        <f t="shared" si="3"/>
        <v>Comfey</v>
      </c>
      <c r="H765" s="3" t="s">
        <v>4278</v>
      </c>
      <c r="I765" s="3" t="s">
        <v>4279</v>
      </c>
      <c r="J765" s="5" t="str">
        <f>IFERROR(__xludf.DUMMYFUNCTION("GOOGLETRANSLATE(I765,""zh_HANT"",""zh_HANS"")"),"花疗环环")</f>
        <v>花疗环环</v>
      </c>
    </row>
    <row r="766">
      <c r="A766" s="3" t="str">
        <f t="shared" si="138"/>
        <v>NAME_PkMn_ORANGURU</v>
      </c>
      <c r="B766" s="3" t="s">
        <v>4280</v>
      </c>
      <c r="C766" s="3" t="s">
        <v>4281</v>
      </c>
      <c r="D766" s="3" t="s">
        <v>4282</v>
      </c>
      <c r="E766" s="3" t="s">
        <v>4283</v>
      </c>
      <c r="F766" s="5" t="str">
        <f t="shared" si="2"/>
        <v>Oranguru</v>
      </c>
      <c r="G766" s="5" t="str">
        <f t="shared" si="3"/>
        <v>Oranguru</v>
      </c>
      <c r="H766" s="3" t="s">
        <v>4284</v>
      </c>
      <c r="I766" s="3" t="s">
        <v>4285</v>
      </c>
      <c r="J766" s="5" t="str">
        <f>IFERROR(__xludf.DUMMYFUNCTION("GOOGLETRANSLATE(I766,""zh_HANT"",""zh_HANS"")"),"智挥猩")</f>
        <v>智挥猩</v>
      </c>
    </row>
    <row r="767">
      <c r="A767" s="3" t="str">
        <f t="shared" si="138"/>
        <v>NAME_PkMn_PASSIMIAN</v>
      </c>
      <c r="B767" s="3" t="s">
        <v>4286</v>
      </c>
      <c r="C767" s="3" t="s">
        <v>4287</v>
      </c>
      <c r="D767" s="3" t="s">
        <v>4288</v>
      </c>
      <c r="E767" s="3" t="s">
        <v>4289</v>
      </c>
      <c r="F767" s="5" t="str">
        <f t="shared" si="2"/>
        <v>Passimian</v>
      </c>
      <c r="G767" s="5" t="str">
        <f t="shared" si="3"/>
        <v>Passimian</v>
      </c>
      <c r="H767" s="3" t="s">
        <v>4290</v>
      </c>
      <c r="I767" s="3" t="s">
        <v>4291</v>
      </c>
      <c r="J767" s="5" t="str">
        <f>IFERROR(__xludf.DUMMYFUNCTION("GOOGLETRANSLATE(I767,""zh_HANT"",""zh_HANS"")"),"投掷猴")</f>
        <v>投掷猴</v>
      </c>
    </row>
    <row r="768">
      <c r="A768" s="3" t="str">
        <f t="shared" si="138"/>
        <v>NAME_PkMn_WIMPOD</v>
      </c>
      <c r="B768" s="3" t="s">
        <v>4292</v>
      </c>
      <c r="C768" s="3" t="s">
        <v>4293</v>
      </c>
      <c r="D768" s="3" t="s">
        <v>4294</v>
      </c>
      <c r="E768" s="3" t="s">
        <v>4295</v>
      </c>
      <c r="F768" s="5" t="str">
        <f t="shared" si="2"/>
        <v>Wimpod</v>
      </c>
      <c r="G768" s="5" t="str">
        <f t="shared" si="3"/>
        <v>Wimpod</v>
      </c>
      <c r="H768" s="3" t="s">
        <v>4296</v>
      </c>
      <c r="I768" s="3" t="s">
        <v>4297</v>
      </c>
      <c r="J768" s="5" t="str">
        <f>IFERROR(__xludf.DUMMYFUNCTION("GOOGLETRANSLATE(I768,""zh_HANT"",""zh_HANS"")"),"胆小虫")</f>
        <v>胆小虫</v>
      </c>
    </row>
    <row r="769">
      <c r="A769" s="3" t="str">
        <f t="shared" si="138"/>
        <v>NAME_PkMn_GOLISOPOD</v>
      </c>
      <c r="B769" s="3" t="s">
        <v>4298</v>
      </c>
      <c r="C769" s="3" t="s">
        <v>4299</v>
      </c>
      <c r="D769" s="3" t="s">
        <v>4300</v>
      </c>
      <c r="E769" s="3" t="s">
        <v>4301</v>
      </c>
      <c r="F769" s="5" t="str">
        <f t="shared" si="2"/>
        <v>Golisopod</v>
      </c>
      <c r="G769" s="5" t="str">
        <f t="shared" si="3"/>
        <v>Golisopod</v>
      </c>
      <c r="H769" s="3" t="s">
        <v>4302</v>
      </c>
      <c r="I769" s="3" t="s">
        <v>4303</v>
      </c>
      <c r="J769" s="5" t="str">
        <f t="shared" ref="J769:J771" si="148">I769</f>
        <v>具甲武者</v>
      </c>
    </row>
    <row r="770">
      <c r="A770" s="3" t="str">
        <f t="shared" si="138"/>
        <v>NAME_PkMn_SANDYGAST</v>
      </c>
      <c r="B770" s="3" t="s">
        <v>4304</v>
      </c>
      <c r="C770" s="3" t="s">
        <v>4305</v>
      </c>
      <c r="D770" s="3" t="s">
        <v>4306</v>
      </c>
      <c r="E770" s="3" t="s">
        <v>4307</v>
      </c>
      <c r="F770" s="5" t="str">
        <f t="shared" si="2"/>
        <v>Sandygast</v>
      </c>
      <c r="G770" s="5" t="str">
        <f t="shared" si="3"/>
        <v>Sandygast</v>
      </c>
      <c r="H770" s="3" t="s">
        <v>4308</v>
      </c>
      <c r="I770" s="3" t="s">
        <v>4309</v>
      </c>
      <c r="J770" s="5" t="str">
        <f t="shared" si="148"/>
        <v>沙丘娃</v>
      </c>
    </row>
    <row r="771">
      <c r="A771" s="3" t="str">
        <f t="shared" si="138"/>
        <v>NAME_PkMn_PALOSAND</v>
      </c>
      <c r="B771" s="3" t="s">
        <v>4310</v>
      </c>
      <c r="C771" s="3" t="s">
        <v>4311</v>
      </c>
      <c r="D771" s="3" t="s">
        <v>4312</v>
      </c>
      <c r="E771" s="3" t="s">
        <v>4313</v>
      </c>
      <c r="F771" s="5" t="str">
        <f t="shared" si="2"/>
        <v>Palosand</v>
      </c>
      <c r="G771" s="5" t="str">
        <f t="shared" si="3"/>
        <v>Palosand</v>
      </c>
      <c r="H771" s="3" t="s">
        <v>4314</v>
      </c>
      <c r="I771" s="3" t="s">
        <v>4315</v>
      </c>
      <c r="J771" s="5" t="str">
        <f t="shared" si="148"/>
        <v>噬沙堡爺</v>
      </c>
    </row>
    <row r="772">
      <c r="A772" s="3" t="str">
        <f t="shared" si="138"/>
        <v>NAME_PkMn_PYUKUMUKU</v>
      </c>
      <c r="B772" s="3" t="s">
        <v>4316</v>
      </c>
      <c r="C772" s="3" t="s">
        <v>4317</v>
      </c>
      <c r="D772" s="3" t="s">
        <v>4318</v>
      </c>
      <c r="E772" s="3" t="s">
        <v>4319</v>
      </c>
      <c r="F772" s="5" t="str">
        <f t="shared" si="2"/>
        <v>Pyukumuku</v>
      </c>
      <c r="G772" s="5" t="str">
        <f t="shared" si="3"/>
        <v>Pyukumuku</v>
      </c>
      <c r="H772" s="3" t="s">
        <v>4320</v>
      </c>
      <c r="I772" s="3" t="s">
        <v>4321</v>
      </c>
      <c r="J772" s="5" t="str">
        <f>IFERROR(__xludf.DUMMYFUNCTION("GOOGLETRANSLATE(I772,""zh_HANT"",""zh_HANS"")"),"拳海参")</f>
        <v>拳海参</v>
      </c>
    </row>
    <row r="773">
      <c r="A773" s="3" t="s">
        <v>4322</v>
      </c>
      <c r="B773" s="3" t="s">
        <v>4323</v>
      </c>
      <c r="C773" s="3" t="s">
        <v>4324</v>
      </c>
      <c r="D773" s="3" t="s">
        <v>4325</v>
      </c>
      <c r="E773" s="3" t="s">
        <v>4326</v>
      </c>
      <c r="F773" s="3" t="s">
        <v>4327</v>
      </c>
      <c r="G773" s="3" t="s">
        <v>4328</v>
      </c>
      <c r="H773" s="3" t="s">
        <v>4329</v>
      </c>
      <c r="I773" s="4" t="s">
        <v>4330</v>
      </c>
      <c r="J773" s="5" t="str">
        <f>IFERROR(__xludf.DUMMYFUNCTION("GOOGLETRANSLATE(I773,""zh_HANT"",""zh_HANS"")"),"属性：空")</f>
        <v>属性：空</v>
      </c>
    </row>
    <row r="774">
      <c r="A774" s="3" t="str">
        <f t="shared" ref="A774:A782" si="149">CONCATENATE("NAME_PkMn_", UPPER(B774))</f>
        <v>NAME_PkMn_SILVALLY</v>
      </c>
      <c r="B774" s="3" t="s">
        <v>4331</v>
      </c>
      <c r="C774" s="3" t="s">
        <v>4332</v>
      </c>
      <c r="D774" s="3" t="s">
        <v>4333</v>
      </c>
      <c r="E774" s="3" t="s">
        <v>4334</v>
      </c>
      <c r="F774" s="5" t="str">
        <f t="shared" ref="F774:F984" si="150">B774</f>
        <v>Silvally</v>
      </c>
      <c r="G774" s="5" t="str">
        <f t="shared" ref="G774:G984" si="151">B774</f>
        <v>Silvally</v>
      </c>
      <c r="H774" s="3" t="s">
        <v>4335</v>
      </c>
      <c r="I774" s="3" t="s">
        <v>4336</v>
      </c>
      <c r="J774" s="5" t="str">
        <f>IFERROR(__xludf.DUMMYFUNCTION("GOOGLETRANSLATE(I774,""zh_HANT"",""zh_HANS"")"),"银伴战兽")</f>
        <v>银伴战兽</v>
      </c>
    </row>
    <row r="775">
      <c r="A775" s="3" t="str">
        <f t="shared" si="149"/>
        <v>NAME_PkMn_MINIOR</v>
      </c>
      <c r="B775" s="3" t="s">
        <v>4337</v>
      </c>
      <c r="C775" s="3" t="s">
        <v>4338</v>
      </c>
      <c r="D775" s="3" t="s">
        <v>4339</v>
      </c>
      <c r="E775" s="3" t="s">
        <v>4340</v>
      </c>
      <c r="F775" s="5" t="str">
        <f t="shared" si="150"/>
        <v>Minior</v>
      </c>
      <c r="G775" s="5" t="str">
        <f t="shared" si="151"/>
        <v>Minior</v>
      </c>
      <c r="H775" s="3" t="s">
        <v>4341</v>
      </c>
      <c r="I775" s="3" t="s">
        <v>4342</v>
      </c>
      <c r="J775" s="5" t="str">
        <f>IFERROR(__xludf.DUMMYFUNCTION("GOOGLETRANSLATE(I775,""zh_HANT"",""zh_HANS"")"),"小陨星")</f>
        <v>小陨星</v>
      </c>
    </row>
    <row r="776">
      <c r="A776" s="3" t="str">
        <f t="shared" si="149"/>
        <v>NAME_PkMn_KOMALA</v>
      </c>
      <c r="B776" s="3" t="s">
        <v>4343</v>
      </c>
      <c r="C776" s="3" t="s">
        <v>4344</v>
      </c>
      <c r="D776" s="3" t="s">
        <v>4345</v>
      </c>
      <c r="E776" s="3" t="s">
        <v>4346</v>
      </c>
      <c r="F776" s="5" t="str">
        <f t="shared" si="150"/>
        <v>Komala</v>
      </c>
      <c r="G776" s="5" t="str">
        <f t="shared" si="151"/>
        <v>Komala</v>
      </c>
      <c r="H776" s="3" t="s">
        <v>4347</v>
      </c>
      <c r="I776" s="3" t="s">
        <v>4348</v>
      </c>
      <c r="J776" s="5" t="str">
        <f>IFERROR(__xludf.DUMMYFUNCTION("GOOGLETRANSLATE(I776,""zh_HANT"",""zh_HANS"")"),"树枕尾熊")</f>
        <v>树枕尾熊</v>
      </c>
    </row>
    <row r="777">
      <c r="A777" s="3" t="str">
        <f t="shared" si="149"/>
        <v>NAME_PkMn_TURTONATOR</v>
      </c>
      <c r="B777" s="3" t="s">
        <v>4349</v>
      </c>
      <c r="C777" s="3" t="s">
        <v>4350</v>
      </c>
      <c r="D777" s="3" t="s">
        <v>4351</v>
      </c>
      <c r="E777" s="5" t="str">
        <f t="shared" ref="E777:E778" si="152">B777</f>
        <v>Turtonator</v>
      </c>
      <c r="F777" s="5" t="str">
        <f t="shared" si="150"/>
        <v>Turtonator</v>
      </c>
      <c r="G777" s="5" t="str">
        <f t="shared" si="151"/>
        <v>Turtonator</v>
      </c>
      <c r="H777" s="3" t="s">
        <v>4352</v>
      </c>
      <c r="I777" s="3" t="s">
        <v>4353</v>
      </c>
      <c r="J777" s="5" t="str">
        <f>IFERROR(__xludf.DUMMYFUNCTION("GOOGLETRANSLATE(I777,""zh_HANT"",""zh_HANS"")"),"爆焰龟兽")</f>
        <v>爆焰龟兽</v>
      </c>
    </row>
    <row r="778">
      <c r="A778" s="3" t="str">
        <f t="shared" si="149"/>
        <v>NAME_PkMn_TOGEDEMARU</v>
      </c>
      <c r="B778" s="3" t="s">
        <v>4354</v>
      </c>
      <c r="C778" s="3" t="s">
        <v>4355</v>
      </c>
      <c r="D778" s="5" t="str">
        <f>B778</f>
        <v>Togedemaru</v>
      </c>
      <c r="E778" s="5" t="str">
        <f t="shared" si="152"/>
        <v>Togedemaru</v>
      </c>
      <c r="F778" s="5" t="str">
        <f t="shared" si="150"/>
        <v>Togedemaru</v>
      </c>
      <c r="G778" s="5" t="str">
        <f t="shared" si="151"/>
        <v>Togedemaru</v>
      </c>
      <c r="H778" s="3" t="s">
        <v>4356</v>
      </c>
      <c r="I778" s="3" t="s">
        <v>4357</v>
      </c>
      <c r="J778" s="5" t="str">
        <f>IFERROR(__xludf.DUMMYFUNCTION("GOOGLETRANSLATE(I778,""zh_HANT"",""zh_HANS"")"),"托戈德玛尔")</f>
        <v>托戈德玛尔</v>
      </c>
    </row>
    <row r="779">
      <c r="A779" s="3" t="str">
        <f t="shared" si="149"/>
        <v>NAME_PkMn_MIMIKYU</v>
      </c>
      <c r="B779" s="3" t="s">
        <v>4358</v>
      </c>
      <c r="C779" s="3" t="s">
        <v>4359</v>
      </c>
      <c r="D779" s="3" t="s">
        <v>4360</v>
      </c>
      <c r="E779" s="3" t="s">
        <v>4361</v>
      </c>
      <c r="F779" s="5" t="str">
        <f t="shared" si="150"/>
        <v>Mimikyu</v>
      </c>
      <c r="G779" s="5" t="str">
        <f t="shared" si="151"/>
        <v>Mimikyu</v>
      </c>
      <c r="H779" s="3" t="s">
        <v>4362</v>
      </c>
      <c r="I779" s="5" t="s">
        <v>4363</v>
      </c>
      <c r="J779" s="3" t="s">
        <v>4364</v>
      </c>
    </row>
    <row r="780">
      <c r="A780" s="3" t="str">
        <f t="shared" si="149"/>
        <v>NAME_PkMn_BRUXISH</v>
      </c>
      <c r="B780" s="3" t="s">
        <v>4365</v>
      </c>
      <c r="C780" s="3" t="s">
        <v>4366</v>
      </c>
      <c r="D780" s="3" t="s">
        <v>4367</v>
      </c>
      <c r="E780" s="3" t="s">
        <v>4368</v>
      </c>
      <c r="F780" s="5" t="str">
        <f t="shared" si="150"/>
        <v>Bruxish</v>
      </c>
      <c r="G780" s="5" t="str">
        <f t="shared" si="151"/>
        <v>Bruxish</v>
      </c>
      <c r="H780" s="3" t="s">
        <v>4369</v>
      </c>
      <c r="I780" s="3" t="s">
        <v>4370</v>
      </c>
      <c r="J780" s="5" t="str">
        <f>IFERROR(__xludf.DUMMYFUNCTION("GOOGLETRANSLATE(I780,""zh_HANT"",""zh_HANS"")"),"磨牙彩皮鱼")</f>
        <v>磨牙彩皮鱼</v>
      </c>
    </row>
    <row r="781">
      <c r="A781" s="3" t="str">
        <f t="shared" si="149"/>
        <v>NAME_PkMn_DRAMPA</v>
      </c>
      <c r="B781" s="3" t="s">
        <v>4371</v>
      </c>
      <c r="C781" s="3" t="s">
        <v>4372</v>
      </c>
      <c r="D781" s="3" t="s">
        <v>4373</v>
      </c>
      <c r="E781" s="3" t="s">
        <v>4374</v>
      </c>
      <c r="F781" s="5" t="str">
        <f t="shared" si="150"/>
        <v>Drampa</v>
      </c>
      <c r="G781" s="5" t="str">
        <f t="shared" si="151"/>
        <v>Drampa</v>
      </c>
      <c r="H781" s="3" t="s">
        <v>4375</v>
      </c>
      <c r="I781" s="3" t="s">
        <v>4376</v>
      </c>
      <c r="J781" s="5" t="str">
        <f>IFERROR(__xludf.DUMMYFUNCTION("GOOGLETRANSLATE(I781,""zh_HANT"",""zh_HANS"")"),"老翁龙")</f>
        <v>老翁龙</v>
      </c>
    </row>
    <row r="782">
      <c r="A782" s="3" t="str">
        <f t="shared" si="149"/>
        <v>NAME_PkMn_DHELMISE</v>
      </c>
      <c r="B782" s="3" t="s">
        <v>4377</v>
      </c>
      <c r="C782" s="3" t="s">
        <v>4378</v>
      </c>
      <c r="D782" s="3" t="s">
        <v>4379</v>
      </c>
      <c r="E782" s="3" t="s">
        <v>4380</v>
      </c>
      <c r="F782" s="5" t="str">
        <f t="shared" si="150"/>
        <v>Dhelmise</v>
      </c>
      <c r="G782" s="5" t="str">
        <f t="shared" si="151"/>
        <v>Dhelmise</v>
      </c>
      <c r="H782" s="3" t="s">
        <v>4381</v>
      </c>
      <c r="I782" s="3" t="s">
        <v>4382</v>
      </c>
      <c r="J782" s="5" t="str">
        <f>IFERROR(__xludf.DUMMYFUNCTION("GOOGLETRANSLATE(I782,""zh_HANT"",""zh_HANS"")"),"破破舵轮")</f>
        <v>破破舵轮</v>
      </c>
    </row>
    <row r="783">
      <c r="A783" s="3" t="str">
        <f t="shared" ref="A783:A789" si="153">CONCATENATE("NAME_PkMn_", SUBSTITUTE(SUBSTITUTE(UPPER(B783), " ", ""), "-", ""))</f>
        <v>NAME_PkMn_JANGMOO</v>
      </c>
      <c r="B783" s="3" t="s">
        <v>4383</v>
      </c>
      <c r="C783" s="3" t="s">
        <v>4384</v>
      </c>
      <c r="D783" s="3" t="s">
        <v>4385</v>
      </c>
      <c r="E783" s="3" t="s">
        <v>4386</v>
      </c>
      <c r="F783" s="5" t="str">
        <f t="shared" si="150"/>
        <v>Jangmo-o</v>
      </c>
      <c r="G783" s="5" t="str">
        <f t="shared" si="151"/>
        <v>Jangmo-o</v>
      </c>
      <c r="H783" s="3" t="s">
        <v>4387</v>
      </c>
      <c r="I783" s="3" t="s">
        <v>4388</v>
      </c>
      <c r="J783" s="5" t="str">
        <f>IFERROR(__xludf.DUMMYFUNCTION("GOOGLETRANSLATE(I783,""zh_HANT"",""zh_HANS"")"),"心鳞宝")</f>
        <v>心鳞宝</v>
      </c>
    </row>
    <row r="784">
      <c r="A784" s="3" t="str">
        <f t="shared" si="153"/>
        <v>NAME_PkMn_HAKAMOO</v>
      </c>
      <c r="B784" s="3" t="s">
        <v>4389</v>
      </c>
      <c r="C784" s="3" t="s">
        <v>4390</v>
      </c>
      <c r="D784" s="3" t="s">
        <v>4391</v>
      </c>
      <c r="E784" s="3" t="s">
        <v>4392</v>
      </c>
      <c r="F784" s="5" t="str">
        <f t="shared" si="150"/>
        <v>Hakamo-o</v>
      </c>
      <c r="G784" s="5" t="str">
        <f t="shared" si="151"/>
        <v>Hakamo-o</v>
      </c>
      <c r="H784" s="3" t="s">
        <v>4393</v>
      </c>
      <c r="I784" s="3" t="s">
        <v>4394</v>
      </c>
      <c r="J784" s="5" t="str">
        <f>IFERROR(__xludf.DUMMYFUNCTION("GOOGLETRANSLATE(I784,""zh_HANT"",""zh_HANS"")"),"鳞甲龙")</f>
        <v>鳞甲龙</v>
      </c>
    </row>
    <row r="785">
      <c r="A785" s="3" t="str">
        <f t="shared" si="153"/>
        <v>NAME_PkMn_KOMMOO</v>
      </c>
      <c r="B785" s="3" t="s">
        <v>4395</v>
      </c>
      <c r="C785" s="3" t="s">
        <v>4396</v>
      </c>
      <c r="D785" s="3" t="s">
        <v>4397</v>
      </c>
      <c r="E785" s="3" t="s">
        <v>4398</v>
      </c>
      <c r="F785" s="5" t="str">
        <f t="shared" si="150"/>
        <v>Kommo-o</v>
      </c>
      <c r="G785" s="5" t="str">
        <f t="shared" si="151"/>
        <v>Kommo-o</v>
      </c>
      <c r="H785" s="3" t="s">
        <v>4393</v>
      </c>
      <c r="I785" s="5" t="str">
        <f>IFERROR(__xludf.DUMMYFUNCTION("GOOGLETRANSLATE(J785,""zh_HANS"",""zh_HANT"")"),"杖尾鱗甲龍")</f>
        <v>杖尾鱗甲龍</v>
      </c>
      <c r="J785" s="3" t="s">
        <v>4399</v>
      </c>
    </row>
    <row r="786">
      <c r="A786" s="3" t="str">
        <f t="shared" si="153"/>
        <v>NAME_PkMn_TAPUKOKO</v>
      </c>
      <c r="B786" s="3" t="s">
        <v>4400</v>
      </c>
      <c r="C786" s="3" t="s">
        <v>4401</v>
      </c>
      <c r="D786" s="3" t="s">
        <v>4402</v>
      </c>
      <c r="E786" s="3" t="s">
        <v>4403</v>
      </c>
      <c r="F786" s="5" t="str">
        <f t="shared" si="150"/>
        <v>Tapu Koko</v>
      </c>
      <c r="G786" s="5" t="str">
        <f t="shared" si="151"/>
        <v>Tapu Koko</v>
      </c>
      <c r="H786" s="3" t="s">
        <v>4404</v>
      </c>
      <c r="I786" s="3" t="s">
        <v>4405</v>
      </c>
      <c r="J786" s="5" t="str">
        <f>IFERROR(__xludf.DUMMYFUNCTION("GOOGLETRANSLATE(I786,""zh_HANT"",""zh_HANS"")"),"卡璞・鸣鸣")</f>
        <v>卡璞・鸣鸣</v>
      </c>
    </row>
    <row r="787">
      <c r="A787" s="3" t="str">
        <f t="shared" si="153"/>
        <v>NAME_PkMn_TAPULELE</v>
      </c>
      <c r="B787" s="3" t="s">
        <v>4406</v>
      </c>
      <c r="C787" s="9" t="s">
        <v>4407</v>
      </c>
      <c r="D787" s="3" t="s">
        <v>4408</v>
      </c>
      <c r="E787" s="3" t="s">
        <v>4409</v>
      </c>
      <c r="F787" s="5" t="str">
        <f t="shared" si="150"/>
        <v>Tapu Lele</v>
      </c>
      <c r="G787" s="5" t="str">
        <f t="shared" si="151"/>
        <v>Tapu Lele</v>
      </c>
      <c r="H787" s="3" t="s">
        <v>4410</v>
      </c>
      <c r="I787" s="3" t="s">
        <v>4411</v>
      </c>
      <c r="J787" s="5" t="str">
        <f t="shared" ref="J787:J788" si="154">I787</f>
        <v>卡璞・蝶蝶</v>
      </c>
    </row>
    <row r="788">
      <c r="A788" s="3" t="str">
        <f t="shared" si="153"/>
        <v>NAME_PkMn_TAPUBULU</v>
      </c>
      <c r="B788" s="3" t="s">
        <v>4412</v>
      </c>
      <c r="C788" s="9" t="s">
        <v>4413</v>
      </c>
      <c r="D788" s="3" t="s">
        <v>4414</v>
      </c>
      <c r="E788" s="3" t="s">
        <v>4415</v>
      </c>
      <c r="F788" s="5" t="str">
        <f t="shared" si="150"/>
        <v>Tapu Bulu</v>
      </c>
      <c r="G788" s="5" t="str">
        <f t="shared" si="151"/>
        <v>Tapu Bulu</v>
      </c>
      <c r="H788" s="3" t="s">
        <v>4416</v>
      </c>
      <c r="I788" s="3" t="s">
        <v>4417</v>
      </c>
      <c r="J788" s="5" t="str">
        <f t="shared" si="154"/>
        <v>卡璞・哞哞</v>
      </c>
    </row>
    <row r="789">
      <c r="A789" s="3" t="str">
        <f t="shared" si="153"/>
        <v>NAME_PkMn_TAPUFINI</v>
      </c>
      <c r="B789" s="3" t="s">
        <v>4418</v>
      </c>
      <c r="C789" s="9" t="s">
        <v>4419</v>
      </c>
      <c r="D789" s="3" t="s">
        <v>4420</v>
      </c>
      <c r="E789" s="3" t="s">
        <v>4421</v>
      </c>
      <c r="F789" s="5" t="str">
        <f t="shared" si="150"/>
        <v>Tapu Fini</v>
      </c>
      <c r="G789" s="5" t="str">
        <f t="shared" si="151"/>
        <v>Tapu Fini</v>
      </c>
      <c r="H789" s="3" t="s">
        <v>4422</v>
      </c>
      <c r="I789" s="3" t="s">
        <v>4423</v>
      </c>
      <c r="J789" s="5" t="str">
        <f>IFERROR(__xludf.DUMMYFUNCTION("GOOGLETRANSLATE(I789,""zh_HANT"",""zh_HANS"")"),"卡璞・鳍鳍")</f>
        <v>卡璞・鳍鳍</v>
      </c>
    </row>
    <row r="790">
      <c r="A790" s="3" t="str">
        <f t="shared" ref="A790:A865" si="155">CONCATENATE("NAME_PkMn_", UPPER(B790))</f>
        <v>NAME_PkMn_COSMOG</v>
      </c>
      <c r="B790" s="3" t="s">
        <v>4424</v>
      </c>
      <c r="C790" s="3" t="s">
        <v>4425</v>
      </c>
      <c r="D790" s="5" t="str">
        <f>B790</f>
        <v>Cosmog</v>
      </c>
      <c r="E790" s="5" t="str">
        <f>B790</f>
        <v>Cosmog</v>
      </c>
      <c r="F790" s="5" t="str">
        <f t="shared" si="150"/>
        <v>Cosmog</v>
      </c>
      <c r="G790" s="5" t="str">
        <f t="shared" si="151"/>
        <v>Cosmog</v>
      </c>
      <c r="H790" s="3" t="s">
        <v>4426</v>
      </c>
      <c r="I790" s="3" t="s">
        <v>4427</v>
      </c>
      <c r="J790" s="5" t="str">
        <f t="shared" ref="J790:J791" si="156">I790</f>
        <v>科斯莫古</v>
      </c>
    </row>
    <row r="791">
      <c r="A791" s="3" t="str">
        <f t="shared" si="155"/>
        <v>NAME_PkMn_COSMOEM</v>
      </c>
      <c r="B791" s="3" t="s">
        <v>4428</v>
      </c>
      <c r="C791" s="3" t="s">
        <v>4429</v>
      </c>
      <c r="D791" s="3" t="s">
        <v>4430</v>
      </c>
      <c r="E791" s="5" t="str">
        <f>D791</f>
        <v>Cosmovum</v>
      </c>
      <c r="F791" s="5" t="str">
        <f t="shared" si="150"/>
        <v>Cosmoem</v>
      </c>
      <c r="G791" s="5" t="str">
        <f t="shared" si="151"/>
        <v>Cosmoem</v>
      </c>
      <c r="H791" s="3" t="s">
        <v>4431</v>
      </c>
      <c r="I791" s="3" t="s">
        <v>4432</v>
      </c>
      <c r="J791" s="5" t="str">
        <f t="shared" si="156"/>
        <v>科斯莫姆</v>
      </c>
    </row>
    <row r="792">
      <c r="A792" s="3" t="str">
        <f t="shared" si="155"/>
        <v>NAME_PkMn_SOLGALEO</v>
      </c>
      <c r="B792" s="3" t="s">
        <v>4433</v>
      </c>
      <c r="C792" s="3" t="s">
        <v>4434</v>
      </c>
      <c r="D792" s="5" t="str">
        <f t="shared" ref="D792:D793" si="157">B792</f>
        <v>Solgaleo</v>
      </c>
      <c r="E792" s="5" t="str">
        <f t="shared" ref="E792:E793" si="158">B792</f>
        <v>Solgaleo</v>
      </c>
      <c r="F792" s="5" t="str">
        <f t="shared" si="150"/>
        <v>Solgaleo</v>
      </c>
      <c r="G792" s="5" t="str">
        <f t="shared" si="151"/>
        <v>Solgaleo</v>
      </c>
      <c r="H792" s="3" t="s">
        <v>4435</v>
      </c>
      <c r="I792" s="5" t="str">
        <f>IFERROR(__xludf.DUMMYFUNCTION("GOOGLETRANSLATE(J792,""zh_HANS"",""zh_HANT"")"),"索爾迦雷歐")</f>
        <v>索爾迦雷歐</v>
      </c>
      <c r="J792" s="3" t="s">
        <v>4436</v>
      </c>
    </row>
    <row r="793">
      <c r="A793" s="3" t="str">
        <f t="shared" si="155"/>
        <v>NAME_PkMn_LUNALA</v>
      </c>
      <c r="B793" s="3" t="s">
        <v>4437</v>
      </c>
      <c r="C793" s="3" t="s">
        <v>4438</v>
      </c>
      <c r="D793" s="5" t="str">
        <f t="shared" si="157"/>
        <v>Lunala</v>
      </c>
      <c r="E793" s="5" t="str">
        <f t="shared" si="158"/>
        <v>Lunala</v>
      </c>
      <c r="F793" s="5" t="str">
        <f t="shared" si="150"/>
        <v>Lunala</v>
      </c>
      <c r="G793" s="5" t="str">
        <f t="shared" si="151"/>
        <v>Lunala</v>
      </c>
      <c r="H793" s="3" t="s">
        <v>4439</v>
      </c>
      <c r="I793" s="5" t="str">
        <f>J793</f>
        <v>露奈雅拉</v>
      </c>
      <c r="J793" s="3" t="s">
        <v>4440</v>
      </c>
    </row>
    <row r="794">
      <c r="A794" s="3" t="str">
        <f t="shared" si="155"/>
        <v>NAME_PkMn_NIHILEGO</v>
      </c>
      <c r="B794" s="3" t="s">
        <v>4441</v>
      </c>
      <c r="C794" s="3" t="s">
        <v>4442</v>
      </c>
      <c r="D794" s="3" t="s">
        <v>4443</v>
      </c>
      <c r="E794" s="3" t="s">
        <v>4444</v>
      </c>
      <c r="F794" s="5" t="str">
        <f t="shared" si="150"/>
        <v>Nihilego</v>
      </c>
      <c r="G794" s="5" t="str">
        <f t="shared" si="151"/>
        <v>Nihilego</v>
      </c>
      <c r="H794" s="3" t="s">
        <v>4445</v>
      </c>
      <c r="I794" s="3" t="s">
        <v>4446</v>
      </c>
      <c r="J794" s="5" t="str">
        <f>IFERROR(__xludf.DUMMYFUNCTION("GOOGLETRANSLATE(I794,""zh_HANT"",""zh_HANS"")"),"虚吾伊德")</f>
        <v>虚吾伊德</v>
      </c>
    </row>
    <row r="795">
      <c r="A795" s="3" t="str">
        <f t="shared" si="155"/>
        <v>NAME_PkMn_BUZZWOLE</v>
      </c>
      <c r="B795" s="3" t="s">
        <v>4447</v>
      </c>
      <c r="C795" s="3" t="s">
        <v>4448</v>
      </c>
      <c r="D795" s="3" t="s">
        <v>4449</v>
      </c>
      <c r="E795" s="3" t="s">
        <v>4450</v>
      </c>
      <c r="F795" s="5" t="str">
        <f t="shared" si="150"/>
        <v>Buzzwole</v>
      </c>
      <c r="G795" s="5" t="str">
        <f t="shared" si="151"/>
        <v>Buzzwole</v>
      </c>
      <c r="H795" s="3" t="s">
        <v>4451</v>
      </c>
      <c r="I795" s="3" t="s">
        <v>4452</v>
      </c>
      <c r="J795" s="5" t="str">
        <f>I795</f>
        <v>爆肌蚊</v>
      </c>
    </row>
    <row r="796">
      <c r="A796" s="3" t="str">
        <f t="shared" si="155"/>
        <v>NAME_PkMn_PHEROMOSA</v>
      </c>
      <c r="B796" s="3" t="s">
        <v>4453</v>
      </c>
      <c r="C796" s="3" t="s">
        <v>4454</v>
      </c>
      <c r="D796" s="3" t="s">
        <v>4455</v>
      </c>
      <c r="E796" s="3" t="s">
        <v>4456</v>
      </c>
      <c r="F796" s="5" t="str">
        <f t="shared" si="150"/>
        <v>Pheromosa</v>
      </c>
      <c r="G796" s="5" t="str">
        <f t="shared" si="151"/>
        <v>Pheromosa</v>
      </c>
      <c r="H796" s="3" t="s">
        <v>4457</v>
      </c>
      <c r="I796" s="3" t="s">
        <v>4458</v>
      </c>
      <c r="J796" s="5" t="str">
        <f>IFERROR(__xludf.DUMMYFUNCTION("GOOGLETRANSLATE(I796,""zh_HANT"",""zh_HANS"")"),"费洛美螂")</f>
        <v>费洛美螂</v>
      </c>
    </row>
    <row r="797">
      <c r="A797" s="3" t="str">
        <f t="shared" si="155"/>
        <v>NAME_PkMn_XURKITREE</v>
      </c>
      <c r="B797" s="3" t="s">
        <v>4459</v>
      </c>
      <c r="C797" s="3" t="s">
        <v>4460</v>
      </c>
      <c r="D797" s="3" t="s">
        <v>4461</v>
      </c>
      <c r="E797" s="3" t="s">
        <v>4462</v>
      </c>
      <c r="F797" s="5" t="str">
        <f t="shared" si="150"/>
        <v>Xurkitree</v>
      </c>
      <c r="G797" s="5" t="str">
        <f t="shared" si="151"/>
        <v>Xurkitree</v>
      </c>
      <c r="H797" s="3" t="s">
        <v>4463</v>
      </c>
      <c r="I797" s="3" t="s">
        <v>4464</v>
      </c>
      <c r="J797" s="5" t="str">
        <f>IFERROR(__xludf.DUMMYFUNCTION("GOOGLETRANSLATE(I797,""zh_HANT"",""zh_HANS"")"),"电束木")</f>
        <v>电束木</v>
      </c>
    </row>
    <row r="798">
      <c r="A798" s="3" t="str">
        <f t="shared" si="155"/>
        <v>NAME_PkMn_CELESTEELA</v>
      </c>
      <c r="B798" s="3" t="s">
        <v>4465</v>
      </c>
      <c r="C798" s="3" t="s">
        <v>4466</v>
      </c>
      <c r="D798" s="3" t="s">
        <v>4467</v>
      </c>
      <c r="E798" s="3" t="s">
        <v>4468</v>
      </c>
      <c r="F798" s="5" t="str">
        <f t="shared" si="150"/>
        <v>Celesteela</v>
      </c>
      <c r="G798" s="5" t="str">
        <f t="shared" si="151"/>
        <v>Celesteela</v>
      </c>
      <c r="H798" s="3" t="s">
        <v>4469</v>
      </c>
      <c r="I798" s="3" t="s">
        <v>4470</v>
      </c>
      <c r="J798" s="5" t="str">
        <f>IFERROR(__xludf.DUMMYFUNCTION("GOOGLETRANSLATE(I798,""zh_HANT"",""zh_HANS"")"),"铁火辉夜")</f>
        <v>铁火辉夜</v>
      </c>
    </row>
    <row r="799">
      <c r="A799" s="3" t="str">
        <f t="shared" si="155"/>
        <v>NAME_PkMn_KARTANA</v>
      </c>
      <c r="B799" s="3" t="s">
        <v>4471</v>
      </c>
      <c r="C799" s="3" t="s">
        <v>4472</v>
      </c>
      <c r="D799" s="3" t="s">
        <v>4473</v>
      </c>
      <c r="E799" s="3" t="s">
        <v>4473</v>
      </c>
      <c r="F799" s="5" t="str">
        <f t="shared" si="150"/>
        <v>Kartana</v>
      </c>
      <c r="G799" s="5" t="str">
        <f t="shared" si="151"/>
        <v>Kartana</v>
      </c>
      <c r="H799" s="3" t="s">
        <v>4474</v>
      </c>
      <c r="I799" s="3" t="s">
        <v>4475</v>
      </c>
      <c r="J799" s="5" t="str">
        <f>IFERROR(__xludf.DUMMYFUNCTION("GOOGLETRANSLATE(I799,""zh_HANT"",""zh_HANS"")"),"纸御剑")</f>
        <v>纸御剑</v>
      </c>
    </row>
    <row r="800">
      <c r="A800" s="3" t="str">
        <f t="shared" si="155"/>
        <v>NAME_PkMn_GUZZLORD</v>
      </c>
      <c r="B800" s="3" t="s">
        <v>4476</v>
      </c>
      <c r="C800" s="3" t="s">
        <v>4477</v>
      </c>
      <c r="D800" s="3" t="s">
        <v>4478</v>
      </c>
      <c r="E800" s="3" t="s">
        <v>4479</v>
      </c>
      <c r="F800" s="5" t="str">
        <f t="shared" si="150"/>
        <v>Guzzlord</v>
      </c>
      <c r="G800" s="5" t="str">
        <f t="shared" si="151"/>
        <v>Guzzlord</v>
      </c>
      <c r="H800" s="3" t="s">
        <v>4480</v>
      </c>
      <c r="I800" s="3" t="s">
        <v>4481</v>
      </c>
      <c r="J800" s="5" t="str">
        <f>IFERROR(__xludf.DUMMYFUNCTION("GOOGLETRANSLATE(I800,""zh_HANT"",""zh_HANS"")"),"恶食大王")</f>
        <v>恶食大王</v>
      </c>
    </row>
    <row r="801">
      <c r="A801" s="3" t="str">
        <f t="shared" si="155"/>
        <v>NAME_PkMn_NECROZMA</v>
      </c>
      <c r="B801" s="3" t="s">
        <v>4482</v>
      </c>
      <c r="C801" s="3" t="s">
        <v>4483</v>
      </c>
      <c r="D801" s="5" t="str">
        <f t="shared" ref="D801:D803" si="159">B801</f>
        <v>Necrozma</v>
      </c>
      <c r="E801" s="5" t="str">
        <f t="shared" ref="E801:E803" si="160">B801</f>
        <v>Necrozma</v>
      </c>
      <c r="F801" s="5" t="str">
        <f t="shared" si="150"/>
        <v>Necrozma</v>
      </c>
      <c r="G801" s="5" t="str">
        <f t="shared" si="151"/>
        <v>Necrozma</v>
      </c>
      <c r="H801" s="3" t="s">
        <v>4484</v>
      </c>
      <c r="I801" s="3" t="s">
        <v>4485</v>
      </c>
      <c r="J801" s="5" t="str">
        <f>IFERROR(__xludf.DUMMYFUNCTION("GOOGLETRANSLATE(I801,""zh_HANT"",""zh_HANS"")"),"奈克洛兹玛")</f>
        <v>奈克洛兹玛</v>
      </c>
    </row>
    <row r="802">
      <c r="A802" s="3" t="str">
        <f t="shared" si="155"/>
        <v>NAME_PkMn_MAGEARNA</v>
      </c>
      <c r="B802" s="3" t="s">
        <v>4486</v>
      </c>
      <c r="C802" s="3" t="s">
        <v>4487</v>
      </c>
      <c r="D802" s="5" t="str">
        <f t="shared" si="159"/>
        <v>Magearna</v>
      </c>
      <c r="E802" s="5" t="str">
        <f t="shared" si="160"/>
        <v>Magearna</v>
      </c>
      <c r="F802" s="5" t="str">
        <f t="shared" si="150"/>
        <v>Magearna</v>
      </c>
      <c r="G802" s="5" t="str">
        <f t="shared" si="151"/>
        <v>Magearna</v>
      </c>
      <c r="H802" s="3" t="s">
        <v>4488</v>
      </c>
      <c r="I802" s="3" t="s">
        <v>4489</v>
      </c>
      <c r="J802" s="5" t="str">
        <f>IFERROR(__xludf.DUMMYFUNCTION("GOOGLETRANSLATE(I802,""zh_HANT"",""zh_HANS"")"),"玛机雅娜")</f>
        <v>玛机雅娜</v>
      </c>
    </row>
    <row r="803">
      <c r="A803" s="3" t="str">
        <f t="shared" si="155"/>
        <v>NAME_PkMn_MARSHADOW</v>
      </c>
      <c r="B803" s="3" t="s">
        <v>4490</v>
      </c>
      <c r="C803" s="3" t="s">
        <v>4491</v>
      </c>
      <c r="D803" s="5" t="str">
        <f t="shared" si="159"/>
        <v>Marshadow</v>
      </c>
      <c r="E803" s="5" t="str">
        <f t="shared" si="160"/>
        <v>Marshadow</v>
      </c>
      <c r="F803" s="5" t="str">
        <f t="shared" si="150"/>
        <v>Marshadow</v>
      </c>
      <c r="G803" s="5" t="str">
        <f t="shared" si="151"/>
        <v>Marshadow</v>
      </c>
      <c r="H803" s="3" t="s">
        <v>4492</v>
      </c>
      <c r="I803" s="5" t="str">
        <f>IFERROR(__xludf.DUMMYFUNCTION("GOOGLETRANSLATE(J803,""zh_HANS"",""zh_HANT"")"),"瑪夏多")</f>
        <v>瑪夏多</v>
      </c>
      <c r="J803" s="3" t="s">
        <v>4493</v>
      </c>
    </row>
    <row r="804">
      <c r="A804" s="3" t="str">
        <f t="shared" si="155"/>
        <v>NAME_PkMn_POIPOLE</v>
      </c>
      <c r="B804" s="3" t="s">
        <v>4494</v>
      </c>
      <c r="C804" s="3" t="s">
        <v>4495</v>
      </c>
      <c r="D804" s="3" t="s">
        <v>4496</v>
      </c>
      <c r="E804" s="3" t="s">
        <v>4497</v>
      </c>
      <c r="F804" s="5" t="str">
        <f t="shared" si="150"/>
        <v>Poipole</v>
      </c>
      <c r="G804" s="5" t="str">
        <f t="shared" si="151"/>
        <v>Poipole</v>
      </c>
      <c r="H804" s="3" t="s">
        <v>4498</v>
      </c>
      <c r="I804" s="3" t="s">
        <v>4499</v>
      </c>
      <c r="J804" s="5" t="str">
        <f>IFERROR(__xludf.DUMMYFUNCTION("GOOGLETRANSLATE(I804,""zh_HANT"",""zh_HANS"")"),"毒贝比")</f>
        <v>毒贝比</v>
      </c>
    </row>
    <row r="805">
      <c r="A805" s="3" t="str">
        <f t="shared" si="155"/>
        <v>NAME_PkMn_NAGANADEL</v>
      </c>
      <c r="B805" s="3" t="s">
        <v>4500</v>
      </c>
      <c r="C805" s="3" t="s">
        <v>4501</v>
      </c>
      <c r="D805" s="3" t="s">
        <v>4502</v>
      </c>
      <c r="E805" s="3" t="s">
        <v>4503</v>
      </c>
      <c r="F805" s="5" t="str">
        <f t="shared" si="150"/>
        <v>Naganadel</v>
      </c>
      <c r="G805" s="5" t="str">
        <f t="shared" si="151"/>
        <v>Naganadel</v>
      </c>
      <c r="H805" s="3" t="s">
        <v>4504</v>
      </c>
      <c r="I805" s="3" t="s">
        <v>4505</v>
      </c>
      <c r="J805" s="5" t="str">
        <f>IFERROR(__xludf.DUMMYFUNCTION("GOOGLETRANSLATE(I805,""zh_HANT"",""zh_HANS"")"),"四颚针龙")</f>
        <v>四颚针龙</v>
      </c>
    </row>
    <row r="806">
      <c r="A806" s="3" t="str">
        <f t="shared" si="155"/>
        <v>NAME_PkMn_STAKATAKA</v>
      </c>
      <c r="B806" s="3" t="s">
        <v>4506</v>
      </c>
      <c r="C806" s="3" t="s">
        <v>4507</v>
      </c>
      <c r="D806" s="3" t="s">
        <v>4508</v>
      </c>
      <c r="E806" s="3" t="s">
        <v>4509</v>
      </c>
      <c r="F806" s="5" t="str">
        <f t="shared" si="150"/>
        <v>Stakataka</v>
      </c>
      <c r="G806" s="5" t="str">
        <f t="shared" si="151"/>
        <v>Stakataka</v>
      </c>
      <c r="H806" s="3" t="s">
        <v>4510</v>
      </c>
      <c r="I806" s="3" t="s">
        <v>4511</v>
      </c>
      <c r="J806" s="5" t="str">
        <f>IFERROR(__xludf.DUMMYFUNCTION("GOOGLETRANSLATE(I806,""zh_HANT"",""zh_HANS"")"),"垒磊石")</f>
        <v>垒磊石</v>
      </c>
    </row>
    <row r="807">
      <c r="A807" s="3" t="str">
        <f t="shared" si="155"/>
        <v>NAME_PkMn_BLACEPHALON</v>
      </c>
      <c r="B807" s="3" t="s">
        <v>4512</v>
      </c>
      <c r="C807" s="3" t="s">
        <v>4513</v>
      </c>
      <c r="D807" s="3" t="s">
        <v>4514</v>
      </c>
      <c r="E807" s="3" t="s">
        <v>4515</v>
      </c>
      <c r="F807" s="5" t="str">
        <f t="shared" si="150"/>
        <v>Blacephalon</v>
      </c>
      <c r="G807" s="5" t="str">
        <f t="shared" si="151"/>
        <v>Blacephalon</v>
      </c>
      <c r="H807" s="3" t="s">
        <v>4516</v>
      </c>
      <c r="I807" s="3" t="s">
        <v>4517</v>
      </c>
      <c r="J807" s="5" t="str">
        <f>IFERROR(__xludf.DUMMYFUNCTION("GOOGLETRANSLATE(I807,""zh_HANT"",""zh_HANS"")"),"砰头小丑")</f>
        <v>砰头小丑</v>
      </c>
    </row>
    <row r="808">
      <c r="A808" s="3" t="str">
        <f t="shared" si="155"/>
        <v>NAME_PkMn_ZERAORA</v>
      </c>
      <c r="B808" s="3" t="s">
        <v>4518</v>
      </c>
      <c r="C808" s="3" t="s">
        <v>4519</v>
      </c>
      <c r="D808" s="5" t="str">
        <f t="shared" ref="D808:D810" si="161">B808</f>
        <v>Zeraora</v>
      </c>
      <c r="E808" s="5" t="str">
        <f t="shared" ref="E808:E810" si="162">B808</f>
        <v>Zeraora</v>
      </c>
      <c r="F808" s="5" t="str">
        <f t="shared" si="150"/>
        <v>Zeraora</v>
      </c>
      <c r="G808" s="5" t="str">
        <f t="shared" si="151"/>
        <v>Zeraora</v>
      </c>
      <c r="H808" s="3" t="s">
        <v>4520</v>
      </c>
      <c r="I808" s="3" t="s">
        <v>4521</v>
      </c>
      <c r="J808" s="5" t="str">
        <f>IFERROR(__xludf.DUMMYFUNCTION("GOOGLETRANSLATE(I808,""zh_HANT"",""zh_HANS"")"),"捷拉奥拉")</f>
        <v>捷拉奥拉</v>
      </c>
    </row>
    <row r="809">
      <c r="A809" s="3" t="str">
        <f t="shared" si="155"/>
        <v>NAME_PkMn_MELTAN</v>
      </c>
      <c r="B809" s="3" t="s">
        <v>4522</v>
      </c>
      <c r="C809" s="3" t="s">
        <v>4523</v>
      </c>
      <c r="D809" s="5" t="str">
        <f t="shared" si="161"/>
        <v>Meltan</v>
      </c>
      <c r="E809" s="5" t="str">
        <f t="shared" si="162"/>
        <v>Meltan</v>
      </c>
      <c r="F809" s="5" t="str">
        <f t="shared" si="150"/>
        <v>Meltan</v>
      </c>
      <c r="G809" s="5" t="str">
        <f t="shared" si="151"/>
        <v>Meltan</v>
      </c>
      <c r="H809" s="3" t="s">
        <v>4524</v>
      </c>
      <c r="I809" s="3" t="s">
        <v>4525</v>
      </c>
      <c r="J809" s="5" t="str">
        <f>IFERROR(__xludf.DUMMYFUNCTION("GOOGLETRANSLATE(I809,""zh_HANT"",""zh_HANS"")"),"美录坦")</f>
        <v>美录坦</v>
      </c>
    </row>
    <row r="810">
      <c r="A810" s="3" t="str">
        <f t="shared" si="155"/>
        <v>NAME_PkMn_MELMETAL</v>
      </c>
      <c r="B810" s="3" t="s">
        <v>4526</v>
      </c>
      <c r="C810" s="3" t="s">
        <v>4527</v>
      </c>
      <c r="D810" s="5" t="str">
        <f t="shared" si="161"/>
        <v>Melmetal</v>
      </c>
      <c r="E810" s="5" t="str">
        <f t="shared" si="162"/>
        <v>Melmetal</v>
      </c>
      <c r="F810" s="5" t="str">
        <f t="shared" si="150"/>
        <v>Melmetal</v>
      </c>
      <c r="G810" s="5" t="str">
        <f t="shared" si="151"/>
        <v>Melmetal</v>
      </c>
      <c r="H810" s="3" t="s">
        <v>4528</v>
      </c>
      <c r="I810" s="3" t="s">
        <v>4529</v>
      </c>
      <c r="J810" s="5" t="str">
        <f>IFERROR(__xludf.DUMMYFUNCTION("GOOGLETRANSLATE(I810,""zh_HANT"",""zh_HANS"")"),"美录梅塔")</f>
        <v>美录梅塔</v>
      </c>
    </row>
    <row r="811">
      <c r="A811" s="3" t="str">
        <f t="shared" si="155"/>
        <v>NAME_PkMn_GROOKEY</v>
      </c>
      <c r="B811" s="3" t="s">
        <v>4530</v>
      </c>
      <c r="C811" s="3" t="s">
        <v>4531</v>
      </c>
      <c r="D811" s="3" t="s">
        <v>4532</v>
      </c>
      <c r="E811" s="3" t="s">
        <v>4533</v>
      </c>
      <c r="F811" s="5" t="str">
        <f t="shared" si="150"/>
        <v>Grookey</v>
      </c>
      <c r="G811" s="5" t="str">
        <f t="shared" si="151"/>
        <v>Grookey</v>
      </c>
      <c r="H811" s="3" t="s">
        <v>4534</v>
      </c>
      <c r="I811" s="3" t="s">
        <v>4535</v>
      </c>
      <c r="J811" s="5" t="str">
        <f t="shared" ref="J811:J812" si="163">I811</f>
        <v>敲音猴</v>
      </c>
    </row>
    <row r="812">
      <c r="A812" s="3" t="str">
        <f t="shared" si="155"/>
        <v>NAME_PkMn_THWAKEY</v>
      </c>
      <c r="B812" s="3" t="s">
        <v>4536</v>
      </c>
      <c r="C812" s="3" t="s">
        <v>4537</v>
      </c>
      <c r="D812" s="3" t="s">
        <v>4538</v>
      </c>
      <c r="E812" s="3" t="s">
        <v>4539</v>
      </c>
      <c r="F812" s="5" t="str">
        <f t="shared" si="150"/>
        <v>Thwakey</v>
      </c>
      <c r="G812" s="5" t="str">
        <f t="shared" si="151"/>
        <v>Thwakey</v>
      </c>
      <c r="H812" s="3" t="s">
        <v>4540</v>
      </c>
      <c r="I812" s="3" t="s">
        <v>4541</v>
      </c>
      <c r="J812" s="5" t="str">
        <f t="shared" si="163"/>
        <v>啪咚猴</v>
      </c>
    </row>
    <row r="813">
      <c r="A813" s="3" t="str">
        <f t="shared" si="155"/>
        <v>NAME_PkMn_RILLABOOM</v>
      </c>
      <c r="B813" s="3" t="s">
        <v>4542</v>
      </c>
      <c r="C813" s="3" t="s">
        <v>4543</v>
      </c>
      <c r="D813" s="3" t="s">
        <v>4544</v>
      </c>
      <c r="E813" s="3" t="s">
        <v>4545</v>
      </c>
      <c r="F813" s="5" t="str">
        <f t="shared" si="150"/>
        <v>Rillaboom</v>
      </c>
      <c r="G813" s="5" t="str">
        <f t="shared" si="151"/>
        <v>Rillaboom</v>
      </c>
      <c r="H813" s="3" t="s">
        <v>4546</v>
      </c>
      <c r="I813" s="3" t="s">
        <v>4547</v>
      </c>
      <c r="J813" s="5" t="str">
        <f>IFERROR(__xludf.DUMMYFUNCTION("GOOGLETRANSLATE(I813,""zh_HANT"",""zh_HANS"")"),"轰擂金刚猩")</f>
        <v>轰擂金刚猩</v>
      </c>
    </row>
    <row r="814">
      <c r="A814" s="3" t="str">
        <f t="shared" si="155"/>
        <v>NAME_PkMn_SCORBUNNY</v>
      </c>
      <c r="B814" s="3" t="s">
        <v>4548</v>
      </c>
      <c r="C814" s="3" t="s">
        <v>4549</v>
      </c>
      <c r="D814" s="3" t="s">
        <v>4550</v>
      </c>
      <c r="E814" s="3" t="s">
        <v>4551</v>
      </c>
      <c r="F814" s="5" t="str">
        <f t="shared" si="150"/>
        <v>Scorbunny</v>
      </c>
      <c r="G814" s="5" t="str">
        <f t="shared" si="151"/>
        <v>Scorbunny</v>
      </c>
      <c r="H814" s="3" t="s">
        <v>4552</v>
      </c>
      <c r="I814" s="3" t="s">
        <v>4553</v>
      </c>
      <c r="J814" s="5" t="str">
        <f>IFERROR(__xludf.DUMMYFUNCTION("GOOGLETRANSLATE(I814,""zh_HANT"",""zh_HANS"")"),"炎兔儿")</f>
        <v>炎兔儿</v>
      </c>
    </row>
    <row r="815">
      <c r="A815" s="3" t="str">
        <f t="shared" si="155"/>
        <v>NAME_PkMn_RABOOT</v>
      </c>
      <c r="B815" s="3" t="s">
        <v>4554</v>
      </c>
      <c r="C815" s="3" t="s">
        <v>4555</v>
      </c>
      <c r="D815" s="3" t="s">
        <v>4556</v>
      </c>
      <c r="E815" s="3" t="s">
        <v>4557</v>
      </c>
      <c r="F815" s="5" t="str">
        <f t="shared" si="150"/>
        <v>Raboot</v>
      </c>
      <c r="G815" s="5" t="str">
        <f t="shared" si="151"/>
        <v>Raboot</v>
      </c>
      <c r="H815" s="3" t="s">
        <v>4558</v>
      </c>
      <c r="I815" s="3" t="s">
        <v>4559</v>
      </c>
      <c r="J815" s="5" t="str">
        <f>IFERROR(__xludf.DUMMYFUNCTION("GOOGLETRANSLATE(I815,""zh_HANT"",""zh_HANS"")"),"腾蹴小将")</f>
        <v>腾蹴小将</v>
      </c>
    </row>
    <row r="816">
      <c r="A816" s="3" t="str">
        <f t="shared" si="155"/>
        <v>NAME_PkMn_CINDERACE</v>
      </c>
      <c r="B816" s="3" t="s">
        <v>4560</v>
      </c>
      <c r="C816" s="3" t="s">
        <v>4561</v>
      </c>
      <c r="D816" s="3" t="s">
        <v>4562</v>
      </c>
      <c r="E816" s="3" t="s">
        <v>4563</v>
      </c>
      <c r="F816" s="5" t="str">
        <f t="shared" si="150"/>
        <v>Cinderace</v>
      </c>
      <c r="G816" s="5" t="str">
        <f t="shared" si="151"/>
        <v>Cinderace</v>
      </c>
      <c r="H816" s="3" t="s">
        <v>4564</v>
      </c>
      <c r="I816" s="3" t="s">
        <v>4565</v>
      </c>
      <c r="J816" s="5" t="str">
        <f>IFERROR(__xludf.DUMMYFUNCTION("GOOGLETRANSLATE(I816,""zh_HANT"",""zh_HANS"")"),"闪焰王牌")</f>
        <v>闪焰王牌</v>
      </c>
    </row>
    <row r="817">
      <c r="A817" s="3" t="str">
        <f t="shared" si="155"/>
        <v>NAME_PkMn_SOBBLE</v>
      </c>
      <c r="B817" s="3" t="s">
        <v>4566</v>
      </c>
      <c r="C817" s="3" t="s">
        <v>4567</v>
      </c>
      <c r="D817" s="3" t="s">
        <v>4568</v>
      </c>
      <c r="E817" s="3" t="s">
        <v>4569</v>
      </c>
      <c r="F817" s="5" t="str">
        <f t="shared" si="150"/>
        <v>Sobble</v>
      </c>
      <c r="G817" s="5" t="str">
        <f t="shared" si="151"/>
        <v>Sobble</v>
      </c>
      <c r="H817" s="3" t="s">
        <v>4570</v>
      </c>
      <c r="I817" s="3" t="s">
        <v>4571</v>
      </c>
      <c r="J817" s="5" t="str">
        <f>IFERROR(__xludf.DUMMYFUNCTION("GOOGLETRANSLATE(I817,""zh_HANT"",""zh_HANS"")"),"泪眼蜥")</f>
        <v>泪眼蜥</v>
      </c>
    </row>
    <row r="818">
      <c r="A818" s="3" t="str">
        <f t="shared" si="155"/>
        <v>NAME_PkMn_DRIZZILE</v>
      </c>
      <c r="B818" s="3" t="s">
        <v>4572</v>
      </c>
      <c r="C818" s="3" t="s">
        <v>4573</v>
      </c>
      <c r="D818" s="3" t="s">
        <v>4574</v>
      </c>
      <c r="E818" s="3" t="s">
        <v>4575</v>
      </c>
      <c r="F818" s="5" t="str">
        <f t="shared" si="150"/>
        <v>Drizzile</v>
      </c>
      <c r="G818" s="5" t="str">
        <f t="shared" si="151"/>
        <v>Drizzile</v>
      </c>
      <c r="H818" s="3" t="s">
        <v>4576</v>
      </c>
      <c r="I818" s="3" t="s">
        <v>4577</v>
      </c>
      <c r="J818" s="5" t="str">
        <f>IFERROR(__xludf.DUMMYFUNCTION("GOOGLETRANSLATE(I818,""zh_HANT"",""zh_HANS"")"),"变涩蜥")</f>
        <v>变涩蜥</v>
      </c>
    </row>
    <row r="819">
      <c r="A819" s="3" t="str">
        <f t="shared" si="155"/>
        <v>NAME_PkMn_INTELEON</v>
      </c>
      <c r="B819" s="3" t="s">
        <v>4578</v>
      </c>
      <c r="C819" s="3" t="s">
        <v>4579</v>
      </c>
      <c r="D819" s="3" t="s">
        <v>4580</v>
      </c>
      <c r="E819" s="3" t="s">
        <v>4581</v>
      </c>
      <c r="F819" s="5" t="str">
        <f t="shared" si="150"/>
        <v>Inteleon</v>
      </c>
      <c r="G819" s="5" t="str">
        <f t="shared" si="151"/>
        <v>Inteleon</v>
      </c>
      <c r="H819" s="3" t="s">
        <v>4582</v>
      </c>
      <c r="I819" s="3" t="s">
        <v>4583</v>
      </c>
      <c r="J819" s="5" t="str">
        <f>I819</f>
        <v>千面避役</v>
      </c>
    </row>
    <row r="820">
      <c r="A820" s="3" t="str">
        <f t="shared" si="155"/>
        <v>NAME_PkMn_SKOWVET</v>
      </c>
      <c r="B820" s="3" t="s">
        <v>4584</v>
      </c>
      <c r="C820" s="3" t="s">
        <v>4585</v>
      </c>
      <c r="D820" s="3" t="s">
        <v>4586</v>
      </c>
      <c r="E820" s="3" t="s">
        <v>4587</v>
      </c>
      <c r="F820" s="5" t="str">
        <f t="shared" si="150"/>
        <v>Skowvet</v>
      </c>
      <c r="G820" s="5" t="str">
        <f t="shared" si="151"/>
        <v>Skowvet</v>
      </c>
      <c r="H820" s="3" t="s">
        <v>4588</v>
      </c>
      <c r="I820" s="3" t="s">
        <v>4589</v>
      </c>
      <c r="J820" s="5" t="str">
        <f>IFERROR(__xludf.DUMMYFUNCTION("GOOGLETRANSLATE(I820,""zh_HANT"",""zh_HANS"")"),"贪心栗鼠")</f>
        <v>贪心栗鼠</v>
      </c>
    </row>
    <row r="821">
      <c r="A821" s="3" t="str">
        <f t="shared" si="155"/>
        <v>NAME_PkMn_GREEDENT</v>
      </c>
      <c r="B821" s="3" t="s">
        <v>4590</v>
      </c>
      <c r="C821" s="3" t="s">
        <v>4591</v>
      </c>
      <c r="D821" s="3" t="s">
        <v>4592</v>
      </c>
      <c r="E821" s="3" t="s">
        <v>4593</v>
      </c>
      <c r="F821" s="5" t="str">
        <f t="shared" si="150"/>
        <v>Greedent</v>
      </c>
      <c r="G821" s="5" t="str">
        <f t="shared" si="151"/>
        <v>Greedent</v>
      </c>
      <c r="H821" s="3" t="s">
        <v>4594</v>
      </c>
      <c r="I821" s="3" t="s">
        <v>4595</v>
      </c>
      <c r="J821" s="5" t="str">
        <f>IFERROR(__xludf.DUMMYFUNCTION("GOOGLETRANSLATE(I821,""zh_HANT"",""zh_HANS"")"),"藏饱栗鼠")</f>
        <v>藏饱栗鼠</v>
      </c>
    </row>
    <row r="822">
      <c r="A822" s="3" t="str">
        <f t="shared" si="155"/>
        <v>NAME_PkMn_ROOKIDEE</v>
      </c>
      <c r="B822" s="3" t="s">
        <v>4596</v>
      </c>
      <c r="C822" s="3" t="s">
        <v>4597</v>
      </c>
      <c r="D822" s="3" t="s">
        <v>4598</v>
      </c>
      <c r="E822" s="3" t="s">
        <v>4599</v>
      </c>
      <c r="F822" s="5" t="str">
        <f t="shared" si="150"/>
        <v>Rookidee</v>
      </c>
      <c r="G822" s="5" t="str">
        <f t="shared" si="151"/>
        <v>Rookidee</v>
      </c>
      <c r="H822" s="3" t="s">
        <v>4600</v>
      </c>
      <c r="I822" s="3" t="s">
        <v>4601</v>
      </c>
      <c r="J822" s="5" t="str">
        <f>I822</f>
        <v>稚山雀</v>
      </c>
    </row>
    <row r="823">
      <c r="A823" s="3" t="str">
        <f t="shared" si="155"/>
        <v>NAME_PkMn_CORVISQUIRE</v>
      </c>
      <c r="B823" s="3" t="s">
        <v>4602</v>
      </c>
      <c r="C823" s="3" t="s">
        <v>4603</v>
      </c>
      <c r="D823" s="3" t="s">
        <v>4604</v>
      </c>
      <c r="E823" s="3" t="s">
        <v>4605</v>
      </c>
      <c r="F823" s="5" t="str">
        <f t="shared" si="150"/>
        <v>Corvisquire</v>
      </c>
      <c r="G823" s="5" t="str">
        <f t="shared" si="151"/>
        <v>Corvisquire</v>
      </c>
      <c r="H823" s="3" t="s">
        <v>4606</v>
      </c>
      <c r="I823" s="3" t="s">
        <v>4607</v>
      </c>
      <c r="J823" s="5" t="str">
        <f>IFERROR(__xludf.DUMMYFUNCTION("GOOGLETRANSLATE(I823,""zh_HANT"",""zh_HANS"")"),"蓝鸦")</f>
        <v>蓝鸦</v>
      </c>
    </row>
    <row r="824">
      <c r="A824" s="3" t="str">
        <f t="shared" si="155"/>
        <v>NAME_PkMn_CORVIKNIGHT</v>
      </c>
      <c r="B824" s="3" t="s">
        <v>4608</v>
      </c>
      <c r="C824" s="3" t="s">
        <v>4609</v>
      </c>
      <c r="D824" s="3" t="s">
        <v>4610</v>
      </c>
      <c r="E824" s="3" t="s">
        <v>4611</v>
      </c>
      <c r="F824" s="5" t="str">
        <f t="shared" si="150"/>
        <v>Corviknight</v>
      </c>
      <c r="G824" s="5" t="str">
        <f t="shared" si="151"/>
        <v>Corviknight</v>
      </c>
      <c r="H824" s="3" t="s">
        <v>4612</v>
      </c>
      <c r="I824" s="3" t="s">
        <v>4613</v>
      </c>
      <c r="J824" s="5" t="str">
        <f>IFERROR(__xludf.DUMMYFUNCTION("GOOGLETRANSLATE(I824,""zh_HANT"",""zh_HANS"")"),"钢铠鸦")</f>
        <v>钢铠鸦</v>
      </c>
    </row>
    <row r="825">
      <c r="A825" s="3" t="str">
        <f t="shared" si="155"/>
        <v>NAME_PkMn_BLIPBUG</v>
      </c>
      <c r="B825" s="3" t="s">
        <v>4614</v>
      </c>
      <c r="C825" s="3" t="s">
        <v>4615</v>
      </c>
      <c r="D825" s="3" t="s">
        <v>4616</v>
      </c>
      <c r="E825" s="3" t="s">
        <v>4617</v>
      </c>
      <c r="F825" s="5" t="str">
        <f t="shared" si="150"/>
        <v>Blipbug</v>
      </c>
      <c r="G825" s="5" t="str">
        <f t="shared" si="151"/>
        <v>Blipbug</v>
      </c>
      <c r="H825" s="3" t="s">
        <v>4618</v>
      </c>
      <c r="I825" s="3" t="s">
        <v>4619</v>
      </c>
      <c r="J825" s="5" t="str">
        <f>IFERROR(__xludf.DUMMYFUNCTION("GOOGLETRANSLATE(I825,""zh_HANT"",""zh_HANS"")"),"索侦虫")</f>
        <v>索侦虫</v>
      </c>
    </row>
    <row r="826">
      <c r="A826" s="3" t="str">
        <f t="shared" si="155"/>
        <v>NAME_PkMn_DOTTLER</v>
      </c>
      <c r="B826" s="3" t="s">
        <v>4620</v>
      </c>
      <c r="C826" s="3" t="s">
        <v>4621</v>
      </c>
      <c r="D826" s="3" t="s">
        <v>4622</v>
      </c>
      <c r="E826" s="3" t="s">
        <v>4623</v>
      </c>
      <c r="F826" s="5" t="str">
        <f t="shared" si="150"/>
        <v>Dottler</v>
      </c>
      <c r="G826" s="5" t="str">
        <f t="shared" si="151"/>
        <v>Dottler</v>
      </c>
      <c r="H826" s="3" t="s">
        <v>4624</v>
      </c>
      <c r="I826" s="3" t="s">
        <v>4625</v>
      </c>
      <c r="J826" s="5" t="str">
        <f>IFERROR(__xludf.DUMMYFUNCTION("GOOGLETRANSLATE(I826,""zh_HANT"",""zh_HANS"")"),"天罩虫")</f>
        <v>天罩虫</v>
      </c>
    </row>
    <row r="827">
      <c r="A827" s="3" t="str">
        <f t="shared" si="155"/>
        <v>NAME_PkMn_ORBEETLE</v>
      </c>
      <c r="B827" s="3" t="s">
        <v>4626</v>
      </c>
      <c r="C827" s="3" t="s">
        <v>4627</v>
      </c>
      <c r="D827" s="3" t="s">
        <v>4628</v>
      </c>
      <c r="E827" s="3" t="s">
        <v>4629</v>
      </c>
      <c r="F827" s="5" t="str">
        <f t="shared" si="150"/>
        <v>Orbeetle</v>
      </c>
      <c r="G827" s="5" t="str">
        <f t="shared" si="151"/>
        <v>Orbeetle</v>
      </c>
      <c r="H827" s="3" t="s">
        <v>4630</v>
      </c>
      <c r="I827" s="3" t="s">
        <v>4631</v>
      </c>
      <c r="J827" s="5" t="str">
        <f>IFERROR(__xludf.DUMMYFUNCTION("GOOGLETRANSLATE(I827,""zh_HANT"",""zh_HANS"")"),"以欧路普")</f>
        <v>以欧路普</v>
      </c>
    </row>
    <row r="828">
      <c r="A828" s="3" t="str">
        <f t="shared" si="155"/>
        <v>NAME_PkMn_NICKIT</v>
      </c>
      <c r="B828" s="3" t="s">
        <v>4632</v>
      </c>
      <c r="C828" s="3" t="s">
        <v>4633</v>
      </c>
      <c r="D828" s="3" t="s">
        <v>4634</v>
      </c>
      <c r="E828" s="3" t="s">
        <v>4635</v>
      </c>
      <c r="F828" s="5" t="str">
        <f t="shared" si="150"/>
        <v>Nickit</v>
      </c>
      <c r="G828" s="5" t="str">
        <f t="shared" si="151"/>
        <v>Nickit</v>
      </c>
      <c r="H828" s="3" t="s">
        <v>4636</v>
      </c>
      <c r="I828" s="3" t="s">
        <v>4637</v>
      </c>
      <c r="J828" s="3" t="s">
        <v>4638</v>
      </c>
    </row>
    <row r="829">
      <c r="A829" s="3" t="str">
        <f t="shared" si="155"/>
        <v>NAME_PkMn_THIEVUL</v>
      </c>
      <c r="B829" s="3" t="s">
        <v>4639</v>
      </c>
      <c r="C829" s="3" t="s">
        <v>4640</v>
      </c>
      <c r="D829" s="3" t="s">
        <v>4641</v>
      </c>
      <c r="E829" s="3" t="s">
        <v>4642</v>
      </c>
      <c r="F829" s="5" t="str">
        <f t="shared" si="150"/>
        <v>Thievul</v>
      </c>
      <c r="G829" s="5" t="str">
        <f t="shared" si="151"/>
        <v>Thievul</v>
      </c>
      <c r="H829" s="3" t="s">
        <v>4643</v>
      </c>
      <c r="I829" s="3" t="s">
        <v>4644</v>
      </c>
      <c r="J829" s="3" t="s">
        <v>4645</v>
      </c>
    </row>
    <row r="830">
      <c r="A830" s="3" t="str">
        <f t="shared" si="155"/>
        <v>NAME_PkMn_GOSSIFLEUR</v>
      </c>
      <c r="B830" s="3" t="s">
        <v>4646</v>
      </c>
      <c r="C830" s="3" t="s">
        <v>4647</v>
      </c>
      <c r="D830" s="3" t="s">
        <v>4648</v>
      </c>
      <c r="E830" s="3" t="s">
        <v>4649</v>
      </c>
      <c r="F830" s="5" t="str">
        <f t="shared" si="150"/>
        <v>Gossifleur</v>
      </c>
      <c r="G830" s="5" t="str">
        <f t="shared" si="151"/>
        <v>Gossifleur</v>
      </c>
      <c r="H830" s="3" t="s">
        <v>4650</v>
      </c>
      <c r="I830" s="3" t="s">
        <v>4651</v>
      </c>
      <c r="J830" s="5" t="str">
        <f t="shared" ref="J830:J831" si="164">I830</f>
        <v>幼棉棉</v>
      </c>
    </row>
    <row r="831">
      <c r="A831" s="3" t="str">
        <f t="shared" si="155"/>
        <v>NAME_PkMn_ELDEGOSS</v>
      </c>
      <c r="B831" s="3" t="s">
        <v>4652</v>
      </c>
      <c r="C831" s="3" t="s">
        <v>4653</v>
      </c>
      <c r="D831" s="3" t="s">
        <v>4654</v>
      </c>
      <c r="E831" s="3" t="s">
        <v>4655</v>
      </c>
      <c r="F831" s="5" t="str">
        <f t="shared" si="150"/>
        <v>Eldegoss</v>
      </c>
      <c r="G831" s="5" t="str">
        <f t="shared" si="151"/>
        <v>Eldegoss</v>
      </c>
      <c r="H831" s="3" t="s">
        <v>4656</v>
      </c>
      <c r="I831" s="3" t="s">
        <v>4657</v>
      </c>
      <c r="J831" s="5" t="str">
        <f t="shared" si="164"/>
        <v>白蓬蓬</v>
      </c>
    </row>
    <row r="832">
      <c r="A832" s="3" t="str">
        <f t="shared" si="155"/>
        <v>NAME_PkMn_WOOLOO</v>
      </c>
      <c r="B832" s="3" t="s">
        <v>4658</v>
      </c>
      <c r="C832" s="3" t="s">
        <v>4659</v>
      </c>
      <c r="D832" s="3" t="s">
        <v>4660</v>
      </c>
      <c r="E832" s="3" t="s">
        <v>4661</v>
      </c>
      <c r="F832" s="5" t="str">
        <f t="shared" si="150"/>
        <v>Wooloo</v>
      </c>
      <c r="G832" s="5" t="str">
        <f t="shared" si="151"/>
        <v>Wooloo</v>
      </c>
      <c r="H832" s="3" t="s">
        <v>4662</v>
      </c>
      <c r="I832" s="3" t="s">
        <v>4663</v>
      </c>
      <c r="J832" s="5" t="str">
        <f>IFERROR(__xludf.DUMMYFUNCTION("GOOGLETRANSLATE(I832,""zh_HANT"",""zh_HANS"")"),"毛辫羊")</f>
        <v>毛辫羊</v>
      </c>
    </row>
    <row r="833">
      <c r="A833" s="3" t="str">
        <f t="shared" si="155"/>
        <v>NAME_PkMn_DUBWOOL</v>
      </c>
      <c r="B833" s="3" t="s">
        <v>4664</v>
      </c>
      <c r="C833" s="3" t="s">
        <v>4665</v>
      </c>
      <c r="D833" s="3" t="s">
        <v>4666</v>
      </c>
      <c r="E833" s="3" t="s">
        <v>4667</v>
      </c>
      <c r="F833" s="5" t="str">
        <f t="shared" si="150"/>
        <v>Dubwool</v>
      </c>
      <c r="G833" s="5" t="str">
        <f t="shared" si="151"/>
        <v>Dubwool</v>
      </c>
      <c r="H833" s="3" t="s">
        <v>4668</v>
      </c>
      <c r="I833" s="3" t="s">
        <v>4669</v>
      </c>
      <c r="J833" s="5" t="str">
        <f>I833</f>
        <v>毛毛角羊</v>
      </c>
    </row>
    <row r="834">
      <c r="A834" s="3" t="str">
        <f t="shared" si="155"/>
        <v>NAME_PkMn_CHEWTLE</v>
      </c>
      <c r="B834" s="3" t="s">
        <v>4670</v>
      </c>
      <c r="C834" s="3" t="s">
        <v>4671</v>
      </c>
      <c r="D834" s="3" t="s">
        <v>4672</v>
      </c>
      <c r="E834" s="3" t="s">
        <v>4673</v>
      </c>
      <c r="F834" s="5" t="str">
        <f t="shared" si="150"/>
        <v>Chewtle</v>
      </c>
      <c r="G834" s="5" t="str">
        <f t="shared" si="151"/>
        <v>Chewtle</v>
      </c>
      <c r="H834" s="3" t="s">
        <v>4674</v>
      </c>
      <c r="I834" s="3" t="s">
        <v>4675</v>
      </c>
      <c r="J834" s="5" t="str">
        <f>IFERROR(__xludf.DUMMYFUNCTION("GOOGLETRANSLATE(I834,""zh_HANT"",""zh_HANS"")"),"咬咬龟")</f>
        <v>咬咬龟</v>
      </c>
    </row>
    <row r="835">
      <c r="A835" s="3" t="str">
        <f t="shared" si="155"/>
        <v>NAME_PkMn_DREDNAW</v>
      </c>
      <c r="B835" s="3" t="s">
        <v>4676</v>
      </c>
      <c r="C835" s="3" t="s">
        <v>4677</v>
      </c>
      <c r="D835" s="3" t="s">
        <v>4678</v>
      </c>
      <c r="E835" s="3" t="s">
        <v>4679</v>
      </c>
      <c r="F835" s="5" t="str">
        <f t="shared" si="150"/>
        <v>Drednaw</v>
      </c>
      <c r="G835" s="5" t="str">
        <f t="shared" si="151"/>
        <v>Drednaw</v>
      </c>
      <c r="H835" s="3" t="s">
        <v>4680</v>
      </c>
      <c r="I835" s="3" t="s">
        <v>4681</v>
      </c>
      <c r="J835" s="5" t="str">
        <f>IFERROR(__xludf.DUMMYFUNCTION("GOOGLETRANSLATE(I835,""zh_HANT"",""zh_HANS"")"),"暴噬龟")</f>
        <v>暴噬龟</v>
      </c>
    </row>
    <row r="836">
      <c r="A836" s="3" t="str">
        <f t="shared" si="155"/>
        <v>NAME_PkMn_YAMPER</v>
      </c>
      <c r="B836" s="3" t="s">
        <v>4682</v>
      </c>
      <c r="C836" s="3" t="s">
        <v>4683</v>
      </c>
      <c r="D836" s="3" t="s">
        <v>4684</v>
      </c>
      <c r="E836" s="3" t="s">
        <v>4685</v>
      </c>
      <c r="F836" s="5" t="str">
        <f t="shared" si="150"/>
        <v>Yamper</v>
      </c>
      <c r="G836" s="5" t="str">
        <f t="shared" si="151"/>
        <v>Yamper</v>
      </c>
      <c r="H836" s="3" t="s">
        <v>4686</v>
      </c>
      <c r="I836" s="3" t="s">
        <v>4687</v>
      </c>
      <c r="J836" s="5" t="str">
        <f>IFERROR(__xludf.DUMMYFUNCTION("GOOGLETRANSLATE(I836,""zh_HANT"",""zh_HANS"")"),"来电汪")</f>
        <v>来电汪</v>
      </c>
    </row>
    <row r="837">
      <c r="A837" s="3" t="str">
        <f t="shared" si="155"/>
        <v>NAME_PkMn_BOLTUND</v>
      </c>
      <c r="B837" s="3" t="s">
        <v>4688</v>
      </c>
      <c r="C837" s="3" t="s">
        <v>4689</v>
      </c>
      <c r="D837" s="3" t="s">
        <v>4690</v>
      </c>
      <c r="E837" s="3" t="s">
        <v>4691</v>
      </c>
      <c r="F837" s="5" t="str">
        <f t="shared" si="150"/>
        <v>Boltund</v>
      </c>
      <c r="G837" s="5" t="str">
        <f t="shared" si="151"/>
        <v>Boltund</v>
      </c>
      <c r="H837" s="3" t="s">
        <v>4692</v>
      </c>
      <c r="I837" s="3" t="s">
        <v>4693</v>
      </c>
      <c r="J837" s="5" t="str">
        <f>IFERROR(__xludf.DUMMYFUNCTION("GOOGLETRANSLATE(I837,""zh_HANT"",""zh_HANS"")"),"逐电犬")</f>
        <v>逐电犬</v>
      </c>
    </row>
    <row r="838">
      <c r="A838" s="3" t="str">
        <f t="shared" si="155"/>
        <v>NAME_PkMn_ROLYCOLY</v>
      </c>
      <c r="B838" s="3" t="s">
        <v>4694</v>
      </c>
      <c r="C838" s="3" t="s">
        <v>4695</v>
      </c>
      <c r="D838" s="3" t="s">
        <v>4696</v>
      </c>
      <c r="E838" s="3" t="s">
        <v>4697</v>
      </c>
      <c r="F838" s="5" t="str">
        <f t="shared" si="150"/>
        <v>Rolycoly</v>
      </c>
      <c r="G838" s="5" t="str">
        <f t="shared" si="151"/>
        <v>Rolycoly</v>
      </c>
      <c r="H838" s="3" t="s">
        <v>4698</v>
      </c>
      <c r="I838" s="3" t="s">
        <v>4699</v>
      </c>
      <c r="J838" s="5" t="str">
        <f>I838</f>
        <v>小炭仔</v>
      </c>
    </row>
    <row r="839">
      <c r="A839" s="3" t="str">
        <f t="shared" si="155"/>
        <v>NAME_PkMn_CARKOL</v>
      </c>
      <c r="B839" s="3" t="s">
        <v>4700</v>
      </c>
      <c r="C839" s="3" t="s">
        <v>4701</v>
      </c>
      <c r="D839" s="3" t="s">
        <v>4702</v>
      </c>
      <c r="E839" s="3" t="s">
        <v>4703</v>
      </c>
      <c r="F839" s="5" t="str">
        <f t="shared" si="150"/>
        <v>Carkol</v>
      </c>
      <c r="G839" s="5" t="str">
        <f t="shared" si="151"/>
        <v>Carkol</v>
      </c>
      <c r="H839" s="3" t="s">
        <v>4704</v>
      </c>
      <c r="I839" s="3" t="s">
        <v>4705</v>
      </c>
      <c r="J839" s="5" t="str">
        <f>IFERROR(__xludf.DUMMYFUNCTION("GOOGLETRANSLATE(I839,""zh_HANT"",""zh_HANS"")"),"大炭车")</f>
        <v>大炭车</v>
      </c>
    </row>
    <row r="840">
      <c r="A840" s="3" t="str">
        <f t="shared" si="155"/>
        <v>NAME_PkMn_COALOSSAL</v>
      </c>
      <c r="B840" s="3" t="s">
        <v>4706</v>
      </c>
      <c r="C840" s="3" t="s">
        <v>4707</v>
      </c>
      <c r="D840" s="3" t="s">
        <v>4708</v>
      </c>
      <c r="E840" s="3" t="s">
        <v>4709</v>
      </c>
      <c r="F840" s="5" t="str">
        <f t="shared" si="150"/>
        <v>Coalossal</v>
      </c>
      <c r="G840" s="5" t="str">
        <f t="shared" si="151"/>
        <v>Coalossal</v>
      </c>
      <c r="H840" s="3" t="s">
        <v>4710</v>
      </c>
      <c r="I840" s="3" t="s">
        <v>4711</v>
      </c>
      <c r="J840" s="5" t="str">
        <f>I840</f>
        <v>巨炭山</v>
      </c>
    </row>
    <row r="841">
      <c r="A841" s="3" t="str">
        <f t="shared" si="155"/>
        <v>NAME_PkMn_APPLIN</v>
      </c>
      <c r="B841" s="3" t="s">
        <v>4712</v>
      </c>
      <c r="C841" s="3" t="s">
        <v>4713</v>
      </c>
      <c r="D841" s="3" t="s">
        <v>4714</v>
      </c>
      <c r="E841" s="3" t="s">
        <v>4715</v>
      </c>
      <c r="F841" s="5" t="str">
        <f t="shared" si="150"/>
        <v>Applin</v>
      </c>
      <c r="G841" s="5" t="str">
        <f t="shared" si="151"/>
        <v>Applin</v>
      </c>
      <c r="H841" s="3" t="s">
        <v>4716</v>
      </c>
      <c r="I841" s="3" t="s">
        <v>4717</v>
      </c>
      <c r="J841" s="5" t="str">
        <f>IFERROR(__xludf.DUMMYFUNCTION("GOOGLETRANSLATE(I841,""zh_HANT"",""zh_HANS"")"),"啃果虫")</f>
        <v>啃果虫</v>
      </c>
    </row>
    <row r="842">
      <c r="A842" s="3" t="str">
        <f t="shared" si="155"/>
        <v>NAME_PkMn_FLAPPLE</v>
      </c>
      <c r="B842" s="3" t="s">
        <v>4718</v>
      </c>
      <c r="C842" s="3" t="s">
        <v>4719</v>
      </c>
      <c r="D842" s="3" t="s">
        <v>4720</v>
      </c>
      <c r="E842" s="3" t="s">
        <v>4721</v>
      </c>
      <c r="F842" s="5" t="str">
        <f t="shared" si="150"/>
        <v>Flapple</v>
      </c>
      <c r="G842" s="5" t="str">
        <f t="shared" si="151"/>
        <v>Flapple</v>
      </c>
      <c r="H842" s="3" t="s">
        <v>4722</v>
      </c>
      <c r="I842" s="3" t="s">
        <v>4723</v>
      </c>
      <c r="J842" s="5" t="str">
        <f>IFERROR(__xludf.DUMMYFUNCTION("GOOGLETRANSLATE(I842,""zh_HANT"",""zh_HANS"")"),"苹裹龙")</f>
        <v>苹裹龙</v>
      </c>
    </row>
    <row r="843">
      <c r="A843" s="3" t="str">
        <f t="shared" si="155"/>
        <v>NAME_PkMn_APPLETUN</v>
      </c>
      <c r="B843" s="3" t="s">
        <v>4724</v>
      </c>
      <c r="C843" s="3" t="s">
        <v>4725</v>
      </c>
      <c r="D843" s="3" t="s">
        <v>4726</v>
      </c>
      <c r="E843" s="3" t="s">
        <v>4727</v>
      </c>
      <c r="F843" s="5" t="str">
        <f t="shared" si="150"/>
        <v>Appletun</v>
      </c>
      <c r="G843" s="5" t="str">
        <f t="shared" si="151"/>
        <v>Appletun</v>
      </c>
      <c r="H843" s="3" t="s">
        <v>4728</v>
      </c>
      <c r="I843" s="3" t="s">
        <v>4729</v>
      </c>
      <c r="J843" s="5" t="str">
        <f>IFERROR(__xludf.DUMMYFUNCTION("GOOGLETRANSLATE(I843,""zh_HANT"",""zh_HANS"")"),"丰蜜龙")</f>
        <v>丰蜜龙</v>
      </c>
    </row>
    <row r="844">
      <c r="A844" s="3" t="str">
        <f t="shared" si="155"/>
        <v>NAME_PkMn_SILICOBRA</v>
      </c>
      <c r="B844" s="3" t="s">
        <v>4730</v>
      </c>
      <c r="C844" s="3" t="s">
        <v>4731</v>
      </c>
      <c r="D844" s="3" t="s">
        <v>4732</v>
      </c>
      <c r="E844" s="3" t="s">
        <v>4733</v>
      </c>
      <c r="F844" s="5" t="str">
        <f t="shared" si="150"/>
        <v>Silicobra</v>
      </c>
      <c r="G844" s="5" t="str">
        <f t="shared" si="151"/>
        <v>Silicobra</v>
      </c>
      <c r="H844" s="3" t="s">
        <v>4734</v>
      </c>
      <c r="I844" s="3" t="s">
        <v>4735</v>
      </c>
      <c r="J844" s="5" t="str">
        <f t="shared" ref="J844:J845" si="165">I844</f>
        <v>沙包蛇</v>
      </c>
    </row>
    <row r="845">
      <c r="A845" s="3" t="str">
        <f t="shared" si="155"/>
        <v>NAME_PkMn_SANDACONDA</v>
      </c>
      <c r="B845" s="3" t="s">
        <v>4736</v>
      </c>
      <c r="C845" s="3" t="s">
        <v>4737</v>
      </c>
      <c r="D845" s="3" t="s">
        <v>4738</v>
      </c>
      <c r="E845" s="3" t="s">
        <v>4739</v>
      </c>
      <c r="F845" s="5" t="str">
        <f t="shared" si="150"/>
        <v>Sandaconda</v>
      </c>
      <c r="G845" s="5" t="str">
        <f t="shared" si="151"/>
        <v>Sandaconda</v>
      </c>
      <c r="H845" s="3" t="s">
        <v>4740</v>
      </c>
      <c r="I845" s="3" t="s">
        <v>4741</v>
      </c>
      <c r="J845" s="5" t="str">
        <f t="shared" si="165"/>
        <v>沙螺蟒</v>
      </c>
    </row>
    <row r="846">
      <c r="A846" s="3" t="str">
        <f t="shared" si="155"/>
        <v>NAME_PkMn_CRAMORANT</v>
      </c>
      <c r="B846" s="3" t="s">
        <v>4742</v>
      </c>
      <c r="C846" s="3" t="s">
        <v>4743</v>
      </c>
      <c r="D846" s="3" t="s">
        <v>4744</v>
      </c>
      <c r="E846" s="3" t="s">
        <v>4745</v>
      </c>
      <c r="F846" s="5" t="str">
        <f t="shared" si="150"/>
        <v>Cramorant</v>
      </c>
      <c r="G846" s="5" t="str">
        <f t="shared" si="151"/>
        <v>Cramorant</v>
      </c>
      <c r="H846" s="3" t="s">
        <v>4746</v>
      </c>
      <c r="I846" s="3" t="s">
        <v>4747</v>
      </c>
      <c r="J846" s="5" t="str">
        <f>IFERROR(__xludf.DUMMYFUNCTION("GOOGLETRANSLATE(I846,""zh_HANT"",""zh_HANS"")"),"古月鸟")</f>
        <v>古月鸟</v>
      </c>
    </row>
    <row r="847">
      <c r="A847" s="3" t="str">
        <f t="shared" si="155"/>
        <v>NAME_PkMn_ARROKUDA</v>
      </c>
      <c r="B847" s="3" t="s">
        <v>4748</v>
      </c>
      <c r="C847" s="3" t="s">
        <v>4749</v>
      </c>
      <c r="D847" s="3" t="s">
        <v>4750</v>
      </c>
      <c r="E847" s="3" t="s">
        <v>4751</v>
      </c>
      <c r="F847" s="5" t="str">
        <f t="shared" si="150"/>
        <v>Arrokuda</v>
      </c>
      <c r="G847" s="5" t="str">
        <f t="shared" si="151"/>
        <v>Arrokuda</v>
      </c>
      <c r="H847" s="3" t="s">
        <v>4752</v>
      </c>
      <c r="I847" s="3" t="s">
        <v>4753</v>
      </c>
      <c r="J847" s="5" t="str">
        <f>IFERROR(__xludf.DUMMYFUNCTION("GOOGLETRANSLATE(I847,""zh_HANT"",""zh_HANS"")"),"刺梭鱼")</f>
        <v>刺梭鱼</v>
      </c>
    </row>
    <row r="848">
      <c r="A848" s="3" t="str">
        <f t="shared" si="155"/>
        <v>NAME_PkMn_BARRASKEWDA</v>
      </c>
      <c r="B848" s="3" t="s">
        <v>4754</v>
      </c>
      <c r="C848" s="3" t="s">
        <v>4755</v>
      </c>
      <c r="D848" s="3" t="s">
        <v>4756</v>
      </c>
      <c r="E848" s="3" t="s">
        <v>4757</v>
      </c>
      <c r="F848" s="5" t="str">
        <f t="shared" si="150"/>
        <v>Barraskewda</v>
      </c>
      <c r="G848" s="5" t="str">
        <f t="shared" si="151"/>
        <v>Barraskewda</v>
      </c>
      <c r="H848" s="3" t="s">
        <v>4758</v>
      </c>
      <c r="I848" s="3" t="s">
        <v>4759</v>
      </c>
      <c r="J848" s="5" t="str">
        <f>I848</f>
        <v>戽斗尖梭</v>
      </c>
    </row>
    <row r="849">
      <c r="A849" s="3" t="str">
        <f t="shared" si="155"/>
        <v>NAME_PkMn_TOXEL</v>
      </c>
      <c r="B849" s="3" t="s">
        <v>4760</v>
      </c>
      <c r="C849" s="3" t="s">
        <v>4761</v>
      </c>
      <c r="D849" s="3" t="s">
        <v>4762</v>
      </c>
      <c r="E849" s="5" t="str">
        <f>B849</f>
        <v>Toxel</v>
      </c>
      <c r="F849" s="5" t="str">
        <f t="shared" si="150"/>
        <v>Toxel</v>
      </c>
      <c r="G849" s="5" t="str">
        <f t="shared" si="151"/>
        <v>Toxel</v>
      </c>
      <c r="H849" s="3" t="s">
        <v>4763</v>
      </c>
      <c r="I849" s="3" t="s">
        <v>4764</v>
      </c>
      <c r="J849" s="10" t="s">
        <v>4765</v>
      </c>
    </row>
    <row r="850">
      <c r="A850" s="3" t="str">
        <f t="shared" si="155"/>
        <v>NAME_PkMn_TOXTRICITY</v>
      </c>
      <c r="B850" s="3" t="s">
        <v>4766</v>
      </c>
      <c r="C850" s="3" t="s">
        <v>4767</v>
      </c>
      <c r="D850" s="3" t="s">
        <v>4768</v>
      </c>
      <c r="E850" s="3" t="s">
        <v>4769</v>
      </c>
      <c r="F850" s="5" t="str">
        <f t="shared" si="150"/>
        <v>Toxtricity</v>
      </c>
      <c r="G850" s="5" t="str">
        <f t="shared" si="151"/>
        <v>Toxtricity</v>
      </c>
      <c r="H850" s="3" t="s">
        <v>4770</v>
      </c>
      <c r="I850" s="3" t="s">
        <v>4771</v>
      </c>
      <c r="J850" s="5" t="str">
        <f>IFERROR(__xludf.DUMMYFUNCTION("GOOGLETRANSLATE(I850,""zh_HANT"",""zh_HANS"")"),"颤弦蝾螈")</f>
        <v>颤弦蝾螈</v>
      </c>
    </row>
    <row r="851">
      <c r="A851" s="3" t="str">
        <f t="shared" si="155"/>
        <v>NAME_PkMn_SIZZLIPEDE</v>
      </c>
      <c r="B851" s="3" t="s">
        <v>4772</v>
      </c>
      <c r="C851" s="3" t="s">
        <v>4773</v>
      </c>
      <c r="D851" s="3" t="s">
        <v>4774</v>
      </c>
      <c r="E851" s="3" t="s">
        <v>4775</v>
      </c>
      <c r="F851" s="5" t="str">
        <f t="shared" si="150"/>
        <v>Sizzlipede</v>
      </c>
      <c r="G851" s="5" t="str">
        <f t="shared" si="151"/>
        <v>Sizzlipede</v>
      </c>
      <c r="H851" s="3" t="s">
        <v>4776</v>
      </c>
      <c r="I851" s="3" t="s">
        <v>4777</v>
      </c>
      <c r="J851" s="5" t="str">
        <f>IFERROR(__xludf.DUMMYFUNCTION("GOOGLETRANSLATE(I851,""zh_HANT"",""zh_HANS"")"),"烧火蚣")</f>
        <v>烧火蚣</v>
      </c>
    </row>
    <row r="852">
      <c r="A852" s="3" t="str">
        <f t="shared" si="155"/>
        <v>NAME_PkMn_CENTISKORCH</v>
      </c>
      <c r="B852" s="3" t="s">
        <v>4778</v>
      </c>
      <c r="C852" s="3" t="s">
        <v>4779</v>
      </c>
      <c r="D852" s="3" t="s">
        <v>4780</v>
      </c>
      <c r="E852" s="3" t="s">
        <v>4781</v>
      </c>
      <c r="F852" s="5" t="str">
        <f t="shared" si="150"/>
        <v>Centiskorch</v>
      </c>
      <c r="G852" s="5" t="str">
        <f t="shared" si="151"/>
        <v>Centiskorch</v>
      </c>
      <c r="H852" s="3" t="s">
        <v>4782</v>
      </c>
      <c r="I852" s="3" t="s">
        <v>4783</v>
      </c>
      <c r="J852" s="5" t="str">
        <f t="shared" ref="J852:J853" si="166">I852</f>
        <v>焚焰蚣</v>
      </c>
    </row>
    <row r="853">
      <c r="A853" s="3" t="str">
        <f t="shared" si="155"/>
        <v>NAME_PkMn_CLOBBOPUS</v>
      </c>
      <c r="B853" s="3" t="s">
        <v>4784</v>
      </c>
      <c r="C853" s="3" t="s">
        <v>4785</v>
      </c>
      <c r="D853" s="3" t="s">
        <v>4786</v>
      </c>
      <c r="E853" s="3" t="s">
        <v>4787</v>
      </c>
      <c r="F853" s="5" t="str">
        <f t="shared" si="150"/>
        <v>Clobbopus</v>
      </c>
      <c r="G853" s="5" t="str">
        <f t="shared" si="151"/>
        <v>Clobbopus</v>
      </c>
      <c r="H853" s="3" t="s">
        <v>4788</v>
      </c>
      <c r="I853" s="3" t="s">
        <v>4789</v>
      </c>
      <c r="J853" s="5" t="str">
        <f t="shared" si="166"/>
        <v>拳拳蛸</v>
      </c>
    </row>
    <row r="854">
      <c r="A854" s="3" t="str">
        <f t="shared" si="155"/>
        <v>NAME_PkMn_GRAPPLOCT</v>
      </c>
      <c r="B854" s="3" t="s">
        <v>4790</v>
      </c>
      <c r="C854" s="3" t="s">
        <v>4791</v>
      </c>
      <c r="D854" s="3" t="s">
        <v>4792</v>
      </c>
      <c r="E854" s="3" t="s">
        <v>4793</v>
      </c>
      <c r="F854" s="5" t="str">
        <f t="shared" si="150"/>
        <v>Grapploct</v>
      </c>
      <c r="G854" s="5" t="str">
        <f t="shared" si="151"/>
        <v>Grapploct</v>
      </c>
      <c r="H854" s="3" t="s">
        <v>4794</v>
      </c>
      <c r="I854" s="3" t="s">
        <v>4795</v>
      </c>
      <c r="J854" s="5" t="str">
        <f>IFERROR(__xludf.DUMMYFUNCTION("GOOGLETRANSLATE(I854,""zh_HANT"",""zh_HANS"")"),"八爪武师")</f>
        <v>八爪武师</v>
      </c>
    </row>
    <row r="855">
      <c r="A855" s="3" t="str">
        <f t="shared" si="155"/>
        <v>NAME_PkMn_SINISTEA</v>
      </c>
      <c r="B855" s="3" t="s">
        <v>4796</v>
      </c>
      <c r="C855" s="3" t="s">
        <v>4797</v>
      </c>
      <c r="D855" s="3" t="s">
        <v>4798</v>
      </c>
      <c r="E855" s="3" t="s">
        <v>4799</v>
      </c>
      <c r="F855" s="5" t="str">
        <f t="shared" si="150"/>
        <v>Sinistea</v>
      </c>
      <c r="G855" s="5" t="str">
        <f t="shared" si="151"/>
        <v>Sinistea</v>
      </c>
      <c r="H855" s="3" t="s">
        <v>4800</v>
      </c>
      <c r="I855" s="3" t="s">
        <v>4801</v>
      </c>
      <c r="J855" s="5" t="str">
        <f>I855</f>
        <v>來悲茶</v>
      </c>
    </row>
    <row r="856">
      <c r="A856" s="3" t="str">
        <f t="shared" si="155"/>
        <v>NAME_PkMn_POLTEAGEIST</v>
      </c>
      <c r="B856" s="3" t="s">
        <v>4802</v>
      </c>
      <c r="C856" s="3" t="s">
        <v>4803</v>
      </c>
      <c r="D856" s="3" t="s">
        <v>4804</v>
      </c>
      <c r="E856" s="3" t="s">
        <v>4805</v>
      </c>
      <c r="F856" s="5" t="str">
        <f t="shared" si="150"/>
        <v>Polteageist</v>
      </c>
      <c r="G856" s="5" t="str">
        <f t="shared" si="151"/>
        <v>Polteageist</v>
      </c>
      <c r="H856" s="3" t="s">
        <v>4806</v>
      </c>
      <c r="I856" s="3" t="s">
        <v>4807</v>
      </c>
      <c r="J856" s="5" t="str">
        <f>IFERROR(__xludf.DUMMYFUNCTION("GOOGLETRANSLATE(I856,""zh_HANT"",""zh_HANS"")"),"怖思壶")</f>
        <v>怖思壶</v>
      </c>
    </row>
    <row r="857">
      <c r="A857" s="3" t="str">
        <f t="shared" si="155"/>
        <v>NAME_PkMn_HATENNA</v>
      </c>
      <c r="B857" s="3" t="s">
        <v>4808</v>
      </c>
      <c r="C857" s="3" t="s">
        <v>4809</v>
      </c>
      <c r="D857" s="3" t="s">
        <v>4810</v>
      </c>
      <c r="E857" s="3" t="s">
        <v>4811</v>
      </c>
      <c r="F857" s="5" t="str">
        <f t="shared" si="150"/>
        <v>Hatenna</v>
      </c>
      <c r="G857" s="5" t="str">
        <f t="shared" si="151"/>
        <v>Hatenna</v>
      </c>
      <c r="H857" s="3" t="s">
        <v>4812</v>
      </c>
      <c r="I857" s="3" t="s">
        <v>4813</v>
      </c>
      <c r="J857" s="5" t="str">
        <f t="shared" ref="J857:J858" si="167">I857</f>
        <v>迷布莉姆</v>
      </c>
    </row>
    <row r="858">
      <c r="A858" s="3" t="str">
        <f t="shared" si="155"/>
        <v>NAME_PkMn_HATTREM</v>
      </c>
      <c r="B858" s="3" t="s">
        <v>4814</v>
      </c>
      <c r="C858" s="3" t="s">
        <v>4815</v>
      </c>
      <c r="D858" s="3" t="s">
        <v>4816</v>
      </c>
      <c r="E858" s="3" t="s">
        <v>4817</v>
      </c>
      <c r="F858" s="5" t="str">
        <f t="shared" si="150"/>
        <v>Hattrem</v>
      </c>
      <c r="G858" s="5" t="str">
        <f t="shared" si="151"/>
        <v>Hattrem</v>
      </c>
      <c r="H858" s="3" t="s">
        <v>4818</v>
      </c>
      <c r="I858" s="3" t="s">
        <v>4819</v>
      </c>
      <c r="J858" s="5" t="str">
        <f t="shared" si="167"/>
        <v>提布莉姆</v>
      </c>
    </row>
    <row r="859">
      <c r="A859" s="3" t="str">
        <f t="shared" si="155"/>
        <v>NAME_PkMn_HATTERENE</v>
      </c>
      <c r="B859" s="3" t="s">
        <v>4820</v>
      </c>
      <c r="C859" s="3" t="s">
        <v>4821</v>
      </c>
      <c r="D859" s="3" t="s">
        <v>4822</v>
      </c>
      <c r="E859" s="3" t="s">
        <v>4823</v>
      </c>
      <c r="F859" s="5" t="str">
        <f t="shared" si="150"/>
        <v>Hatterene</v>
      </c>
      <c r="G859" s="5" t="str">
        <f t="shared" si="151"/>
        <v>Hatterene</v>
      </c>
      <c r="H859" s="3" t="s">
        <v>4824</v>
      </c>
      <c r="I859" s="3" t="s">
        <v>4825</v>
      </c>
      <c r="J859" s="5" t="str">
        <f>IFERROR(__xludf.DUMMYFUNCTION("GOOGLETRANSLATE(I859,""zh_HANT"",""zh_HANS"")"),"布莉姆温")</f>
        <v>布莉姆温</v>
      </c>
    </row>
    <row r="860">
      <c r="A860" s="3" t="str">
        <f t="shared" si="155"/>
        <v>NAME_PkMn_IMPIDIMP</v>
      </c>
      <c r="B860" s="3" t="s">
        <v>4826</v>
      </c>
      <c r="C860" s="3" t="s">
        <v>4827</v>
      </c>
      <c r="D860" s="3" t="s">
        <v>4828</v>
      </c>
      <c r="E860" s="3" t="s">
        <v>4829</v>
      </c>
      <c r="F860" s="5" t="str">
        <f t="shared" si="150"/>
        <v>Impidimp</v>
      </c>
      <c r="G860" s="5" t="str">
        <f t="shared" si="151"/>
        <v>Impidimp</v>
      </c>
      <c r="H860" s="3" t="s">
        <v>4830</v>
      </c>
      <c r="I860" s="3" t="s">
        <v>4831</v>
      </c>
      <c r="J860" s="5" t="str">
        <f>IFERROR(__xludf.DUMMYFUNCTION("GOOGLETRANSLATE(I860,""zh_HANT"",""zh_HANS"")"),"捣蛋小妖")</f>
        <v>捣蛋小妖</v>
      </c>
    </row>
    <row r="861">
      <c r="A861" s="3" t="str">
        <f t="shared" si="155"/>
        <v>NAME_PkMn_MORGREM</v>
      </c>
      <c r="B861" s="3" t="s">
        <v>4832</v>
      </c>
      <c r="C861" s="3" t="s">
        <v>4833</v>
      </c>
      <c r="D861" s="3" t="s">
        <v>4834</v>
      </c>
      <c r="E861" s="3" t="s">
        <v>4835</v>
      </c>
      <c r="F861" s="5" t="str">
        <f t="shared" si="150"/>
        <v>Morgrem</v>
      </c>
      <c r="G861" s="5" t="str">
        <f t="shared" si="151"/>
        <v>Morgrem</v>
      </c>
      <c r="H861" s="3" t="s">
        <v>4836</v>
      </c>
      <c r="I861" s="3" t="s">
        <v>4837</v>
      </c>
      <c r="J861" s="5" t="str">
        <f>IFERROR(__xludf.DUMMYFUNCTION("GOOGLETRANSLATE(I861,""zh_HANT"",""zh_HANS"")"),"诈唬魔")</f>
        <v>诈唬魔</v>
      </c>
    </row>
    <row r="862">
      <c r="A862" s="3" t="str">
        <f t="shared" si="155"/>
        <v>NAME_PkMn_GRIMMSNARL</v>
      </c>
      <c r="B862" s="3" t="s">
        <v>4838</v>
      </c>
      <c r="C862" s="3" t="s">
        <v>4839</v>
      </c>
      <c r="D862" s="3" t="s">
        <v>4840</v>
      </c>
      <c r="E862" s="3" t="s">
        <v>4841</v>
      </c>
      <c r="F862" s="5" t="str">
        <f t="shared" si="150"/>
        <v>Grimmsnarl</v>
      </c>
      <c r="G862" s="5" t="str">
        <f t="shared" si="151"/>
        <v>Grimmsnarl</v>
      </c>
      <c r="H862" s="3" t="s">
        <v>4842</v>
      </c>
      <c r="I862" s="3" t="s">
        <v>4843</v>
      </c>
      <c r="J862" s="5" t="str">
        <f>IFERROR(__xludf.DUMMYFUNCTION("GOOGLETRANSLATE(I862,""zh_HANT"",""zh_HANS"")"),"长毛巨魔")</f>
        <v>长毛巨魔</v>
      </c>
    </row>
    <row r="863">
      <c r="A863" s="3" t="str">
        <f t="shared" si="155"/>
        <v>NAME_PkMn_OBSTAGOON</v>
      </c>
      <c r="B863" s="3" t="s">
        <v>4844</v>
      </c>
      <c r="C863" s="3" t="s">
        <v>4845</v>
      </c>
      <c r="D863" s="3" t="s">
        <v>4846</v>
      </c>
      <c r="E863" s="3" t="s">
        <v>4847</v>
      </c>
      <c r="F863" s="5" t="str">
        <f t="shared" si="150"/>
        <v>Obstagoon</v>
      </c>
      <c r="G863" s="5" t="str">
        <f t="shared" si="151"/>
        <v>Obstagoon</v>
      </c>
      <c r="H863" s="3" t="s">
        <v>4848</v>
      </c>
      <c r="I863" s="3" t="s">
        <v>4849</v>
      </c>
      <c r="J863" s="5" t="str">
        <f>IFERROR(__xludf.DUMMYFUNCTION("GOOGLETRANSLATE(I863,""zh_HANT"",""zh_HANS"")"),"堵拦熊")</f>
        <v>堵拦熊</v>
      </c>
    </row>
    <row r="864">
      <c r="A864" s="3" t="str">
        <f t="shared" si="155"/>
        <v>NAME_PkMn_PERRSERKER</v>
      </c>
      <c r="B864" s="3" t="s">
        <v>4850</v>
      </c>
      <c r="C864" s="3" t="s">
        <v>4851</v>
      </c>
      <c r="D864" s="3" t="s">
        <v>4852</v>
      </c>
      <c r="E864" s="3" t="s">
        <v>4853</v>
      </c>
      <c r="F864" s="5" t="str">
        <f t="shared" si="150"/>
        <v>Perrserker</v>
      </c>
      <c r="G864" s="5" t="str">
        <f t="shared" si="151"/>
        <v>Perrserker</v>
      </c>
      <c r="H864" s="3" t="s">
        <v>4854</v>
      </c>
      <c r="I864" s="3" t="s">
        <v>4855</v>
      </c>
      <c r="J864" s="5" t="str">
        <f>IFERROR(__xludf.DUMMYFUNCTION("GOOGLETRANSLATE(I864,""zh_HANT"",""zh_HANS"")"),"喵头目")</f>
        <v>喵头目</v>
      </c>
    </row>
    <row r="865">
      <c r="A865" s="3" t="str">
        <f t="shared" si="155"/>
        <v>NAME_PkMn_CURSOLA</v>
      </c>
      <c r="B865" s="3" t="s">
        <v>4856</v>
      </c>
      <c r="C865" s="3" t="s">
        <v>4857</v>
      </c>
      <c r="D865" s="3" t="s">
        <v>4858</v>
      </c>
      <c r="E865" s="3" t="s">
        <v>4859</v>
      </c>
      <c r="F865" s="5" t="str">
        <f t="shared" si="150"/>
        <v>Cursola</v>
      </c>
      <c r="G865" s="5" t="str">
        <f t="shared" si="151"/>
        <v>Cursola</v>
      </c>
      <c r="H865" s="3" t="s">
        <v>4860</v>
      </c>
      <c r="I865" s="3" t="s">
        <v>4861</v>
      </c>
      <c r="J865" s="5" t="str">
        <f>IFERROR(__xludf.DUMMYFUNCTION("GOOGLETRANSLATE(I865,""zh_HANT"",""zh_HANS"")"),"魔灵珊瑚")</f>
        <v>魔灵珊瑚</v>
      </c>
    </row>
    <row r="866">
      <c r="A866" s="3" t="s">
        <v>4862</v>
      </c>
      <c r="B866" s="3" t="s">
        <v>4863</v>
      </c>
      <c r="C866" s="3" t="s">
        <v>4864</v>
      </c>
      <c r="D866" s="3" t="s">
        <v>4865</v>
      </c>
      <c r="E866" s="3" t="s">
        <v>4866</v>
      </c>
      <c r="F866" s="5" t="str">
        <f t="shared" si="150"/>
        <v>Sirfetch'd</v>
      </c>
      <c r="G866" s="5" t="str">
        <f t="shared" si="151"/>
        <v>Sirfetch'd</v>
      </c>
      <c r="H866" s="3" t="s">
        <v>4867</v>
      </c>
      <c r="I866" s="3" t="s">
        <v>4868</v>
      </c>
      <c r="J866" s="5" t="str">
        <f>IFERROR(__xludf.DUMMYFUNCTION("GOOGLETRANSLATE(I866,""zh_HANT"",""zh_HANS"")"),"葱游兵")</f>
        <v>葱游兵</v>
      </c>
    </row>
    <row r="867">
      <c r="A867" s="3" t="s">
        <v>4869</v>
      </c>
      <c r="B867" s="3" t="s">
        <v>4870</v>
      </c>
      <c r="C867" s="3" t="s">
        <v>4871</v>
      </c>
      <c r="D867" s="3" t="s">
        <v>4872</v>
      </c>
      <c r="E867" s="3" t="s">
        <v>4873</v>
      </c>
      <c r="F867" s="5" t="str">
        <f t="shared" si="150"/>
        <v>Mr. Rime</v>
      </c>
      <c r="G867" s="5" t="str">
        <f t="shared" si="151"/>
        <v>Mr. Rime</v>
      </c>
      <c r="H867" s="3" t="s">
        <v>4874</v>
      </c>
      <c r="I867" s="3" t="s">
        <v>4875</v>
      </c>
      <c r="J867" s="5" t="str">
        <f>I867</f>
        <v>踏冰人偶</v>
      </c>
    </row>
    <row r="868">
      <c r="A868" s="3" t="str">
        <f t="shared" ref="A868:A984" si="168">CONCATENATE("NAME_PkMn_", UPPER(B868))</f>
        <v>NAME_PkMn_RUNERIGUS</v>
      </c>
      <c r="B868" s="3" t="s">
        <v>4876</v>
      </c>
      <c r="C868" s="3" t="s">
        <v>4877</v>
      </c>
      <c r="D868" s="3" t="s">
        <v>4878</v>
      </c>
      <c r="E868" s="3" t="s">
        <v>4879</v>
      </c>
      <c r="F868" s="5" t="str">
        <f t="shared" si="150"/>
        <v>Runerigus</v>
      </c>
      <c r="G868" s="5" t="str">
        <f t="shared" si="151"/>
        <v>Runerigus</v>
      </c>
      <c r="H868" s="3" t="s">
        <v>4880</v>
      </c>
      <c r="I868" s="3" t="s">
        <v>4881</v>
      </c>
      <c r="J868" s="3" t="s">
        <v>4882</v>
      </c>
    </row>
    <row r="869">
      <c r="A869" s="3" t="str">
        <f t="shared" si="168"/>
        <v>NAME_PkMn_MILCERY</v>
      </c>
      <c r="B869" s="3" t="s">
        <v>4883</v>
      </c>
      <c r="C869" s="3" t="s">
        <v>4884</v>
      </c>
      <c r="D869" s="3" t="s">
        <v>4885</v>
      </c>
      <c r="E869" s="3" t="s">
        <v>4886</v>
      </c>
      <c r="F869" s="5" t="str">
        <f t="shared" si="150"/>
        <v>Milcery</v>
      </c>
      <c r="G869" s="5" t="str">
        <f t="shared" si="151"/>
        <v>Milcery</v>
      </c>
      <c r="H869" s="3" t="s">
        <v>4887</v>
      </c>
      <c r="I869" s="3" t="s">
        <v>4888</v>
      </c>
      <c r="J869" s="5" t="str">
        <f t="shared" ref="J869:J870" si="169">I869</f>
        <v>小仙奶</v>
      </c>
    </row>
    <row r="870">
      <c r="A870" s="3" t="str">
        <f t="shared" si="168"/>
        <v>NAME_PkMn_ALCREMIE</v>
      </c>
      <c r="B870" s="3" t="s">
        <v>4889</v>
      </c>
      <c r="C870" s="3" t="s">
        <v>4890</v>
      </c>
      <c r="D870" s="3" t="s">
        <v>4891</v>
      </c>
      <c r="E870" s="3" t="s">
        <v>4892</v>
      </c>
      <c r="F870" s="5" t="str">
        <f t="shared" si="150"/>
        <v>Alcremie</v>
      </c>
      <c r="G870" s="5" t="str">
        <f t="shared" si="151"/>
        <v>Alcremie</v>
      </c>
      <c r="H870" s="3" t="s">
        <v>4893</v>
      </c>
      <c r="I870" s="3" t="s">
        <v>4894</v>
      </c>
      <c r="J870" s="5" t="str">
        <f t="shared" si="169"/>
        <v>霜奶仙</v>
      </c>
    </row>
    <row r="871">
      <c r="A871" s="3" t="str">
        <f t="shared" si="168"/>
        <v>NAME_PkMn_FALINKS</v>
      </c>
      <c r="B871" s="3" t="s">
        <v>4895</v>
      </c>
      <c r="C871" s="3" t="s">
        <v>4896</v>
      </c>
      <c r="D871" s="3" t="s">
        <v>4897</v>
      </c>
      <c r="E871" s="3" t="s">
        <v>4898</v>
      </c>
      <c r="F871" s="5" t="str">
        <f t="shared" si="150"/>
        <v>Falinks</v>
      </c>
      <c r="G871" s="5" t="str">
        <f t="shared" si="151"/>
        <v>Falinks</v>
      </c>
      <c r="H871" s="3" t="s">
        <v>4899</v>
      </c>
      <c r="I871" s="3" t="s">
        <v>4900</v>
      </c>
      <c r="J871" s="5" t="str">
        <f>IFERROR(__xludf.DUMMYFUNCTION("GOOGLETRANSLATE(I871,""zh_HANT"",""zh_HANS"")"),"列阵兵")</f>
        <v>列阵兵</v>
      </c>
    </row>
    <row r="872">
      <c r="A872" s="3" t="str">
        <f t="shared" si="168"/>
        <v>NAME_PkMn_PINCHURCHIN</v>
      </c>
      <c r="B872" s="3" t="s">
        <v>4901</v>
      </c>
      <c r="C872" s="3" t="s">
        <v>4902</v>
      </c>
      <c r="D872" s="3" t="s">
        <v>4903</v>
      </c>
      <c r="E872" s="3" t="s">
        <v>4904</v>
      </c>
      <c r="F872" s="5" t="str">
        <f t="shared" si="150"/>
        <v>Pinchurchin</v>
      </c>
      <c r="G872" s="5" t="str">
        <f t="shared" si="151"/>
        <v>Pinchurchin</v>
      </c>
      <c r="H872" s="3" t="s">
        <v>4905</v>
      </c>
      <c r="I872" s="3" t="s">
        <v>4906</v>
      </c>
      <c r="J872" s="5" t="str">
        <f>IFERROR(__xludf.DUMMYFUNCTION("GOOGLETRANSLATE(I872,""zh_HANT"",""zh_HANS"")"),"啪嚓海胆")</f>
        <v>啪嚓海胆</v>
      </c>
    </row>
    <row r="873">
      <c r="A873" s="3" t="str">
        <f t="shared" si="168"/>
        <v>NAME_PkMn_SNOM</v>
      </c>
      <c r="B873" s="3" t="s">
        <v>4907</v>
      </c>
      <c r="C873" s="3" t="s">
        <v>4908</v>
      </c>
      <c r="D873" s="3" t="s">
        <v>4909</v>
      </c>
      <c r="E873" s="5" t="str">
        <f>CONCATENATE(B873,"nom")</f>
        <v>Snomnom</v>
      </c>
      <c r="F873" s="5" t="str">
        <f t="shared" si="150"/>
        <v>Snom</v>
      </c>
      <c r="G873" s="5" t="str">
        <f t="shared" si="151"/>
        <v>Snom</v>
      </c>
      <c r="H873" s="3" t="s">
        <v>4910</v>
      </c>
      <c r="I873" s="3" t="s">
        <v>4911</v>
      </c>
      <c r="J873" s="5" t="str">
        <f>IFERROR(__xludf.DUMMYFUNCTION("GOOGLETRANSLATE(I873,""zh_HANT"",""zh_HANS"")"),"雪吞虫")</f>
        <v>雪吞虫</v>
      </c>
    </row>
    <row r="874">
      <c r="A874" s="3" t="str">
        <f t="shared" si="168"/>
        <v>NAME_PkMn_FROSMOTH</v>
      </c>
      <c r="B874" s="3" t="s">
        <v>4912</v>
      </c>
      <c r="C874" s="3" t="s">
        <v>4913</v>
      </c>
      <c r="D874" s="3" t="s">
        <v>4914</v>
      </c>
      <c r="E874" s="3" t="s">
        <v>4915</v>
      </c>
      <c r="F874" s="5" t="str">
        <f t="shared" si="150"/>
        <v>Frosmoth</v>
      </c>
      <c r="G874" s="5" t="str">
        <f t="shared" si="151"/>
        <v>Frosmoth</v>
      </c>
      <c r="H874" s="3" t="s">
        <v>4916</v>
      </c>
      <c r="I874" s="3" t="s">
        <v>4917</v>
      </c>
      <c r="J874" s="5" t="str">
        <f>IFERROR(__xludf.DUMMYFUNCTION("GOOGLETRANSLATE(I874,""zh_HANT"",""zh_HANS"")"),"雪绒蛾")</f>
        <v>雪绒蛾</v>
      </c>
    </row>
    <row r="875">
      <c r="A875" s="3" t="str">
        <f t="shared" si="168"/>
        <v>NAME_PkMn_STONJOURNER</v>
      </c>
      <c r="B875" s="3" t="s">
        <v>4918</v>
      </c>
      <c r="C875" s="3" t="s">
        <v>4919</v>
      </c>
      <c r="D875" s="3" t="s">
        <v>4920</v>
      </c>
      <c r="E875" s="3" t="s">
        <v>4921</v>
      </c>
      <c r="F875" s="5" t="str">
        <f t="shared" si="150"/>
        <v>Stonjourner</v>
      </c>
      <c r="G875" s="5" t="str">
        <f t="shared" si="151"/>
        <v>Stonjourner</v>
      </c>
      <c r="H875" s="3" t="s">
        <v>4922</v>
      </c>
      <c r="I875" s="3" t="s">
        <v>4923</v>
      </c>
      <c r="J875" s="5" t="str">
        <f>I875</f>
        <v>巨石丁</v>
      </c>
    </row>
    <row r="876">
      <c r="A876" s="3" t="str">
        <f t="shared" si="168"/>
        <v>NAME_PkMn_EISCUE</v>
      </c>
      <c r="B876" s="3" t="s">
        <v>4924</v>
      </c>
      <c r="C876" s="3" t="s">
        <v>4925</v>
      </c>
      <c r="D876" s="3" t="s">
        <v>4926</v>
      </c>
      <c r="E876" s="3" t="s">
        <v>4927</v>
      </c>
      <c r="F876" s="5" t="str">
        <f t="shared" si="150"/>
        <v>Eiscue</v>
      </c>
      <c r="G876" s="5" t="str">
        <f t="shared" si="151"/>
        <v>Eiscue</v>
      </c>
      <c r="H876" s="3" t="s">
        <v>4928</v>
      </c>
      <c r="I876" s="3" t="s">
        <v>4929</v>
      </c>
      <c r="J876" s="5" t="str">
        <f>IFERROR(__xludf.DUMMYFUNCTION("GOOGLETRANSLATE(I876,""zh_HANT"",""zh_HANS"")"),"冰砌鹅")</f>
        <v>冰砌鹅</v>
      </c>
    </row>
    <row r="877">
      <c r="A877" s="3" t="str">
        <f t="shared" si="168"/>
        <v>NAME_PkMn_INDEEDEE</v>
      </c>
      <c r="B877" s="3" t="s">
        <v>4930</v>
      </c>
      <c r="C877" s="3" t="s">
        <v>4931</v>
      </c>
      <c r="D877" s="3" t="s">
        <v>4932</v>
      </c>
      <c r="E877" s="3" t="s">
        <v>4933</v>
      </c>
      <c r="F877" s="5" t="str">
        <f t="shared" si="150"/>
        <v>Indeedee</v>
      </c>
      <c r="G877" s="5" t="str">
        <f t="shared" si="151"/>
        <v>Indeedee</v>
      </c>
      <c r="H877" s="3" t="s">
        <v>4934</v>
      </c>
      <c r="I877" s="3" t="s">
        <v>4935</v>
      </c>
      <c r="J877" s="5" t="str">
        <f>IFERROR(__xludf.DUMMYFUNCTION("GOOGLETRANSLATE(I877,""zh_HANT"",""zh_HANS"")"),"爱管侍")</f>
        <v>爱管侍</v>
      </c>
    </row>
    <row r="878">
      <c r="A878" s="3" t="str">
        <f t="shared" si="168"/>
        <v>NAME_PkMn_MORPEKO</v>
      </c>
      <c r="B878" s="3" t="s">
        <v>4936</v>
      </c>
      <c r="C878" s="3" t="s">
        <v>4937</v>
      </c>
      <c r="D878" s="5" t="str">
        <f>B878</f>
        <v>Morpeko</v>
      </c>
      <c r="E878" s="5" t="str">
        <f>B878</f>
        <v>Morpeko</v>
      </c>
      <c r="F878" s="5" t="str">
        <f t="shared" si="150"/>
        <v>Morpeko</v>
      </c>
      <c r="G878" s="5" t="str">
        <f t="shared" si="151"/>
        <v>Morpeko</v>
      </c>
      <c r="H878" s="3" t="s">
        <v>4938</v>
      </c>
      <c r="I878" s="3" t="s">
        <v>4939</v>
      </c>
      <c r="J878" s="5" t="str">
        <f>IFERROR(__xludf.DUMMYFUNCTION("GOOGLETRANSLATE(I878,""zh_HANT"",""zh_HANS"")"),"莫鲁贝可")</f>
        <v>莫鲁贝可</v>
      </c>
    </row>
    <row r="879">
      <c r="A879" s="3" t="str">
        <f t="shared" si="168"/>
        <v>NAME_PkMn_CUFANT</v>
      </c>
      <c r="B879" s="3" t="s">
        <v>4940</v>
      </c>
      <c r="C879" s="3" t="s">
        <v>4941</v>
      </c>
      <c r="D879" s="3" t="s">
        <v>4942</v>
      </c>
      <c r="E879" s="3" t="s">
        <v>4943</v>
      </c>
      <c r="F879" s="5" t="str">
        <f t="shared" si="150"/>
        <v>Cufant</v>
      </c>
      <c r="G879" s="5" t="str">
        <f t="shared" si="151"/>
        <v>Cufant</v>
      </c>
      <c r="H879" s="3" t="s">
        <v>4944</v>
      </c>
      <c r="I879" s="3" t="s">
        <v>4945</v>
      </c>
      <c r="J879" s="5" t="str">
        <f>IFERROR(__xludf.DUMMYFUNCTION("GOOGLETRANSLATE(I879,""zh_HANT"",""zh_HANS"")"),"铜象")</f>
        <v>铜象</v>
      </c>
    </row>
    <row r="880">
      <c r="A880" s="3" t="str">
        <f t="shared" si="168"/>
        <v>NAME_PkMn_COPPERAJAH</v>
      </c>
      <c r="B880" s="3" t="s">
        <v>4946</v>
      </c>
      <c r="C880" s="3" t="s">
        <v>4947</v>
      </c>
      <c r="D880" s="3" t="s">
        <v>4948</v>
      </c>
      <c r="E880" s="3" t="s">
        <v>4949</v>
      </c>
      <c r="F880" s="5" t="str">
        <f t="shared" si="150"/>
        <v>Copperajah</v>
      </c>
      <c r="G880" s="5" t="str">
        <f t="shared" si="151"/>
        <v>Copperajah</v>
      </c>
      <c r="H880" s="3" t="s">
        <v>4950</v>
      </c>
      <c r="I880" s="3" t="s">
        <v>4951</v>
      </c>
      <c r="J880" s="5" t="str">
        <f>IFERROR(__xludf.DUMMYFUNCTION("GOOGLETRANSLATE(I880,""zh_HANT"",""zh_HANS"")"),"大王铜象")</f>
        <v>大王铜象</v>
      </c>
    </row>
    <row r="881">
      <c r="A881" s="3" t="str">
        <f t="shared" si="168"/>
        <v>NAME_PkMn_DRACOZOLT</v>
      </c>
      <c r="B881" s="3" t="s">
        <v>4952</v>
      </c>
      <c r="C881" s="3" t="s">
        <v>4953</v>
      </c>
      <c r="D881" s="3" t="s">
        <v>4954</v>
      </c>
      <c r="E881" s="3" t="s">
        <v>4955</v>
      </c>
      <c r="F881" s="5" t="str">
        <f t="shared" si="150"/>
        <v>Dracozolt</v>
      </c>
      <c r="G881" s="5" t="str">
        <f t="shared" si="151"/>
        <v>Dracozolt</v>
      </c>
      <c r="H881" s="3" t="s">
        <v>4956</v>
      </c>
      <c r="I881" s="3" t="s">
        <v>4957</v>
      </c>
      <c r="J881" s="5" t="str">
        <f>IFERROR(__xludf.DUMMYFUNCTION("GOOGLETRANSLATE(I881,""zh_HANT"",""zh_HANS"")"),"雷鸟龙")</f>
        <v>雷鸟龙</v>
      </c>
    </row>
    <row r="882">
      <c r="A882" s="3" t="str">
        <f t="shared" si="168"/>
        <v>NAME_PkMn_ARCTOZOLT</v>
      </c>
      <c r="B882" s="3" t="s">
        <v>4958</v>
      </c>
      <c r="C882" s="3" t="s">
        <v>4959</v>
      </c>
      <c r="D882" s="3" t="s">
        <v>4960</v>
      </c>
      <c r="E882" s="3" t="s">
        <v>4961</v>
      </c>
      <c r="F882" s="5" t="str">
        <f t="shared" si="150"/>
        <v>Arctozolt</v>
      </c>
      <c r="G882" s="5" t="str">
        <f t="shared" si="151"/>
        <v>Arctozolt</v>
      </c>
      <c r="H882" s="3" t="s">
        <v>4962</v>
      </c>
      <c r="I882" s="3" t="s">
        <v>4963</v>
      </c>
      <c r="J882" s="5" t="str">
        <f>IFERROR(__xludf.DUMMYFUNCTION("GOOGLETRANSLATE(I882,""zh_HANT"",""zh_HANS"")"),"雷鸟海兽")</f>
        <v>雷鸟海兽</v>
      </c>
    </row>
    <row r="883">
      <c r="A883" s="3" t="str">
        <f t="shared" si="168"/>
        <v>NAME_PkMn_DRACOVISH</v>
      </c>
      <c r="B883" s="3" t="s">
        <v>4964</v>
      </c>
      <c r="C883" s="3" t="s">
        <v>4965</v>
      </c>
      <c r="D883" s="3" t="s">
        <v>4966</v>
      </c>
      <c r="E883" s="3" t="s">
        <v>4967</v>
      </c>
      <c r="F883" s="5" t="str">
        <f t="shared" si="150"/>
        <v>Dracovish</v>
      </c>
      <c r="G883" s="5" t="str">
        <f t="shared" si="151"/>
        <v>Dracovish</v>
      </c>
      <c r="H883" s="3" t="s">
        <v>4968</v>
      </c>
      <c r="I883" s="3" t="s">
        <v>4969</v>
      </c>
      <c r="J883" s="5" t="str">
        <f>IFERROR(__xludf.DUMMYFUNCTION("GOOGLETRANSLATE(I883,""zh_HANT"",""zh_HANS"")"),"鳃鱼龙")</f>
        <v>鳃鱼龙</v>
      </c>
    </row>
    <row r="884">
      <c r="A884" s="3" t="str">
        <f t="shared" si="168"/>
        <v>NAME_PkMn_ARCTOVISH</v>
      </c>
      <c r="B884" s="3" t="s">
        <v>4970</v>
      </c>
      <c r="C884" s="3" t="s">
        <v>4971</v>
      </c>
      <c r="D884" s="3" t="s">
        <v>4972</v>
      </c>
      <c r="E884" s="3" t="s">
        <v>4973</v>
      </c>
      <c r="F884" s="5" t="str">
        <f t="shared" si="150"/>
        <v>Arctovish</v>
      </c>
      <c r="G884" s="5" t="str">
        <f t="shared" si="151"/>
        <v>Arctovish</v>
      </c>
      <c r="H884" s="3" t="s">
        <v>4974</v>
      </c>
      <c r="I884" s="3" t="s">
        <v>4975</v>
      </c>
      <c r="J884" s="5" t="str">
        <f>IFERROR(__xludf.DUMMYFUNCTION("GOOGLETRANSLATE(I884,""zh_HANT"",""zh_HANS"")"),"鳃鱼海兽")</f>
        <v>鳃鱼海兽</v>
      </c>
    </row>
    <row r="885">
      <c r="A885" s="3" t="str">
        <f t="shared" si="168"/>
        <v>NAME_PkMn_DURALUDON</v>
      </c>
      <c r="B885" s="3" t="s">
        <v>4976</v>
      </c>
      <c r="C885" s="3" t="s">
        <v>4977</v>
      </c>
      <c r="D885" s="3" t="s">
        <v>4978</v>
      </c>
      <c r="E885" s="5" t="str">
        <f>B885</f>
        <v>Duraludon</v>
      </c>
      <c r="F885" s="5" t="str">
        <f t="shared" si="150"/>
        <v>Duraludon</v>
      </c>
      <c r="G885" s="5" t="str">
        <f t="shared" si="151"/>
        <v>Duraludon</v>
      </c>
      <c r="H885" s="3" t="s">
        <v>4979</v>
      </c>
      <c r="I885" s="3" t="s">
        <v>4980</v>
      </c>
      <c r="J885" s="5" t="str">
        <f>IFERROR(__xludf.DUMMYFUNCTION("GOOGLETRANSLATE(I885,""zh_HANT"",""zh_HANS"")"),"铝钢龙")</f>
        <v>铝钢龙</v>
      </c>
    </row>
    <row r="886">
      <c r="A886" s="3" t="str">
        <f t="shared" si="168"/>
        <v>NAME_PkMn_DREEPY</v>
      </c>
      <c r="B886" s="3" t="s">
        <v>4981</v>
      </c>
      <c r="C886" s="3" t="s">
        <v>4982</v>
      </c>
      <c r="D886" s="3" t="s">
        <v>4983</v>
      </c>
      <c r="E886" s="3" t="s">
        <v>4984</v>
      </c>
      <c r="F886" s="5" t="str">
        <f t="shared" si="150"/>
        <v>Dreepy</v>
      </c>
      <c r="G886" s="5" t="str">
        <f t="shared" si="151"/>
        <v>Dreepy</v>
      </c>
      <c r="H886" s="3" t="s">
        <v>4985</v>
      </c>
      <c r="I886" s="3" t="s">
        <v>4986</v>
      </c>
      <c r="J886" s="5" t="str">
        <f>IFERROR(__xludf.DUMMYFUNCTION("GOOGLETRANSLATE(I886,""zh_HANT"",""zh_HANS"")"),"多龙梅西亚")</f>
        <v>多龙梅西亚</v>
      </c>
    </row>
    <row r="887">
      <c r="A887" s="3" t="str">
        <f t="shared" si="168"/>
        <v>NAME_PkMn_DRAKLOAK</v>
      </c>
      <c r="B887" s="3" t="s">
        <v>4987</v>
      </c>
      <c r="C887" s="3" t="s">
        <v>4988</v>
      </c>
      <c r="D887" s="3" t="s">
        <v>4989</v>
      </c>
      <c r="E887" s="3" t="s">
        <v>4990</v>
      </c>
      <c r="F887" s="5" t="str">
        <f t="shared" si="150"/>
        <v>Drakloak</v>
      </c>
      <c r="G887" s="5" t="str">
        <f t="shared" si="151"/>
        <v>Drakloak</v>
      </c>
      <c r="H887" s="3" t="s">
        <v>4991</v>
      </c>
      <c r="I887" s="3" t="s">
        <v>4992</v>
      </c>
      <c r="J887" s="5" t="str">
        <f>IFERROR(__xludf.DUMMYFUNCTION("GOOGLETRANSLATE(I887,""zh_HANT"",""zh_HANS"")"),"多龙奇")</f>
        <v>多龙奇</v>
      </c>
    </row>
    <row r="888">
      <c r="A888" s="3" t="str">
        <f t="shared" si="168"/>
        <v>NAME_PkMn_DRAGAPULT</v>
      </c>
      <c r="B888" s="3" t="s">
        <v>4993</v>
      </c>
      <c r="C888" s="3" t="s">
        <v>4994</v>
      </c>
      <c r="D888" s="3" t="s">
        <v>4995</v>
      </c>
      <c r="E888" s="3" t="s">
        <v>4996</v>
      </c>
      <c r="F888" s="5" t="str">
        <f t="shared" si="150"/>
        <v>Dragapult</v>
      </c>
      <c r="G888" s="5" t="str">
        <f t="shared" si="151"/>
        <v>Dragapult</v>
      </c>
      <c r="H888" s="3" t="s">
        <v>4997</v>
      </c>
      <c r="I888" s="3" t="s">
        <v>4998</v>
      </c>
      <c r="J888" s="5" t="str">
        <f>IFERROR(__xludf.DUMMYFUNCTION("GOOGLETRANSLATE(I888,""zh_HANT"",""zh_HANS"")"),"多龙巴鲁托")</f>
        <v>多龙巴鲁托</v>
      </c>
    </row>
    <row r="889">
      <c r="A889" s="3" t="str">
        <f t="shared" si="168"/>
        <v>NAME_PkMn_ZACIAN</v>
      </c>
      <c r="B889" s="3" t="s">
        <v>4999</v>
      </c>
      <c r="C889" s="3" t="s">
        <v>5000</v>
      </c>
      <c r="D889" s="5" t="str">
        <f t="shared" ref="D889:D890" si="170">B889</f>
        <v>Zacian</v>
      </c>
      <c r="E889" s="5" t="str">
        <f t="shared" ref="E889:E890" si="171">B889</f>
        <v>Zacian</v>
      </c>
      <c r="F889" s="5" t="str">
        <f t="shared" si="150"/>
        <v>Zacian</v>
      </c>
      <c r="G889" s="5" t="str">
        <f t="shared" si="151"/>
        <v>Zacian</v>
      </c>
      <c r="H889" s="3" t="s">
        <v>5001</v>
      </c>
      <c r="I889" s="3" t="s">
        <v>5002</v>
      </c>
      <c r="J889" s="5" t="str">
        <f>IFERROR(__xludf.DUMMYFUNCTION("GOOGLETRANSLATE(I889,""zh_HANT"",""zh_HANS"")"),"苍响")</f>
        <v>苍响</v>
      </c>
    </row>
    <row r="890">
      <c r="A890" s="3" t="str">
        <f t="shared" si="168"/>
        <v>NAME_PkMn_ZAMAZANTA</v>
      </c>
      <c r="B890" s="3" t="s">
        <v>5003</v>
      </c>
      <c r="C890" s="3" t="s">
        <v>5004</v>
      </c>
      <c r="D890" s="5" t="str">
        <f t="shared" si="170"/>
        <v>Zamazanta</v>
      </c>
      <c r="E890" s="5" t="str">
        <f t="shared" si="171"/>
        <v>Zamazanta</v>
      </c>
      <c r="F890" s="5" t="str">
        <f t="shared" si="150"/>
        <v>Zamazanta</v>
      </c>
      <c r="G890" s="5" t="str">
        <f t="shared" si="151"/>
        <v>Zamazanta</v>
      </c>
      <c r="H890" s="3" t="s">
        <v>5005</v>
      </c>
      <c r="I890" s="3" t="s">
        <v>5006</v>
      </c>
      <c r="J890" s="5" t="str">
        <f>IFERROR(__xludf.DUMMYFUNCTION("GOOGLETRANSLATE(I890,""zh_HANT"",""zh_HANS"")"),"藏玛然特")</f>
        <v>藏玛然特</v>
      </c>
    </row>
    <row r="891">
      <c r="A891" s="3" t="str">
        <f t="shared" si="168"/>
        <v>NAME_PkMn_ETERNATUS</v>
      </c>
      <c r="B891" s="3" t="s">
        <v>5007</v>
      </c>
      <c r="C891" s="3" t="s">
        <v>5008</v>
      </c>
      <c r="D891" s="3" t="s">
        <v>5009</v>
      </c>
      <c r="E891" s="3" t="s">
        <v>5010</v>
      </c>
      <c r="F891" s="5" t="str">
        <f t="shared" si="150"/>
        <v>Eternatus</v>
      </c>
      <c r="G891" s="5" t="str">
        <f t="shared" si="151"/>
        <v>Eternatus</v>
      </c>
      <c r="H891" s="3" t="s">
        <v>5011</v>
      </c>
      <c r="I891" s="3" t="s">
        <v>5012</v>
      </c>
      <c r="J891" s="5" t="str">
        <f>IFERROR(__xludf.DUMMYFUNCTION("GOOGLETRANSLATE(I891,""zh_HANT"",""zh_HANS"")"),"无极汰那")</f>
        <v>无极汰那</v>
      </c>
    </row>
    <row r="892">
      <c r="A892" s="3" t="str">
        <f t="shared" si="168"/>
        <v>NAME_PkMn_KUBFU</v>
      </c>
      <c r="B892" s="3" t="s">
        <v>5013</v>
      </c>
      <c r="C892" s="3" t="s">
        <v>5014</v>
      </c>
      <c r="D892" s="3" t="s">
        <v>5015</v>
      </c>
      <c r="E892" s="3" t="s">
        <v>5016</v>
      </c>
      <c r="F892" s="5" t="str">
        <f t="shared" si="150"/>
        <v>Kubfu</v>
      </c>
      <c r="G892" s="5" t="str">
        <f t="shared" si="151"/>
        <v>Kubfu</v>
      </c>
      <c r="H892" s="3" t="s">
        <v>5017</v>
      </c>
      <c r="I892" s="3" t="s">
        <v>5018</v>
      </c>
      <c r="J892" s="5" t="str">
        <f>I892</f>
        <v>熊徒弟</v>
      </c>
    </row>
    <row r="893">
      <c r="A893" s="3" t="str">
        <f t="shared" si="168"/>
        <v>NAME_PkMn_URSHIFU</v>
      </c>
      <c r="B893" s="3" t="s">
        <v>5019</v>
      </c>
      <c r="C893" s="3" t="s">
        <v>5020</v>
      </c>
      <c r="D893" s="3" t="s">
        <v>5021</v>
      </c>
      <c r="E893" s="3" t="s">
        <v>5022</v>
      </c>
      <c r="F893" s="5" t="str">
        <f t="shared" si="150"/>
        <v>Urshifu</v>
      </c>
      <c r="G893" s="5" t="str">
        <f t="shared" si="151"/>
        <v>Urshifu</v>
      </c>
      <c r="H893" s="3" t="s">
        <v>5023</v>
      </c>
      <c r="I893" s="3" t="s">
        <v>5024</v>
      </c>
      <c r="J893" s="5" t="str">
        <f>IFERROR(__xludf.DUMMYFUNCTION("GOOGLETRANSLATE(I893,""zh_HANT"",""zh_HANS"")"),"武道熊师")</f>
        <v>武道熊师</v>
      </c>
    </row>
    <row r="894">
      <c r="A894" s="3" t="str">
        <f t="shared" si="168"/>
        <v>NAME_PkMn_ZARUDE</v>
      </c>
      <c r="B894" s="3" t="s">
        <v>5025</v>
      </c>
      <c r="C894" s="3" t="s">
        <v>5026</v>
      </c>
      <c r="D894" s="5" t="str">
        <f t="shared" ref="D894:D896" si="172">B894</f>
        <v>Zarude</v>
      </c>
      <c r="E894" s="5" t="str">
        <f t="shared" ref="E894:E896" si="173">B894</f>
        <v>Zarude</v>
      </c>
      <c r="F894" s="5" t="str">
        <f t="shared" si="150"/>
        <v>Zarude</v>
      </c>
      <c r="G894" s="5" t="str">
        <f t="shared" si="151"/>
        <v>Zarude</v>
      </c>
      <c r="H894" s="3" t="s">
        <v>5027</v>
      </c>
      <c r="I894" s="3" t="s">
        <v>5028</v>
      </c>
      <c r="J894" s="5" t="str">
        <f>IFERROR(__xludf.DUMMYFUNCTION("GOOGLETRANSLATE(I894,""zh_HANT"",""zh_HANS"")"),"萨戮德")</f>
        <v>萨戮德</v>
      </c>
    </row>
    <row r="895">
      <c r="A895" s="3" t="str">
        <f t="shared" si="168"/>
        <v>NAME_PkMn_REGIELEKI</v>
      </c>
      <c r="B895" s="3" t="s">
        <v>5029</v>
      </c>
      <c r="C895" s="3" t="s">
        <v>5030</v>
      </c>
      <c r="D895" s="5" t="str">
        <f t="shared" si="172"/>
        <v>Regieleki</v>
      </c>
      <c r="E895" s="5" t="str">
        <f t="shared" si="173"/>
        <v>Regieleki</v>
      </c>
      <c r="F895" s="5" t="str">
        <f t="shared" si="150"/>
        <v>Regieleki</v>
      </c>
      <c r="G895" s="5" t="str">
        <f t="shared" si="151"/>
        <v>Regieleki</v>
      </c>
      <c r="H895" s="3" t="s">
        <v>5031</v>
      </c>
      <c r="I895" s="3" t="s">
        <v>5032</v>
      </c>
      <c r="J895" s="5" t="str">
        <f>I895</f>
        <v>雷吉艾勒奇</v>
      </c>
    </row>
    <row r="896">
      <c r="A896" s="3" t="str">
        <f t="shared" si="168"/>
        <v>NAME_PkMn_REGIDRAGO</v>
      </c>
      <c r="B896" s="3" t="s">
        <v>5033</v>
      </c>
      <c r="C896" s="3" t="s">
        <v>5034</v>
      </c>
      <c r="D896" s="5" t="str">
        <f t="shared" si="172"/>
        <v>Regidrago</v>
      </c>
      <c r="E896" s="5" t="str">
        <f t="shared" si="173"/>
        <v>Regidrago</v>
      </c>
      <c r="F896" s="5" t="str">
        <f t="shared" si="150"/>
        <v>Regidrago</v>
      </c>
      <c r="G896" s="5" t="str">
        <f t="shared" si="151"/>
        <v>Regidrago</v>
      </c>
      <c r="H896" s="3" t="s">
        <v>5035</v>
      </c>
      <c r="I896" s="3" t="s">
        <v>5036</v>
      </c>
      <c r="J896" s="5" t="str">
        <f>IFERROR(__xludf.DUMMYFUNCTION("GOOGLETRANSLATE(I896,""zh_HANT"",""zh_HANS"")"),"雷吉铎拉戈")</f>
        <v>雷吉铎拉戈</v>
      </c>
    </row>
    <row r="897">
      <c r="A897" s="3" t="str">
        <f t="shared" si="168"/>
        <v>NAME_PkMn_GLASTRIER</v>
      </c>
      <c r="B897" s="3" t="s">
        <v>5037</v>
      </c>
      <c r="C897" s="3" t="s">
        <v>5038</v>
      </c>
      <c r="D897" s="3" t="s">
        <v>5039</v>
      </c>
      <c r="E897" s="3" t="s">
        <v>5040</v>
      </c>
      <c r="F897" s="5" t="str">
        <f t="shared" si="150"/>
        <v>Glastrier</v>
      </c>
      <c r="G897" s="5" t="str">
        <f t="shared" si="151"/>
        <v>Glastrier</v>
      </c>
      <c r="H897" s="3" t="s">
        <v>5041</v>
      </c>
      <c r="I897" s="3" t="s">
        <v>5042</v>
      </c>
      <c r="J897" s="5" t="str">
        <f>IFERROR(__xludf.DUMMYFUNCTION("GOOGLETRANSLATE(I897,""zh_HANT"",""zh_HANS"")"),"雪暴马")</f>
        <v>雪暴马</v>
      </c>
    </row>
    <row r="898">
      <c r="A898" s="3" t="str">
        <f t="shared" si="168"/>
        <v>NAME_PkMn_SPECTRIER</v>
      </c>
      <c r="B898" s="3" t="s">
        <v>5043</v>
      </c>
      <c r="C898" s="3" t="s">
        <v>5044</v>
      </c>
      <c r="D898" s="3" t="s">
        <v>5045</v>
      </c>
      <c r="E898" s="3" t="s">
        <v>5046</v>
      </c>
      <c r="F898" s="5" t="str">
        <f t="shared" si="150"/>
        <v>Spectrier</v>
      </c>
      <c r="G898" s="5" t="str">
        <f t="shared" si="151"/>
        <v>Spectrier</v>
      </c>
      <c r="H898" s="3" t="s">
        <v>5047</v>
      </c>
      <c r="I898" s="3" t="s">
        <v>5048</v>
      </c>
      <c r="J898" s="5" t="str">
        <f>IFERROR(__xludf.DUMMYFUNCTION("GOOGLETRANSLATE(I898,""zh_HANT"",""zh_HANS"")"),"灵幽马")</f>
        <v>灵幽马</v>
      </c>
    </row>
    <row r="899">
      <c r="A899" s="3" t="str">
        <f t="shared" si="168"/>
        <v>NAME_PkMn_CALYREX</v>
      </c>
      <c r="B899" s="3" t="s">
        <v>5049</v>
      </c>
      <c r="C899" s="3" t="s">
        <v>5050</v>
      </c>
      <c r="D899" s="3" t="s">
        <v>5051</v>
      </c>
      <c r="E899" s="3" t="s">
        <v>5052</v>
      </c>
      <c r="F899" s="5" t="str">
        <f t="shared" si="150"/>
        <v>Calyrex</v>
      </c>
      <c r="G899" s="5" t="str">
        <f t="shared" si="151"/>
        <v>Calyrex</v>
      </c>
      <c r="H899" s="3" t="s">
        <v>5053</v>
      </c>
      <c r="I899" s="3" t="s">
        <v>5054</v>
      </c>
      <c r="J899" s="5" t="str">
        <f>I899</f>
        <v>蕾冠王</v>
      </c>
    </row>
    <row r="900">
      <c r="A900" s="3" t="str">
        <f t="shared" si="168"/>
        <v>NAME_PkMn_WYRDEER</v>
      </c>
      <c r="B900" s="3" t="s">
        <v>5055</v>
      </c>
      <c r="C900" s="3" t="s">
        <v>5056</v>
      </c>
      <c r="D900" s="3" t="s">
        <v>5057</v>
      </c>
      <c r="E900" s="3" t="s">
        <v>5058</v>
      </c>
      <c r="F900" s="5" t="str">
        <f t="shared" si="150"/>
        <v>Wyrdeer</v>
      </c>
      <c r="G900" s="5" t="str">
        <f t="shared" si="151"/>
        <v>Wyrdeer</v>
      </c>
      <c r="H900" s="3" t="s">
        <v>5059</v>
      </c>
      <c r="I900" s="3" t="s">
        <v>5060</v>
      </c>
      <c r="J900" s="5" t="str">
        <f>IFERROR(__xludf.DUMMYFUNCTION("GOOGLETRANSLATE(I900,""zh_HANT"",""zh_HANS"")"),"诡角鹿")</f>
        <v>诡角鹿</v>
      </c>
    </row>
    <row r="901">
      <c r="A901" s="3" t="str">
        <f t="shared" si="168"/>
        <v>NAME_PkMn_KLEAVOR</v>
      </c>
      <c r="B901" s="3" t="s">
        <v>5061</v>
      </c>
      <c r="C901" s="3" t="s">
        <v>5062</v>
      </c>
      <c r="D901" s="3" t="s">
        <v>5063</v>
      </c>
      <c r="E901" s="3" t="s">
        <v>5064</v>
      </c>
      <c r="F901" s="5" t="str">
        <f t="shared" si="150"/>
        <v>Kleavor</v>
      </c>
      <c r="G901" s="5" t="str">
        <f t="shared" si="151"/>
        <v>Kleavor</v>
      </c>
      <c r="H901" s="3" t="s">
        <v>5065</v>
      </c>
      <c r="I901" s="3" t="s">
        <v>5066</v>
      </c>
      <c r="J901" s="5" t="str">
        <f t="shared" ref="J901:J902" si="174">I901</f>
        <v>劈斧螳螂</v>
      </c>
    </row>
    <row r="902">
      <c r="A902" s="3" t="str">
        <f t="shared" si="168"/>
        <v>NAME_PkMn_URSALUNA</v>
      </c>
      <c r="B902" s="3" t="s">
        <v>5067</v>
      </c>
      <c r="C902" s="3" t="s">
        <v>5068</v>
      </c>
      <c r="D902" s="7" t="s">
        <v>5069</v>
      </c>
      <c r="E902" s="5" t="str">
        <f>B902</f>
        <v>Ursaluna</v>
      </c>
      <c r="F902" s="5" t="str">
        <f t="shared" si="150"/>
        <v>Ursaluna</v>
      </c>
      <c r="G902" s="5" t="str">
        <f t="shared" si="151"/>
        <v>Ursaluna</v>
      </c>
      <c r="H902" s="6" t="s">
        <v>5070</v>
      </c>
      <c r="I902" s="3" t="s">
        <v>5071</v>
      </c>
      <c r="J902" s="3" t="str">
        <f t="shared" si="174"/>
        <v>月月熊</v>
      </c>
    </row>
    <row r="903">
      <c r="A903" s="3" t="str">
        <f t="shared" si="168"/>
        <v>NAME_PkMn_BASCULEGION</v>
      </c>
      <c r="B903" s="3" t="s">
        <v>5072</v>
      </c>
      <c r="C903" s="3" t="s">
        <v>5073</v>
      </c>
      <c r="D903" s="7" t="s">
        <v>5074</v>
      </c>
      <c r="E903" s="3" t="s">
        <v>5075</v>
      </c>
      <c r="F903" s="5" t="str">
        <f t="shared" si="150"/>
        <v>Basculegion</v>
      </c>
      <c r="G903" s="5" t="str">
        <f t="shared" si="151"/>
        <v>Basculegion</v>
      </c>
      <c r="H903" s="3" t="s">
        <v>5076</v>
      </c>
      <c r="I903" s="3" t="s">
        <v>5077</v>
      </c>
      <c r="J903" s="5" t="str">
        <f>IFERROR(__xludf.DUMMYFUNCTION("GOOGLETRANSLATE(I903,""zh_HANT"",""zh_HANS"")"),"幽尾玄鱼")</f>
        <v>幽尾玄鱼</v>
      </c>
    </row>
    <row r="904">
      <c r="A904" s="3" t="str">
        <f t="shared" si="168"/>
        <v>NAME_PkMn_SNEASLER</v>
      </c>
      <c r="B904" s="3" t="s">
        <v>5078</v>
      </c>
      <c r="C904" s="3" t="s">
        <v>5079</v>
      </c>
      <c r="D904" s="7" t="s">
        <v>5080</v>
      </c>
      <c r="E904" s="3" t="s">
        <v>5081</v>
      </c>
      <c r="F904" s="5" t="str">
        <f t="shared" si="150"/>
        <v>Sneasler</v>
      </c>
      <c r="G904" s="5" t="str">
        <f t="shared" si="151"/>
        <v>Sneasler</v>
      </c>
      <c r="H904" s="6" t="s">
        <v>5082</v>
      </c>
      <c r="I904" s="5" t="str">
        <f>J904</f>
        <v>大狃拉</v>
      </c>
      <c r="J904" s="3" t="s">
        <v>5083</v>
      </c>
    </row>
    <row r="905">
      <c r="A905" s="3" t="str">
        <f t="shared" si="168"/>
        <v>NAME_PkMn_OVERQWIL</v>
      </c>
      <c r="B905" s="3" t="s">
        <v>5084</v>
      </c>
      <c r="C905" s="3" t="s">
        <v>5085</v>
      </c>
      <c r="D905" s="7" t="s">
        <v>5086</v>
      </c>
      <c r="E905" s="3" t="s">
        <v>5087</v>
      </c>
      <c r="F905" s="5" t="str">
        <f t="shared" si="150"/>
        <v>Overqwil</v>
      </c>
      <c r="G905" s="5" t="str">
        <f t="shared" si="151"/>
        <v>Overqwil</v>
      </c>
      <c r="H905" s="6" t="s">
        <v>5088</v>
      </c>
      <c r="I905" s="5" t="str">
        <f>IFERROR(__xludf.DUMMYFUNCTION("GOOGLETRANSLATE(J905,""zh_HANS"",""zh_HANT"")"),"萬針魚")</f>
        <v>萬針魚</v>
      </c>
      <c r="J905" s="3" t="s">
        <v>5089</v>
      </c>
    </row>
    <row r="906">
      <c r="A906" s="3" t="str">
        <f t="shared" si="168"/>
        <v>NAME_PkMn_ENAMORUS</v>
      </c>
      <c r="B906" s="3" t="s">
        <v>5090</v>
      </c>
      <c r="C906" s="3" t="s">
        <v>5091</v>
      </c>
      <c r="D906" s="7" t="s">
        <v>5092</v>
      </c>
      <c r="E906" s="3" t="s">
        <v>5093</v>
      </c>
      <c r="F906" s="5" t="str">
        <f t="shared" si="150"/>
        <v>Enamorus</v>
      </c>
      <c r="G906" s="5" t="str">
        <f t="shared" si="151"/>
        <v>Enamorus</v>
      </c>
      <c r="H906" s="6" t="s">
        <v>5094</v>
      </c>
      <c r="I906" s="5" t="str">
        <f>IFERROR(__xludf.DUMMYFUNCTION("GOOGLETRANSLATE(J906,""zh_HANS"",""zh_HANT"")"),"眷戀雲")</f>
        <v>眷戀雲</v>
      </c>
      <c r="J906" s="3" t="s">
        <v>5095</v>
      </c>
    </row>
    <row r="907">
      <c r="A907" s="3" t="str">
        <f t="shared" si="168"/>
        <v>NAME_PkMn_SPRIGATITO</v>
      </c>
      <c r="B907" s="3" t="s">
        <v>5096</v>
      </c>
      <c r="C907" s="3" t="s">
        <v>5097</v>
      </c>
      <c r="D907" s="3" t="s">
        <v>5098</v>
      </c>
      <c r="E907" s="3" t="s">
        <v>5099</v>
      </c>
      <c r="F907" s="5" t="str">
        <f t="shared" si="150"/>
        <v>Sprigatito</v>
      </c>
      <c r="G907" s="5" t="str">
        <f t="shared" si="151"/>
        <v>Sprigatito</v>
      </c>
      <c r="H907" s="4" t="s">
        <v>5100</v>
      </c>
      <c r="I907" s="5" t="str">
        <f>IFERROR(__xludf.DUMMYFUNCTION("GOOGLETRANSLATE(J907,""zh_HANS"",""zh_HANT"")"),"新葉喵")</f>
        <v>新葉喵</v>
      </c>
      <c r="J907" s="3" t="s">
        <v>5101</v>
      </c>
    </row>
    <row r="908">
      <c r="A908" s="3" t="str">
        <f t="shared" si="168"/>
        <v>NAME_PkMn_FLORAGATO</v>
      </c>
      <c r="B908" s="3" t="s">
        <v>5102</v>
      </c>
      <c r="C908" s="3" t="s">
        <v>5103</v>
      </c>
      <c r="D908" s="3" t="s">
        <v>5104</v>
      </c>
      <c r="E908" s="3" t="s">
        <v>5105</v>
      </c>
      <c r="F908" s="5" t="str">
        <f t="shared" si="150"/>
        <v>Floragato</v>
      </c>
      <c r="G908" s="5" t="str">
        <f t="shared" si="151"/>
        <v>Floragato</v>
      </c>
      <c r="H908" s="4" t="s">
        <v>5106</v>
      </c>
      <c r="I908" s="5" t="str">
        <f t="shared" ref="I908:I909" si="175">J908</f>
        <v>蒂蕾喵</v>
      </c>
      <c r="J908" s="3" t="s">
        <v>5107</v>
      </c>
    </row>
    <row r="909">
      <c r="A909" s="3" t="str">
        <f t="shared" si="168"/>
        <v>NAME_PkMn_MEOWSCARDA</v>
      </c>
      <c r="B909" s="3" t="s">
        <v>5108</v>
      </c>
      <c r="C909" s="3" t="s">
        <v>5109</v>
      </c>
      <c r="D909" s="3" t="s">
        <v>5110</v>
      </c>
      <c r="E909" s="3" t="s">
        <v>5111</v>
      </c>
      <c r="F909" s="5" t="str">
        <f t="shared" si="150"/>
        <v>Meowscarda</v>
      </c>
      <c r="G909" s="5" t="str">
        <f t="shared" si="151"/>
        <v>Meowscarda</v>
      </c>
      <c r="H909" s="4" t="s">
        <v>5112</v>
      </c>
      <c r="I909" s="5" t="str">
        <f t="shared" si="175"/>
        <v>魔幻假面喵</v>
      </c>
      <c r="J909" s="3" t="s">
        <v>5113</v>
      </c>
    </row>
    <row r="910">
      <c r="A910" s="3" t="str">
        <f t="shared" si="168"/>
        <v>NAME_PkMn_FUECOCO</v>
      </c>
      <c r="B910" s="3" t="s">
        <v>5114</v>
      </c>
      <c r="C910" s="3" t="s">
        <v>5115</v>
      </c>
      <c r="D910" s="3" t="s">
        <v>5116</v>
      </c>
      <c r="E910" s="3" t="s">
        <v>5117</v>
      </c>
      <c r="F910" s="5" t="str">
        <f t="shared" si="150"/>
        <v>Fuecoco</v>
      </c>
      <c r="G910" s="5" t="str">
        <f t="shared" si="151"/>
        <v>Fuecoco</v>
      </c>
      <c r="H910" s="4" t="s">
        <v>5118</v>
      </c>
      <c r="I910" s="5" t="str">
        <f>IFERROR(__xludf.DUMMYFUNCTION("GOOGLETRANSLATE(J910,""zh_HANS"",""zh_HANT"")"),"呆火鱷")</f>
        <v>呆火鱷</v>
      </c>
      <c r="J910" s="3" t="s">
        <v>5119</v>
      </c>
    </row>
    <row r="911">
      <c r="A911" s="3" t="str">
        <f t="shared" si="168"/>
        <v>NAME_PkMn_CROCALOR</v>
      </c>
      <c r="B911" s="3" t="s">
        <v>5120</v>
      </c>
      <c r="C911" s="3" t="s">
        <v>5121</v>
      </c>
      <c r="D911" s="3" t="s">
        <v>5122</v>
      </c>
      <c r="E911" s="3" t="s">
        <v>5123</v>
      </c>
      <c r="F911" s="5" t="str">
        <f t="shared" si="150"/>
        <v>Crocalor</v>
      </c>
      <c r="G911" s="5" t="str">
        <f t="shared" si="151"/>
        <v>Crocalor</v>
      </c>
      <c r="H911" s="4" t="s">
        <v>5124</v>
      </c>
      <c r="I911" s="5" t="str">
        <f>IFERROR(__xludf.DUMMYFUNCTION("GOOGLETRANSLATE(J911,""zh_HANS"",""zh_HANT"")"),"炙燙鱷")</f>
        <v>炙燙鱷</v>
      </c>
      <c r="J911" s="3" t="s">
        <v>5125</v>
      </c>
    </row>
    <row r="912">
      <c r="A912" s="3" t="str">
        <f t="shared" si="168"/>
        <v>NAME_PkMn_SKELEDIRGE</v>
      </c>
      <c r="B912" s="3" t="s">
        <v>5126</v>
      </c>
      <c r="C912" s="3" t="s">
        <v>5127</v>
      </c>
      <c r="D912" s="3" t="s">
        <v>5128</v>
      </c>
      <c r="E912" s="3" t="s">
        <v>5129</v>
      </c>
      <c r="F912" s="5" t="str">
        <f t="shared" si="150"/>
        <v>Skeledirge</v>
      </c>
      <c r="G912" s="5" t="str">
        <f t="shared" si="151"/>
        <v>Skeledirge</v>
      </c>
      <c r="H912" s="4" t="s">
        <v>5130</v>
      </c>
      <c r="I912" s="5" t="str">
        <f>IFERROR(__xludf.DUMMYFUNCTION("GOOGLETRANSLATE(J912,""zh_HANS"",""zh_HANT"")"),"骨紋巨聲鱷")</f>
        <v>骨紋巨聲鱷</v>
      </c>
      <c r="J912" s="3" t="s">
        <v>5131</v>
      </c>
    </row>
    <row r="913">
      <c r="A913" s="3" t="str">
        <f t="shared" si="168"/>
        <v>NAME_PkMn_QUAXLY</v>
      </c>
      <c r="B913" s="3" t="s">
        <v>5132</v>
      </c>
      <c r="C913" s="3" t="s">
        <v>5133</v>
      </c>
      <c r="D913" s="3" t="s">
        <v>5134</v>
      </c>
      <c r="E913" s="3" t="s">
        <v>5135</v>
      </c>
      <c r="F913" s="5" t="str">
        <f t="shared" si="150"/>
        <v>Quaxly</v>
      </c>
      <c r="G913" s="5" t="str">
        <f t="shared" si="151"/>
        <v>Quaxly</v>
      </c>
      <c r="H913" s="4" t="s">
        <v>5136</v>
      </c>
      <c r="I913" s="5" t="str">
        <f>IFERROR(__xludf.DUMMYFUNCTION("GOOGLETRANSLATE(J913,""zh_HANS"",""zh_HANT"")"),"潤水鴨")</f>
        <v>潤水鴨</v>
      </c>
      <c r="J913" s="3" t="s">
        <v>5137</v>
      </c>
    </row>
    <row r="914">
      <c r="A914" s="3" t="str">
        <f t="shared" si="168"/>
        <v>NAME_PkMn_QUAXWELL</v>
      </c>
      <c r="B914" s="3" t="s">
        <v>5138</v>
      </c>
      <c r="C914" s="3" t="s">
        <v>5139</v>
      </c>
      <c r="D914" s="3" t="s">
        <v>5140</v>
      </c>
      <c r="E914" s="3" t="s">
        <v>5141</v>
      </c>
      <c r="F914" s="5" t="str">
        <f t="shared" si="150"/>
        <v>Quaxwell</v>
      </c>
      <c r="G914" s="5" t="str">
        <f t="shared" si="151"/>
        <v>Quaxwell</v>
      </c>
      <c r="H914" s="4" t="s">
        <v>5142</v>
      </c>
      <c r="I914" s="5" t="str">
        <f>IFERROR(__xludf.DUMMYFUNCTION("GOOGLETRANSLATE(J914,""zh_HANS"",""zh_HANT"")"),"湧躍鴨")</f>
        <v>湧躍鴨</v>
      </c>
      <c r="J914" s="3" t="s">
        <v>5143</v>
      </c>
    </row>
    <row r="915">
      <c r="A915" s="3" t="str">
        <f t="shared" si="168"/>
        <v>NAME_PkMn_QUAQUAVEL</v>
      </c>
      <c r="B915" s="3" t="s">
        <v>5144</v>
      </c>
      <c r="C915" s="3" t="s">
        <v>5145</v>
      </c>
      <c r="D915" s="3" t="s">
        <v>5146</v>
      </c>
      <c r="E915" s="3" t="s">
        <v>5147</v>
      </c>
      <c r="F915" s="5" t="str">
        <f t="shared" si="150"/>
        <v>Quaquavel</v>
      </c>
      <c r="G915" s="5" t="str">
        <f t="shared" si="151"/>
        <v>Quaquavel</v>
      </c>
      <c r="H915" s="4" t="s">
        <v>5148</v>
      </c>
      <c r="I915" s="5" t="str">
        <f>IFERROR(__xludf.DUMMYFUNCTION("GOOGLETRANSLATE(J915,""zh_HANS"",""zh_HANT"")"),"狂歡浪舞鴨")</f>
        <v>狂歡浪舞鴨</v>
      </c>
      <c r="J915" s="3" t="s">
        <v>5149</v>
      </c>
    </row>
    <row r="916">
      <c r="A916" s="3" t="str">
        <f t="shared" si="168"/>
        <v>NAME_PkMn_LECHONK</v>
      </c>
      <c r="B916" s="3" t="s">
        <v>5150</v>
      </c>
      <c r="C916" s="3" t="s">
        <v>5151</v>
      </c>
      <c r="D916" s="3" t="s">
        <v>5152</v>
      </c>
      <c r="E916" s="3" t="s">
        <v>5153</v>
      </c>
      <c r="F916" s="5" t="str">
        <f t="shared" si="150"/>
        <v>Lechonk</v>
      </c>
      <c r="G916" s="5" t="str">
        <f t="shared" si="151"/>
        <v>Lechonk</v>
      </c>
      <c r="H916" s="4" t="s">
        <v>5154</v>
      </c>
      <c r="I916" s="5" t="str">
        <f>IFERROR(__xludf.DUMMYFUNCTION("GOOGLETRANSLATE(J916,""zh_HANS"",""zh_HANT"")"),"愛吃豚")</f>
        <v>愛吃豚</v>
      </c>
      <c r="J916" s="3" t="s">
        <v>5155</v>
      </c>
    </row>
    <row r="917">
      <c r="A917" s="3" t="str">
        <f t="shared" si="168"/>
        <v>NAME_PkMn_OINKOLOGNE</v>
      </c>
      <c r="B917" s="3" t="s">
        <v>5156</v>
      </c>
      <c r="C917" s="3" t="s">
        <v>5157</v>
      </c>
      <c r="D917" s="3" t="s">
        <v>5158</v>
      </c>
      <c r="E917" s="3" t="s">
        <v>5159</v>
      </c>
      <c r="F917" s="5" t="str">
        <f t="shared" si="150"/>
        <v>Oinkologne</v>
      </c>
      <c r="G917" s="5" t="str">
        <f t="shared" si="151"/>
        <v>Oinkologne</v>
      </c>
      <c r="H917" s="4" t="s">
        <v>5160</v>
      </c>
      <c r="I917" s="5" t="str">
        <f>IFERROR(__xludf.DUMMYFUNCTION("GOOGLETRANSLATE(J917,""zh_HANS"",""zh_HANT"")"),"飄香豚")</f>
        <v>飄香豚</v>
      </c>
      <c r="J917" s="3" t="s">
        <v>5161</v>
      </c>
    </row>
    <row r="918">
      <c r="A918" s="3" t="str">
        <f t="shared" si="168"/>
        <v>NAME_PkMn_TAROUNTULA</v>
      </c>
      <c r="B918" s="3" t="s">
        <v>5162</v>
      </c>
      <c r="C918" s="3" t="s">
        <v>5163</v>
      </c>
      <c r="D918" s="3" t="s">
        <v>5164</v>
      </c>
      <c r="E918" s="3" t="s">
        <v>5165</v>
      </c>
      <c r="F918" s="5" t="str">
        <f t="shared" si="150"/>
        <v>Tarountula</v>
      </c>
      <c r="G918" s="5" t="str">
        <f t="shared" si="151"/>
        <v>Tarountula</v>
      </c>
      <c r="H918" s="4" t="s">
        <v>5166</v>
      </c>
      <c r="I918" s="5" t="str">
        <f>IFERROR(__xludf.DUMMYFUNCTION("GOOGLETRANSLATE(J918,""zh_HANS"",""zh_HANT"")"),"團珠蛛")</f>
        <v>團珠蛛</v>
      </c>
      <c r="J918" s="3" t="s">
        <v>5167</v>
      </c>
    </row>
    <row r="919">
      <c r="A919" s="3" t="str">
        <f t="shared" si="168"/>
        <v>NAME_PkMn_SPIDOPS</v>
      </c>
      <c r="B919" s="3" t="s">
        <v>5168</v>
      </c>
      <c r="C919" s="3" t="s">
        <v>5169</v>
      </c>
      <c r="D919" s="3" t="s">
        <v>5170</v>
      </c>
      <c r="E919" s="3" t="s">
        <v>5171</v>
      </c>
      <c r="F919" s="5" t="str">
        <f t="shared" si="150"/>
        <v>Spidops</v>
      </c>
      <c r="G919" s="5" t="str">
        <f t="shared" si="151"/>
        <v>Spidops</v>
      </c>
      <c r="H919" s="4" t="s">
        <v>5172</v>
      </c>
      <c r="I919" s="5" t="str">
        <f t="shared" ref="I919:I921" si="176">J919</f>
        <v>操陷蛛</v>
      </c>
      <c r="J919" s="3" t="s">
        <v>5173</v>
      </c>
    </row>
    <row r="920">
      <c r="A920" s="3" t="str">
        <f t="shared" si="168"/>
        <v>NAME_PkMn_NYMBLE</v>
      </c>
      <c r="B920" s="3" t="s">
        <v>5174</v>
      </c>
      <c r="C920" s="3" t="s">
        <v>5175</v>
      </c>
      <c r="D920" s="3" t="s">
        <v>5176</v>
      </c>
      <c r="E920" s="3" t="s">
        <v>5177</v>
      </c>
      <c r="F920" s="5" t="str">
        <f t="shared" si="150"/>
        <v>Nymble</v>
      </c>
      <c r="G920" s="5" t="str">
        <f t="shared" si="151"/>
        <v>Nymble</v>
      </c>
      <c r="H920" s="4" t="s">
        <v>5178</v>
      </c>
      <c r="I920" s="5" t="str">
        <f t="shared" si="176"/>
        <v>豆蟋蟀</v>
      </c>
      <c r="J920" s="3" t="s">
        <v>5179</v>
      </c>
    </row>
    <row r="921">
      <c r="A921" s="3" t="str">
        <f t="shared" si="168"/>
        <v>NAME_PkMn_LOKIX</v>
      </c>
      <c r="B921" s="3" t="s">
        <v>5180</v>
      </c>
      <c r="C921" s="3" t="s">
        <v>5181</v>
      </c>
      <c r="D921" s="3" t="s">
        <v>5182</v>
      </c>
      <c r="E921" s="3" t="s">
        <v>5183</v>
      </c>
      <c r="F921" s="5" t="str">
        <f t="shared" si="150"/>
        <v>Lokix</v>
      </c>
      <c r="G921" s="5" t="str">
        <f t="shared" si="151"/>
        <v>Lokix</v>
      </c>
      <c r="H921" s="4" t="s">
        <v>5184</v>
      </c>
      <c r="I921" s="5" t="str">
        <f t="shared" si="176"/>
        <v>烈腿蝗</v>
      </c>
      <c r="J921" s="3" t="s">
        <v>5185</v>
      </c>
    </row>
    <row r="922">
      <c r="A922" s="3" t="str">
        <f t="shared" si="168"/>
        <v>NAME_PkMn_PAWMI</v>
      </c>
      <c r="B922" s="3" t="s">
        <v>5186</v>
      </c>
      <c r="C922" s="3" t="s">
        <v>5187</v>
      </c>
      <c r="D922" s="3" t="s">
        <v>5188</v>
      </c>
      <c r="E922" s="3" t="s">
        <v>5189</v>
      </c>
      <c r="F922" s="5" t="str">
        <f t="shared" si="150"/>
        <v>Pawmi</v>
      </c>
      <c r="G922" s="5" t="str">
        <f t="shared" si="151"/>
        <v>Pawmi</v>
      </c>
      <c r="H922" s="4" t="s">
        <v>5190</v>
      </c>
      <c r="I922" s="5" t="str">
        <f>IFERROR(__xludf.DUMMYFUNCTION("GOOGLETRANSLATE(J922,""zh_HANS"",""zh_HANT"")"),"布撥")</f>
        <v>布撥</v>
      </c>
      <c r="J922" s="3" t="s">
        <v>5191</v>
      </c>
    </row>
    <row r="923">
      <c r="A923" s="3" t="str">
        <f t="shared" si="168"/>
        <v>NAME_PkMn_PAWMO</v>
      </c>
      <c r="B923" s="3" t="s">
        <v>5192</v>
      </c>
      <c r="C923" s="5" t="str">
        <f>CONCATENATE(C922,"ット")</f>
        <v>パモット</v>
      </c>
      <c r="D923" s="5" t="str">
        <f>CONCATENATE(D922,"otte")</f>
        <v>Pohmotte</v>
      </c>
      <c r="E923" s="3" t="s">
        <v>5193</v>
      </c>
      <c r="F923" s="5" t="str">
        <f t="shared" si="150"/>
        <v>Pawmo</v>
      </c>
      <c r="G923" s="5" t="str">
        <f t="shared" si="151"/>
        <v>Pawmo</v>
      </c>
      <c r="H923" s="5" t="str">
        <f>CONCATENATE(H922,"트")</f>
        <v>빠모트</v>
      </c>
      <c r="I923" s="5" t="str">
        <f>IFERROR(__xludf.DUMMYFUNCTION("GOOGLETRANSLATE(J923,""zh_HANS"",""zh_HANT"")"),"布土撥")</f>
        <v>布土撥</v>
      </c>
      <c r="J923" s="3" t="s">
        <v>5194</v>
      </c>
    </row>
    <row r="924">
      <c r="A924" s="3" t="str">
        <f t="shared" si="168"/>
        <v>NAME_PkMn_PAWMOT</v>
      </c>
      <c r="B924" s="3" t="s">
        <v>5195</v>
      </c>
      <c r="C924" s="3" t="s">
        <v>5196</v>
      </c>
      <c r="D924" s="3" t="str">
        <f>CONCATENATE(D922,"armotte")</f>
        <v>Pohmarmotte</v>
      </c>
      <c r="E924" s="3" t="str">
        <f>CONCATENATE(E922,"mamo")</f>
        <v>Pamomamo</v>
      </c>
      <c r="F924" s="5" t="str">
        <f t="shared" si="150"/>
        <v>Pawmot</v>
      </c>
      <c r="G924" s="5" t="str">
        <f t="shared" si="151"/>
        <v>Pawmot</v>
      </c>
      <c r="H924" s="4" t="s">
        <v>5197</v>
      </c>
      <c r="I924" s="5" t="str">
        <f>IFERROR(__xludf.DUMMYFUNCTION("GOOGLETRANSLATE(J924,""zh_HANS"",""zh_HANT"")"),"巴布土撥")</f>
        <v>巴布土撥</v>
      </c>
      <c r="J924" s="3" t="s">
        <v>5198</v>
      </c>
    </row>
    <row r="925">
      <c r="A925" s="3" t="str">
        <f t="shared" si="168"/>
        <v>NAME_PkMn_TANDEMAUS</v>
      </c>
      <c r="B925" s="3" t="s">
        <v>5199</v>
      </c>
      <c r="C925" s="3" t="s">
        <v>5200</v>
      </c>
      <c r="D925" s="3" t="s">
        <v>5201</v>
      </c>
      <c r="E925" s="3" t="s">
        <v>5202</v>
      </c>
      <c r="F925" s="5" t="str">
        <f t="shared" si="150"/>
        <v>Tandemaus</v>
      </c>
      <c r="G925" s="5" t="str">
        <f t="shared" si="151"/>
        <v>Tandemaus</v>
      </c>
      <c r="H925" s="4" t="s">
        <v>5203</v>
      </c>
      <c r="I925" s="5" t="str">
        <f>IFERROR(__xludf.DUMMYFUNCTION("GOOGLETRANSLATE(J925,""zh_HANS"",""zh_HANT"")"),"一對鼠")</f>
        <v>一對鼠</v>
      </c>
      <c r="J925" s="3" t="s">
        <v>5204</v>
      </c>
    </row>
    <row r="926">
      <c r="A926" s="3" t="str">
        <f t="shared" si="168"/>
        <v>NAME_PkMn_MAUSHOLD</v>
      </c>
      <c r="B926" s="3" t="s">
        <v>5205</v>
      </c>
      <c r="C926" s="3" t="s">
        <v>5206</v>
      </c>
      <c r="D926" s="3" t="s">
        <v>5207</v>
      </c>
      <c r="E926" s="3" t="s">
        <v>5208</v>
      </c>
      <c r="F926" s="5" t="str">
        <f t="shared" si="150"/>
        <v>Maushold</v>
      </c>
      <c r="G926" s="5" t="str">
        <f t="shared" si="151"/>
        <v>Maushold</v>
      </c>
      <c r="H926" s="4" t="s">
        <v>5209</v>
      </c>
      <c r="I926" s="5" t="str">
        <f t="shared" ref="I926:I929" si="177">J926</f>
        <v>一家鼠</v>
      </c>
      <c r="J926" s="3" t="s">
        <v>5210</v>
      </c>
    </row>
    <row r="927">
      <c r="A927" s="3" t="str">
        <f t="shared" si="168"/>
        <v>NAME_PkMn_FIDOUGH</v>
      </c>
      <c r="B927" s="3" t="s">
        <v>5211</v>
      </c>
      <c r="C927" s="3" t="s">
        <v>5212</v>
      </c>
      <c r="D927" s="3" t="s">
        <v>5213</v>
      </c>
      <c r="E927" s="3" t="s">
        <v>5214</v>
      </c>
      <c r="F927" s="5" t="str">
        <f t="shared" si="150"/>
        <v>Fidough</v>
      </c>
      <c r="G927" s="5" t="str">
        <f t="shared" si="151"/>
        <v>Fidough</v>
      </c>
      <c r="H927" s="4" t="s">
        <v>5215</v>
      </c>
      <c r="I927" s="5" t="str">
        <f t="shared" si="177"/>
        <v>狗仔包</v>
      </c>
      <c r="J927" s="3" t="s">
        <v>5216</v>
      </c>
    </row>
    <row r="928">
      <c r="A928" s="3" t="str">
        <f t="shared" si="168"/>
        <v>NAME_PkMn_DACHSBUN</v>
      </c>
      <c r="B928" s="3" t="s">
        <v>5217</v>
      </c>
      <c r="C928" s="3" t="s">
        <v>5218</v>
      </c>
      <c r="D928" s="3" t="s">
        <v>5219</v>
      </c>
      <c r="E928" s="3" t="s">
        <v>5220</v>
      </c>
      <c r="F928" s="5" t="str">
        <f t="shared" si="150"/>
        <v>Dachsbun</v>
      </c>
      <c r="G928" s="5" t="str">
        <f t="shared" si="151"/>
        <v>Dachsbun</v>
      </c>
      <c r="H928" s="3" t="s">
        <v>5221</v>
      </c>
      <c r="I928" s="5" t="str">
        <f t="shared" si="177"/>
        <v>麻花犬</v>
      </c>
      <c r="J928" s="3" t="s">
        <v>5222</v>
      </c>
    </row>
    <row r="929">
      <c r="A929" s="3" t="str">
        <f t="shared" si="168"/>
        <v>NAME_PkMn_SMOLIV</v>
      </c>
      <c r="B929" s="3" t="s">
        <v>5223</v>
      </c>
      <c r="C929" s="3" t="s">
        <v>5224</v>
      </c>
      <c r="D929" s="3" t="s">
        <v>5225</v>
      </c>
      <c r="E929" s="3" t="s">
        <v>5226</v>
      </c>
      <c r="F929" s="5" t="str">
        <f t="shared" si="150"/>
        <v>Smoliv</v>
      </c>
      <c r="G929" s="5" t="str">
        <f t="shared" si="151"/>
        <v>Smoliv</v>
      </c>
      <c r="H929" s="4" t="s">
        <v>5227</v>
      </c>
      <c r="I929" s="5" t="str">
        <f t="shared" si="177"/>
        <v>迷你芙</v>
      </c>
      <c r="J929" s="3" t="s">
        <v>5228</v>
      </c>
    </row>
    <row r="930">
      <c r="A930" s="3" t="str">
        <f t="shared" si="168"/>
        <v>NAME_PkMn_DOLLIV</v>
      </c>
      <c r="B930" s="3" t="s">
        <v>5229</v>
      </c>
      <c r="C930" s="3" t="s">
        <v>5230</v>
      </c>
      <c r="D930" s="3" t="s">
        <v>5231</v>
      </c>
      <c r="E930" s="3" t="s">
        <v>5232</v>
      </c>
      <c r="F930" s="5" t="str">
        <f t="shared" si="150"/>
        <v>Dolliv</v>
      </c>
      <c r="G930" s="5" t="str">
        <f t="shared" si="151"/>
        <v>Dolliv</v>
      </c>
      <c r="H930" s="6" t="s">
        <v>5233</v>
      </c>
      <c r="I930" s="5" t="str">
        <f>IFERROR(__xludf.DUMMYFUNCTION("GOOGLETRANSLATE(J930,""zh_HANS"",""zh_HANT"")"),"奧利紐")</f>
        <v>奧利紐</v>
      </c>
      <c r="J930" s="3" t="s">
        <v>5234</v>
      </c>
    </row>
    <row r="931">
      <c r="A931" s="3" t="str">
        <f t="shared" si="168"/>
        <v>NAME_PkMn_ARBOLIVA</v>
      </c>
      <c r="B931" s="3" t="s">
        <v>5235</v>
      </c>
      <c r="C931" s="3" t="s">
        <v>5236</v>
      </c>
      <c r="D931" s="3" t="str">
        <f>B931</f>
        <v>Arboliva</v>
      </c>
      <c r="E931" s="3" t="s">
        <v>5237</v>
      </c>
      <c r="F931" s="5" t="str">
        <f t="shared" si="150"/>
        <v>Arboliva</v>
      </c>
      <c r="G931" s="5" t="str">
        <f t="shared" si="151"/>
        <v>Arboliva</v>
      </c>
      <c r="H931" s="4" t="s">
        <v>5238</v>
      </c>
      <c r="I931" s="5" t="str">
        <f>IFERROR(__xludf.DUMMYFUNCTION("GOOGLETRANSLATE(J931,""zh_HANS"",""zh_HANT"")"),"奧利瓦")</f>
        <v>奧利瓦</v>
      </c>
      <c r="J931" s="3" t="s">
        <v>5239</v>
      </c>
    </row>
    <row r="932">
      <c r="A932" s="3" t="str">
        <f t="shared" si="168"/>
        <v>NAME_PkMn_SQUAWKABILLY</v>
      </c>
      <c r="B932" s="3" t="s">
        <v>5240</v>
      </c>
      <c r="C932" s="3" t="s">
        <v>5241</v>
      </c>
      <c r="D932" s="3" t="s">
        <v>5242</v>
      </c>
      <c r="E932" s="3" t="s">
        <v>5243</v>
      </c>
      <c r="F932" s="5" t="str">
        <f t="shared" si="150"/>
        <v>Squawkabilly</v>
      </c>
      <c r="G932" s="5" t="str">
        <f t="shared" si="151"/>
        <v>Squawkabilly</v>
      </c>
      <c r="H932" s="4" t="s">
        <v>5244</v>
      </c>
      <c r="I932" s="5" t="str">
        <f>IFERROR(__xludf.DUMMYFUNCTION("GOOGLETRANSLATE(J932,""zh_HANS"",""zh_HANT"")"),"怒鸚哥")</f>
        <v>怒鸚哥</v>
      </c>
      <c r="J932" s="3" t="s">
        <v>5245</v>
      </c>
    </row>
    <row r="933">
      <c r="A933" s="3" t="str">
        <f t="shared" si="168"/>
        <v>NAME_PkMn_NACLI</v>
      </c>
      <c r="B933" s="3" t="s">
        <v>5246</v>
      </c>
      <c r="C933" s="3" t="s">
        <v>5247</v>
      </c>
      <c r="D933" s="3" t="s">
        <v>5248</v>
      </c>
      <c r="E933" s="3" t="s">
        <v>5249</v>
      </c>
      <c r="F933" s="5" t="str">
        <f t="shared" si="150"/>
        <v>Nacli</v>
      </c>
      <c r="G933" s="5" t="str">
        <f t="shared" si="151"/>
        <v>Nacli</v>
      </c>
      <c r="H933" s="3" t="s">
        <v>5250</v>
      </c>
      <c r="I933" s="5" t="str">
        <f>IFERROR(__xludf.DUMMYFUNCTION("GOOGLETRANSLATE(J933,""zh_HANS"",""zh_HANT"")"),"鹽石寶")</f>
        <v>鹽石寶</v>
      </c>
      <c r="J933" s="3" t="s">
        <v>5251</v>
      </c>
    </row>
    <row r="934">
      <c r="A934" s="3" t="str">
        <f t="shared" si="168"/>
        <v>NAME_PkMn_NACLSTACK</v>
      </c>
      <c r="B934" s="3" t="s">
        <v>5252</v>
      </c>
      <c r="C934" s="3" t="s">
        <v>5253</v>
      </c>
      <c r="D934" s="3" t="s">
        <v>5254</v>
      </c>
      <c r="E934" s="3" t="s">
        <v>5255</v>
      </c>
      <c r="F934" s="5" t="str">
        <f t="shared" si="150"/>
        <v>Naclstack</v>
      </c>
      <c r="G934" s="5" t="str">
        <f t="shared" si="151"/>
        <v>Naclstack</v>
      </c>
      <c r="H934" s="4" t="s">
        <v>5256</v>
      </c>
      <c r="I934" s="5" t="str">
        <f>IFERROR(__xludf.DUMMYFUNCTION("GOOGLETRANSLATE(J934,""zh_HANS"",""zh_HANT"")"),"鹽石壘")</f>
        <v>鹽石壘</v>
      </c>
      <c r="J934" s="3" t="s">
        <v>5257</v>
      </c>
    </row>
    <row r="935">
      <c r="A935" s="3" t="str">
        <f t="shared" si="168"/>
        <v>NAME_PkMn_GARGANACL</v>
      </c>
      <c r="B935" s="3" t="s">
        <v>5258</v>
      </c>
      <c r="C935" s="3" t="s">
        <v>5259</v>
      </c>
      <c r="D935" s="3" t="s">
        <v>5260</v>
      </c>
      <c r="E935" s="3" t="s">
        <v>5261</v>
      </c>
      <c r="F935" s="5" t="str">
        <f t="shared" si="150"/>
        <v>Garganacl</v>
      </c>
      <c r="G935" s="5" t="str">
        <f t="shared" si="151"/>
        <v>Garganacl</v>
      </c>
      <c r="H935" s="4" t="s">
        <v>5262</v>
      </c>
      <c r="I935" s="5" t="str">
        <f>IFERROR(__xludf.DUMMYFUNCTION("GOOGLETRANSLATE(J935,""zh_HANS"",""zh_HANT"")"),"鹽石巨靈")</f>
        <v>鹽石巨靈</v>
      </c>
      <c r="J935" s="3" t="s">
        <v>5263</v>
      </c>
    </row>
    <row r="936">
      <c r="A936" s="3" t="str">
        <f t="shared" si="168"/>
        <v>NAME_PkMn_CHARCADET</v>
      </c>
      <c r="B936" s="3" t="s">
        <v>5264</v>
      </c>
      <c r="C936" s="3" t="s">
        <v>5265</v>
      </c>
      <c r="D936" s="3" t="s">
        <v>5266</v>
      </c>
      <c r="E936" s="3" t="s">
        <v>5267</v>
      </c>
      <c r="F936" s="5" t="str">
        <f t="shared" si="150"/>
        <v>Charcadet</v>
      </c>
      <c r="G936" s="5" t="str">
        <f t="shared" si="151"/>
        <v>Charcadet</v>
      </c>
      <c r="H936" s="6" t="s">
        <v>5268</v>
      </c>
      <c r="I936" s="5" t="str">
        <f>J936</f>
        <v>炭小侍</v>
      </c>
      <c r="J936" s="3" t="s">
        <v>5269</v>
      </c>
    </row>
    <row r="937">
      <c r="A937" s="3" t="str">
        <f t="shared" si="168"/>
        <v>NAME_PkMn_ARMAROUGE</v>
      </c>
      <c r="B937" s="3" t="s">
        <v>5270</v>
      </c>
      <c r="C937" s="3" t="s">
        <v>5271</v>
      </c>
      <c r="D937" s="3" t="s">
        <v>5272</v>
      </c>
      <c r="E937" s="3" t="s">
        <v>5273</v>
      </c>
      <c r="F937" s="5" t="str">
        <f t="shared" si="150"/>
        <v>Armarouge</v>
      </c>
      <c r="G937" s="5" t="str">
        <f t="shared" si="151"/>
        <v>Armarouge</v>
      </c>
      <c r="H937" s="4" t="s">
        <v>5274</v>
      </c>
      <c r="I937" s="5" t="str">
        <f>IFERROR(__xludf.DUMMYFUNCTION("GOOGLETRANSLATE(J937,""zh_HANS"",""zh_HANT"")"),"紅蓮鎧騎")</f>
        <v>紅蓮鎧騎</v>
      </c>
      <c r="J937" s="3" t="s">
        <v>5275</v>
      </c>
    </row>
    <row r="938">
      <c r="A938" s="3" t="str">
        <f t="shared" si="168"/>
        <v>NAME_PkMn_CERULEDGE</v>
      </c>
      <c r="B938" s="3" t="s">
        <v>5276</v>
      </c>
      <c r="C938" s="3" t="s">
        <v>5277</v>
      </c>
      <c r="D938" s="3" t="s">
        <v>5278</v>
      </c>
      <c r="E938" s="3" t="s">
        <v>5279</v>
      </c>
      <c r="F938" s="5" t="str">
        <f t="shared" si="150"/>
        <v>Ceruledge</v>
      </c>
      <c r="G938" s="5" t="str">
        <f t="shared" si="151"/>
        <v>Ceruledge</v>
      </c>
      <c r="H938" s="4" t="s">
        <v>5280</v>
      </c>
      <c r="I938" s="5" t="str">
        <f>IFERROR(__xludf.DUMMYFUNCTION("GOOGLETRANSLATE(J938,""zh_HANS"",""zh_HANT"")"),"蒼炎刃鬼")</f>
        <v>蒼炎刃鬼</v>
      </c>
      <c r="J938" s="3" t="s">
        <v>5281</v>
      </c>
    </row>
    <row r="939">
      <c r="A939" s="3" t="str">
        <f t="shared" si="168"/>
        <v>NAME_PkMn_TADBULB</v>
      </c>
      <c r="B939" s="3" t="s">
        <v>5282</v>
      </c>
      <c r="C939" s="3" t="s">
        <v>5283</v>
      </c>
      <c r="D939" s="3" t="s">
        <v>5284</v>
      </c>
      <c r="E939" s="3" t="s">
        <v>5285</v>
      </c>
      <c r="F939" s="5" t="str">
        <f t="shared" si="150"/>
        <v>Tadbulb</v>
      </c>
      <c r="G939" s="5" t="str">
        <f t="shared" si="151"/>
        <v>Tadbulb</v>
      </c>
      <c r="H939" s="4" t="s">
        <v>5286</v>
      </c>
      <c r="I939" s="5" t="str">
        <f>J939</f>
        <v>光蚪仔</v>
      </c>
      <c r="J939" s="3" t="s">
        <v>5287</v>
      </c>
    </row>
    <row r="940">
      <c r="A940" s="3" t="str">
        <f t="shared" si="168"/>
        <v>NAME_PkMn_BELLIBOLT</v>
      </c>
      <c r="B940" s="3" t="s">
        <v>5288</v>
      </c>
      <c r="C940" s="3" t="s">
        <v>5289</v>
      </c>
      <c r="D940" s="3" t="s">
        <v>5290</v>
      </c>
      <c r="E940" s="3" t="s">
        <v>5291</v>
      </c>
      <c r="F940" s="5" t="str">
        <f t="shared" si="150"/>
        <v>Bellibolt</v>
      </c>
      <c r="G940" s="5" t="str">
        <f t="shared" si="151"/>
        <v>Bellibolt</v>
      </c>
      <c r="H940" s="4" t="s">
        <v>5292</v>
      </c>
      <c r="I940" s="5" t="str">
        <f>IFERROR(__xludf.DUMMYFUNCTION("GOOGLETRANSLATE(J940,""zh_HANS"",""zh_HANT"")"),"電肚蛙")</f>
        <v>電肚蛙</v>
      </c>
      <c r="J940" s="3" t="s">
        <v>5293</v>
      </c>
    </row>
    <row r="941">
      <c r="A941" s="3" t="str">
        <f t="shared" si="168"/>
        <v>NAME_PkMn_WATTREL</v>
      </c>
      <c r="B941" s="3" t="s">
        <v>5294</v>
      </c>
      <c r="C941" s="3" t="s">
        <v>5295</v>
      </c>
      <c r="D941" s="3" t="s">
        <v>5296</v>
      </c>
      <c r="E941" s="3" t="s">
        <v>5297</v>
      </c>
      <c r="F941" s="5" t="str">
        <f t="shared" si="150"/>
        <v>Wattrel</v>
      </c>
      <c r="G941" s="5" t="str">
        <f t="shared" si="151"/>
        <v>Wattrel</v>
      </c>
      <c r="H941" s="3" t="s">
        <v>5298</v>
      </c>
      <c r="I941" s="5" t="str">
        <f>IFERROR(__xludf.DUMMYFUNCTION("GOOGLETRANSLATE(J941,""zh_HANS"",""zh_HANT"")"),"電海燕")</f>
        <v>電海燕</v>
      </c>
      <c r="J941" s="3" t="s">
        <v>5299</v>
      </c>
    </row>
    <row r="942">
      <c r="A942" s="3" t="str">
        <f t="shared" si="168"/>
        <v>NAME_PkMn_KILOWATTREL</v>
      </c>
      <c r="B942" s="3" t="s">
        <v>5300</v>
      </c>
      <c r="C942" s="3" t="str">
        <f>CONCATENATE("タイ",C941)</f>
        <v>タイカイデン</v>
      </c>
      <c r="D942" s="3" t="s">
        <v>5301</v>
      </c>
      <c r="E942" s="3" t="s">
        <v>5302</v>
      </c>
      <c r="F942" s="5" t="str">
        <f t="shared" si="150"/>
        <v>Kilowattrel</v>
      </c>
      <c r="G942" s="5" t="str">
        <f t="shared" si="151"/>
        <v>Kilowattrel</v>
      </c>
      <c r="H942" s="4" t="str">
        <f>CONCATENATE(H941,"크")</f>
        <v>찌리비크</v>
      </c>
      <c r="I942" s="5" t="str">
        <f>IFERROR(__xludf.DUMMYFUNCTION("GOOGLETRANSLATE(J942,""zh_HANS"",""zh_HANT"")"),"大電海燕")</f>
        <v>大電海燕</v>
      </c>
      <c r="J942" s="3" t="s">
        <v>5303</v>
      </c>
    </row>
    <row r="943">
      <c r="A943" s="3" t="str">
        <f t="shared" si="168"/>
        <v>NAME_PkMn_MASCHIFF</v>
      </c>
      <c r="B943" s="3" t="s">
        <v>5304</v>
      </c>
      <c r="C943" s="3" t="s">
        <v>5305</v>
      </c>
      <c r="D943" s="3" t="s">
        <v>5306</v>
      </c>
      <c r="E943" s="3" t="s">
        <v>5307</v>
      </c>
      <c r="F943" s="5" t="str">
        <f t="shared" si="150"/>
        <v>Maschiff</v>
      </c>
      <c r="G943" s="5" t="str">
        <f t="shared" si="151"/>
        <v>Maschiff</v>
      </c>
      <c r="H943" s="6" t="s">
        <v>5308</v>
      </c>
      <c r="I943" s="5" t="str">
        <f t="shared" ref="I943:I944" si="178">J943</f>
        <v>偶叫獒</v>
      </c>
      <c r="J943" s="3" t="s">
        <v>5309</v>
      </c>
    </row>
    <row r="944">
      <c r="A944" s="3" t="str">
        <f t="shared" si="168"/>
        <v>NAME_PkMn_MABOSSTIFF</v>
      </c>
      <c r="B944" s="3" t="s">
        <v>5310</v>
      </c>
      <c r="C944" s="3" t="s">
        <v>5311</v>
      </c>
      <c r="D944" s="3" t="s">
        <v>5312</v>
      </c>
      <c r="E944" s="3" t="s">
        <v>5313</v>
      </c>
      <c r="F944" s="5" t="str">
        <f t="shared" si="150"/>
        <v>Mabosstiff</v>
      </c>
      <c r="G944" s="5" t="str">
        <f t="shared" si="151"/>
        <v>Mabosstiff</v>
      </c>
      <c r="H944" s="3" t="s">
        <v>5314</v>
      </c>
      <c r="I944" s="5" t="str">
        <f t="shared" si="178"/>
        <v>獒教父</v>
      </c>
      <c r="J944" s="3" t="s">
        <v>5315</v>
      </c>
    </row>
    <row r="945">
      <c r="A945" s="3" t="str">
        <f t="shared" si="168"/>
        <v>NAME_PkMn_SHROODLE</v>
      </c>
      <c r="B945" s="3" t="s">
        <v>5316</v>
      </c>
      <c r="C945" s="3" t="s">
        <v>5317</v>
      </c>
      <c r="D945" s="3" t="s">
        <v>5318</v>
      </c>
      <c r="E945" s="3" t="s">
        <v>5319</v>
      </c>
      <c r="F945" s="5" t="str">
        <f t="shared" si="150"/>
        <v>Shroodle</v>
      </c>
      <c r="G945" s="5" t="str">
        <f t="shared" si="151"/>
        <v>Shroodle</v>
      </c>
      <c r="H945" s="3" t="s">
        <v>5320</v>
      </c>
      <c r="I945" s="5" t="str">
        <f>IFERROR(__xludf.DUMMYFUNCTION("GOOGLETRANSLATE(J945,""zh_HANS"",""zh_HANT"")"),"滋汁鼴")</f>
        <v>滋汁鼴</v>
      </c>
      <c r="J945" s="3" t="s">
        <v>5321</v>
      </c>
    </row>
    <row r="946">
      <c r="A946" s="3" t="str">
        <f t="shared" si="168"/>
        <v>NAME_PkMn_GRAFAIAI</v>
      </c>
      <c r="B946" s="3" t="s">
        <v>5322</v>
      </c>
      <c r="C946" s="3" t="s">
        <v>5323</v>
      </c>
      <c r="D946" s="3" t="s">
        <v>5324</v>
      </c>
      <c r="E946" s="3" t="s">
        <v>5325</v>
      </c>
      <c r="F946" s="5" t="str">
        <f t="shared" si="150"/>
        <v>Grafaiai</v>
      </c>
      <c r="G946" s="5" t="str">
        <f t="shared" si="151"/>
        <v>Grafaiai</v>
      </c>
      <c r="H946" s="4" t="s">
        <v>5326</v>
      </c>
      <c r="I946" s="5" t="str">
        <f>IFERROR(__xludf.DUMMYFUNCTION("GOOGLETRANSLATE(J946,""zh_HANS"",""zh_HANT"")"),"塗標客")</f>
        <v>塗標客</v>
      </c>
      <c r="J946" s="3" t="s">
        <v>5327</v>
      </c>
    </row>
    <row r="947">
      <c r="A947" s="3" t="str">
        <f t="shared" si="168"/>
        <v>NAME_PkMn_BRAMBLIN</v>
      </c>
      <c r="B947" s="3" t="s">
        <v>5328</v>
      </c>
      <c r="C947" s="3" t="s">
        <v>5329</v>
      </c>
      <c r="D947" s="3" t="s">
        <v>5330</v>
      </c>
      <c r="E947" s="3" t="s">
        <v>5331</v>
      </c>
      <c r="F947" s="5" t="str">
        <f t="shared" si="150"/>
        <v>Bramblin</v>
      </c>
      <c r="G947" s="5" t="str">
        <f t="shared" si="151"/>
        <v>Bramblin</v>
      </c>
      <c r="H947" s="3" t="s">
        <v>5332</v>
      </c>
      <c r="I947" s="5" t="str">
        <f>IFERROR(__xludf.DUMMYFUNCTION("GOOGLETRANSLATE(J947,""zh_HANS"",""zh_HANT"")"),"納噬草")</f>
        <v>納噬草</v>
      </c>
      <c r="J947" s="3" t="s">
        <v>5333</v>
      </c>
    </row>
    <row r="948">
      <c r="A948" s="3" t="str">
        <f t="shared" si="168"/>
        <v>NAME_PkMn_BRAMBLEGHAST</v>
      </c>
      <c r="B948" s="3" t="s">
        <v>5334</v>
      </c>
      <c r="C948" s="3" t="s">
        <v>5335</v>
      </c>
      <c r="D948" s="3" t="s">
        <v>5336</v>
      </c>
      <c r="E948" s="3" t="s">
        <v>5337</v>
      </c>
      <c r="F948" s="5" t="str">
        <f t="shared" si="150"/>
        <v>Brambleghast</v>
      </c>
      <c r="G948" s="5" t="str">
        <f t="shared" si="151"/>
        <v>Brambleghast</v>
      </c>
      <c r="H948" s="3" t="s">
        <v>5338</v>
      </c>
      <c r="I948" s="5" t="str">
        <f>IFERROR(__xludf.DUMMYFUNCTION("GOOGLETRANSLATE(J948,""zh_HANS"",""zh_HANT"")"),"麋納噬草")</f>
        <v>麋納噬草</v>
      </c>
      <c r="J948" s="3" t="s">
        <v>5339</v>
      </c>
    </row>
    <row r="949">
      <c r="A949" s="3" t="str">
        <f t="shared" si="168"/>
        <v>NAME_PkMn_TOEDSCOOL</v>
      </c>
      <c r="B949" s="3" t="s">
        <v>5340</v>
      </c>
      <c r="C949" s="3" t="s">
        <v>5341</v>
      </c>
      <c r="D949" s="3" t="s">
        <v>5342</v>
      </c>
      <c r="E949" s="3" t="s">
        <v>5343</v>
      </c>
      <c r="F949" s="5" t="str">
        <f t="shared" si="150"/>
        <v>Toedscool</v>
      </c>
      <c r="G949" s="5" t="str">
        <f t="shared" si="151"/>
        <v>Toedscool</v>
      </c>
      <c r="H949" s="6" t="s">
        <v>5344</v>
      </c>
      <c r="I949" s="5" t="str">
        <f>J949</f>
        <v>原野水母</v>
      </c>
      <c r="J949" s="3" t="s">
        <v>5345</v>
      </c>
    </row>
    <row r="950">
      <c r="A950" s="3" t="str">
        <f t="shared" si="168"/>
        <v>NAME_PkMn_TOADSCRUEL</v>
      </c>
      <c r="B950" s="3" t="s">
        <v>5346</v>
      </c>
      <c r="C950" s="3" t="s">
        <v>5347</v>
      </c>
      <c r="D950" s="3" t="s">
        <v>5348</v>
      </c>
      <c r="E950" s="3" t="s">
        <v>5349</v>
      </c>
      <c r="F950" s="5" t="str">
        <f t="shared" si="150"/>
        <v>Toadscruel</v>
      </c>
      <c r="G950" s="5" t="str">
        <f t="shared" si="151"/>
        <v>Toadscruel</v>
      </c>
      <c r="H950" s="6" t="s">
        <v>5350</v>
      </c>
      <c r="I950" s="5" t="str">
        <f>IFERROR(__xludf.DUMMYFUNCTION("GOOGLETRANSLATE(J950,""zh_HANS"",""zh_HANT"")"),"陸地水母")</f>
        <v>陸地水母</v>
      </c>
      <c r="J950" s="3" t="s">
        <v>5351</v>
      </c>
    </row>
    <row r="951">
      <c r="A951" s="3" t="str">
        <f t="shared" si="168"/>
        <v>NAME_PkMn_KLAWF</v>
      </c>
      <c r="B951" s="3" t="s">
        <v>5352</v>
      </c>
      <c r="C951" s="3" t="s">
        <v>5353</v>
      </c>
      <c r="D951" s="3" t="s">
        <v>5354</v>
      </c>
      <c r="E951" s="3" t="s">
        <v>5355</v>
      </c>
      <c r="F951" s="5" t="str">
        <f t="shared" si="150"/>
        <v>Klawf</v>
      </c>
      <c r="G951" s="5" t="str">
        <f t="shared" si="151"/>
        <v>Klawf</v>
      </c>
      <c r="H951" s="4" t="s">
        <v>5356</v>
      </c>
      <c r="I951" s="5" t="str">
        <f>J951</f>
        <v>毛崖蟹</v>
      </c>
      <c r="J951" s="3" t="s">
        <v>5357</v>
      </c>
    </row>
    <row r="952">
      <c r="A952" s="3" t="str">
        <f t="shared" si="168"/>
        <v>NAME_PkMn_CAPSAKID</v>
      </c>
      <c r="B952" s="3" t="s">
        <v>5358</v>
      </c>
      <c r="C952" s="3" t="s">
        <v>5359</v>
      </c>
      <c r="D952" s="3" t="s">
        <v>5360</v>
      </c>
      <c r="E952" s="3" t="s">
        <v>5361</v>
      </c>
      <c r="F952" s="5" t="str">
        <f t="shared" si="150"/>
        <v>Capsakid</v>
      </c>
      <c r="G952" s="5" t="str">
        <f t="shared" si="151"/>
        <v>Capsakid</v>
      </c>
      <c r="H952" s="4" t="s">
        <v>5362</v>
      </c>
      <c r="I952" s="5" t="str">
        <f>IFERROR(__xludf.DUMMYFUNCTION("GOOGLETRANSLATE(J952,""zh_HANS"",""zh_HANT"")"),"熱辣娃")</f>
        <v>熱辣娃</v>
      </c>
      <c r="J952" s="3" t="s">
        <v>5363</v>
      </c>
    </row>
    <row r="953">
      <c r="A953" s="3" t="str">
        <f t="shared" si="168"/>
        <v>NAME_PkMn_SCOVILLAIN</v>
      </c>
      <c r="B953" s="3" t="s">
        <v>5364</v>
      </c>
      <c r="C953" s="3" t="s">
        <v>5365</v>
      </c>
      <c r="D953" s="3" t="s">
        <v>5366</v>
      </c>
      <c r="E953" s="3" t="s">
        <v>5367</v>
      </c>
      <c r="F953" s="5" t="str">
        <f t="shared" si="150"/>
        <v>Scovillain</v>
      </c>
      <c r="G953" s="5" t="str">
        <f t="shared" si="151"/>
        <v>Scovillain</v>
      </c>
      <c r="H953" s="4" t="s">
        <v>5368</v>
      </c>
      <c r="I953" s="5" t="str">
        <f>J953</f>
        <v>狠辣椒</v>
      </c>
      <c r="J953" s="3" t="s">
        <v>5369</v>
      </c>
    </row>
    <row r="954">
      <c r="A954" s="3" t="str">
        <f t="shared" si="168"/>
        <v>NAME_PkMn_RELLOR</v>
      </c>
      <c r="B954" s="3" t="s">
        <v>5370</v>
      </c>
      <c r="C954" s="3" t="s">
        <v>5371</v>
      </c>
      <c r="D954" s="3" t="s">
        <v>5372</v>
      </c>
      <c r="E954" s="3" t="s">
        <v>5373</v>
      </c>
      <c r="F954" s="5" t="str">
        <f t="shared" si="150"/>
        <v>Rellor</v>
      </c>
      <c r="G954" s="5" t="str">
        <f t="shared" si="151"/>
        <v>Rellor</v>
      </c>
      <c r="H954" s="4" t="s">
        <v>5374</v>
      </c>
      <c r="I954" s="5" t="str">
        <f>IFERROR(__xludf.DUMMYFUNCTION("GOOGLETRANSLATE(J954,""zh_HANS"",""zh_HANT"")"),"蟲滾泥")</f>
        <v>蟲滾泥</v>
      </c>
      <c r="J954" s="3" t="s">
        <v>5375</v>
      </c>
    </row>
    <row r="955">
      <c r="A955" s="3" t="str">
        <f t="shared" si="168"/>
        <v>NAME_PkMn_RABSCA</v>
      </c>
      <c r="B955" s="3" t="s">
        <v>5376</v>
      </c>
      <c r="C955" s="3" t="s">
        <v>5377</v>
      </c>
      <c r="D955" s="3" t="s">
        <v>5378</v>
      </c>
      <c r="E955" s="3" t="s">
        <v>5379</v>
      </c>
      <c r="F955" s="5" t="str">
        <f t="shared" si="150"/>
        <v>Rabsca</v>
      </c>
      <c r="G955" s="5" t="str">
        <f t="shared" si="151"/>
        <v>Rabsca</v>
      </c>
      <c r="H955" s="4" t="s">
        <v>5380</v>
      </c>
      <c r="I955" s="5" t="str">
        <f>IFERROR(__xludf.DUMMYFUNCTION("GOOGLETRANSLATE(J955,""zh_HANS"",""zh_HANT"")"),"蟲甲聖")</f>
        <v>蟲甲聖</v>
      </c>
      <c r="J955" s="3" t="s">
        <v>5381</v>
      </c>
    </row>
    <row r="956">
      <c r="A956" s="3" t="str">
        <f t="shared" si="168"/>
        <v>NAME_PkMn_FLITTLE</v>
      </c>
      <c r="B956" s="3" t="s">
        <v>5382</v>
      </c>
      <c r="C956" s="3" t="s">
        <v>5383</v>
      </c>
      <c r="D956" s="3" t="s">
        <v>5384</v>
      </c>
      <c r="E956" s="3" t="s">
        <v>5385</v>
      </c>
      <c r="F956" s="5" t="str">
        <f t="shared" si="150"/>
        <v>Flittle</v>
      </c>
      <c r="G956" s="5" t="str">
        <f t="shared" si="151"/>
        <v>Flittle</v>
      </c>
      <c r="H956" s="4" t="s">
        <v>5386</v>
      </c>
      <c r="I956" s="5" t="str">
        <f>IFERROR(__xludf.DUMMYFUNCTION("GOOGLETRANSLATE(J956,""zh_HANS"",""zh_HANT"")"),"飄飄雛")</f>
        <v>飄飄雛</v>
      </c>
      <c r="J956" s="3" t="s">
        <v>5387</v>
      </c>
    </row>
    <row r="957">
      <c r="A957" s="3" t="str">
        <f t="shared" si="168"/>
        <v>NAME_PkMn_ESPATHRA</v>
      </c>
      <c r="B957" s="3" t="s">
        <v>5388</v>
      </c>
      <c r="C957" s="3" t="s">
        <v>5389</v>
      </c>
      <c r="D957" s="3" t="s">
        <v>5390</v>
      </c>
      <c r="E957" s="3" t="s">
        <v>5391</v>
      </c>
      <c r="F957" s="5" t="str">
        <f t="shared" si="150"/>
        <v>Espathra</v>
      </c>
      <c r="G957" s="5" t="str">
        <f t="shared" si="151"/>
        <v>Espathra</v>
      </c>
      <c r="H957" s="3" t="s">
        <v>5392</v>
      </c>
      <c r="I957" s="5" t="str">
        <f>IFERROR(__xludf.DUMMYFUNCTION("GOOGLETRANSLATE(J957,""zh_HANS"",""zh_HANT"")"),"超能艷鴕")</f>
        <v>超能艷鴕</v>
      </c>
      <c r="J957" s="3" t="s">
        <v>5393</v>
      </c>
    </row>
    <row r="958">
      <c r="A958" s="3" t="str">
        <f t="shared" si="168"/>
        <v>NAME_PkMn_TINKATINK</v>
      </c>
      <c r="B958" s="3" t="s">
        <v>5394</v>
      </c>
      <c r="C958" s="3" t="s">
        <v>5395</v>
      </c>
      <c r="D958" s="3" t="s">
        <v>5396</v>
      </c>
      <c r="E958" s="3" t="s">
        <v>5397</v>
      </c>
      <c r="F958" s="5" t="str">
        <f t="shared" si="150"/>
        <v>Tinkatink</v>
      </c>
      <c r="G958" s="5" t="str">
        <f t="shared" si="151"/>
        <v>Tinkatink</v>
      </c>
      <c r="H958" s="3" t="s">
        <v>5398</v>
      </c>
      <c r="I958" s="5" t="str">
        <f>IFERROR(__xludf.DUMMYFUNCTION("GOOGLETRANSLATE(J958,""zh_HANS"",""zh_HANT"")"),"小鍛匠")</f>
        <v>小鍛匠</v>
      </c>
      <c r="J958" s="3" t="s">
        <v>5399</v>
      </c>
    </row>
    <row r="959">
      <c r="A959" s="3" t="str">
        <f t="shared" si="168"/>
        <v>NAME_PkMn_TINKATUFF</v>
      </c>
      <c r="B959" s="3" t="s">
        <v>5400</v>
      </c>
      <c r="C959" s="3" t="str">
        <f>CONCATENATE("ナ",C958)</f>
        <v>ナカヌチャン</v>
      </c>
      <c r="D959" s="3" t="s">
        <v>5401</v>
      </c>
      <c r="E959" s="5" t="str">
        <f>CONCATENATE("Taf",LOWER(E$958))</f>
        <v>Tafforgita</v>
      </c>
      <c r="F959" s="5" t="str">
        <f t="shared" si="150"/>
        <v>Tinkatuff</v>
      </c>
      <c r="G959" s="5" t="str">
        <f t="shared" si="151"/>
        <v>Tinkatuff</v>
      </c>
      <c r="H959" s="6" t="s">
        <v>5402</v>
      </c>
      <c r="I959" s="5" t="str">
        <f>IFERROR(__xludf.DUMMYFUNCTION("GOOGLETRANSLATE(J959,""zh_HANS"",""zh_HANT"")"),"巧鍛匠")</f>
        <v>巧鍛匠</v>
      </c>
      <c r="J959" s="3" t="s">
        <v>5403</v>
      </c>
    </row>
    <row r="960">
      <c r="A960" s="3" t="str">
        <f t="shared" si="168"/>
        <v>NAME_PkMn_TINKATON</v>
      </c>
      <c r="B960" s="3" t="s">
        <v>5404</v>
      </c>
      <c r="C960" s="3" t="str">
        <f>CONCATENATE("デ",C958)</f>
        <v>デカヌチャン</v>
      </c>
      <c r="D960" s="3" t="s">
        <v>5405</v>
      </c>
      <c r="E960" s="5" t="str">
        <f>CONCATENATE("Gran",LOWER(E$958))</f>
        <v>Granforgita</v>
      </c>
      <c r="F960" s="5" t="str">
        <f t="shared" si="150"/>
        <v>Tinkaton</v>
      </c>
      <c r="G960" s="5" t="str">
        <f t="shared" si="151"/>
        <v>Tinkaton</v>
      </c>
      <c r="H960" s="6" t="s">
        <v>5406</v>
      </c>
      <c r="I960" s="5" t="str">
        <f>IFERROR(__xludf.DUMMYFUNCTION("GOOGLETRANSLATE(J960,""zh_HANS"",""zh_HANT"")"),"大鍛匠")</f>
        <v>大鍛匠</v>
      </c>
      <c r="J960" s="3" t="s">
        <v>5407</v>
      </c>
    </row>
    <row r="961">
      <c r="A961" s="3" t="str">
        <f t="shared" si="168"/>
        <v>NAME_PkMn_WIGLETT</v>
      </c>
      <c r="B961" s="3" t="s">
        <v>5408</v>
      </c>
      <c r="C961" s="3" t="str">
        <f>CONCATENATE("ウミ",C51)</f>
        <v>ウミヂィグダ</v>
      </c>
      <c r="D961" s="3" t="s">
        <v>5409</v>
      </c>
      <c r="E961" s="3" t="s">
        <v>5410</v>
      </c>
      <c r="F961" s="5" t="str">
        <f t="shared" si="150"/>
        <v>Wiglett</v>
      </c>
      <c r="G961" s="5" t="str">
        <f t="shared" si="151"/>
        <v>Wiglett</v>
      </c>
      <c r="H961" s="4" t="s">
        <v>5411</v>
      </c>
      <c r="I961" s="5" t="str">
        <f t="shared" ref="I961:I962" si="179">J961</f>
        <v>海地鼠</v>
      </c>
      <c r="J961" s="3" t="str">
        <f>CONCATENATE("海",J51)</f>
        <v>海地鼠</v>
      </c>
    </row>
    <row r="962">
      <c r="A962" s="3" t="str">
        <f t="shared" si="168"/>
        <v>NAME_PkMn_WUGTRIO</v>
      </c>
      <c r="B962" s="3" t="s">
        <v>5412</v>
      </c>
      <c r="C962" s="3" t="s">
        <v>5413</v>
      </c>
      <c r="D962" s="3" t="s">
        <v>5414</v>
      </c>
      <c r="E962" s="3" t="s">
        <v>5415</v>
      </c>
      <c r="F962" s="5" t="str">
        <f t="shared" si="150"/>
        <v>Wugtrio</v>
      </c>
      <c r="G962" s="5" t="str">
        <f t="shared" si="151"/>
        <v>Wugtrio</v>
      </c>
      <c r="H962" s="4" t="s">
        <v>5416</v>
      </c>
      <c r="I962" s="5" t="str">
        <f t="shared" si="179"/>
        <v>三海地鼠</v>
      </c>
      <c r="J962" s="3" t="str">
        <f>CONCATENATE("三",J961)</f>
        <v>三海地鼠</v>
      </c>
    </row>
    <row r="963">
      <c r="A963" s="3" t="str">
        <f t="shared" si="168"/>
        <v>NAME_PkMn_BOMBIRDIER</v>
      </c>
      <c r="B963" s="3" t="s">
        <v>5417</v>
      </c>
      <c r="C963" s="3" t="s">
        <v>5418</v>
      </c>
      <c r="D963" s="3" t="s">
        <v>5419</v>
      </c>
      <c r="E963" s="3" t="s">
        <v>5420</v>
      </c>
      <c r="F963" s="5" t="str">
        <f t="shared" si="150"/>
        <v>Bombirdier</v>
      </c>
      <c r="G963" s="5" t="str">
        <f t="shared" si="151"/>
        <v>Bombirdier</v>
      </c>
      <c r="H963" s="3" t="s">
        <v>5421</v>
      </c>
      <c r="I963" s="5" t="str">
        <f>IFERROR(__xludf.DUMMYFUNCTION("GOOGLETRANSLATE(J963,""zh_HANS"",""zh_HANT"")"),"下石鳥")</f>
        <v>下石鳥</v>
      </c>
      <c r="J963" s="3" t="s">
        <v>5422</v>
      </c>
    </row>
    <row r="964">
      <c r="A964" s="3" t="str">
        <f t="shared" si="168"/>
        <v>NAME_PkMn_FINIZEN</v>
      </c>
      <c r="B964" s="3" t="s">
        <v>5423</v>
      </c>
      <c r="C964" s="3" t="s">
        <v>5424</v>
      </c>
      <c r="D964" s="3" t="s">
        <v>5425</v>
      </c>
      <c r="E964" s="3" t="s">
        <v>5426</v>
      </c>
      <c r="F964" s="5" t="str">
        <f t="shared" si="150"/>
        <v>Finizen</v>
      </c>
      <c r="G964" s="5" t="str">
        <f t="shared" si="151"/>
        <v>Finizen</v>
      </c>
      <c r="H964" s="6" t="s">
        <v>5427</v>
      </c>
      <c r="I964" s="5" t="str">
        <f>J964</f>
        <v>波普海豚</v>
      </c>
      <c r="J964" s="3" t="s">
        <v>5428</v>
      </c>
    </row>
    <row r="965">
      <c r="A965" s="3" t="str">
        <f t="shared" si="168"/>
        <v>NAME_PkMn_PALAFIN</v>
      </c>
      <c r="B965" s="3" t="s">
        <v>5429</v>
      </c>
      <c r="C965" s="3" t="s">
        <v>5430</v>
      </c>
      <c r="D965" s="3" t="s">
        <v>5431</v>
      </c>
      <c r="E965" s="3" t="s">
        <v>5432</v>
      </c>
      <c r="F965" s="5" t="str">
        <f t="shared" si="150"/>
        <v>Palafin</v>
      </c>
      <c r="G965" s="5" t="str">
        <f t="shared" si="151"/>
        <v>Palafin</v>
      </c>
      <c r="H965" s="6" t="s">
        <v>5433</v>
      </c>
      <c r="I965" s="5" t="str">
        <f>IFERROR(__xludf.DUMMYFUNCTION("GOOGLETRANSLATE(J965,""zh_HANS"",""zh_HANT"")"),"海豚俠")</f>
        <v>海豚俠</v>
      </c>
      <c r="J965" s="3" t="s">
        <v>5434</v>
      </c>
    </row>
    <row r="966">
      <c r="A966" s="3" t="str">
        <f t="shared" si="168"/>
        <v>NAME_PkMn_VAROOM</v>
      </c>
      <c r="B966" s="3" t="s">
        <v>5435</v>
      </c>
      <c r="C966" s="3" t="s">
        <v>5436</v>
      </c>
      <c r="D966" s="3" t="s">
        <v>5437</v>
      </c>
      <c r="E966" s="3" t="s">
        <v>5438</v>
      </c>
      <c r="F966" s="5" t="str">
        <f t="shared" si="150"/>
        <v>Varoom</v>
      </c>
      <c r="G966" s="5" t="str">
        <f t="shared" si="151"/>
        <v>Varoom</v>
      </c>
      <c r="H966" s="3" t="s">
        <v>5439</v>
      </c>
      <c r="I966" s="5" t="str">
        <f t="shared" ref="I966:I972" si="180">J966</f>
        <v>噗隆隆</v>
      </c>
      <c r="J966" s="3" t="s">
        <v>5440</v>
      </c>
    </row>
    <row r="967">
      <c r="A967" s="3" t="str">
        <f t="shared" si="168"/>
        <v>NAME_PkMn_REVAVROOM</v>
      </c>
      <c r="B967" s="3" t="s">
        <v>5441</v>
      </c>
      <c r="C967" s="3" t="s">
        <v>5442</v>
      </c>
      <c r="D967" s="3" t="s">
        <v>5443</v>
      </c>
      <c r="E967" s="3" t="s">
        <v>5444</v>
      </c>
      <c r="F967" s="5" t="str">
        <f t="shared" si="150"/>
        <v>Revavroom</v>
      </c>
      <c r="G967" s="5" t="str">
        <f t="shared" si="151"/>
        <v>Revavroom</v>
      </c>
      <c r="H967" s="3" t="s">
        <v>5445</v>
      </c>
      <c r="I967" s="5" t="str">
        <f t="shared" si="180"/>
        <v>普隆隆姆</v>
      </c>
      <c r="J967" s="3" t="s">
        <v>5446</v>
      </c>
    </row>
    <row r="968">
      <c r="A968" s="3" t="str">
        <f t="shared" si="168"/>
        <v>NAME_PkMn_CYCLIZAR</v>
      </c>
      <c r="B968" s="3" t="s">
        <v>5447</v>
      </c>
      <c r="C968" s="3" t="s">
        <v>5448</v>
      </c>
      <c r="D968" s="3" t="s">
        <v>5449</v>
      </c>
      <c r="E968" s="3" t="s">
        <v>5450</v>
      </c>
      <c r="F968" s="5" t="str">
        <f t="shared" si="150"/>
        <v>Cyclizar</v>
      </c>
      <c r="G968" s="5" t="str">
        <f t="shared" si="151"/>
        <v>Cyclizar</v>
      </c>
      <c r="H968" s="4" t="s">
        <v>5451</v>
      </c>
      <c r="I968" s="5" t="str">
        <f t="shared" si="180"/>
        <v>摩托蜥</v>
      </c>
      <c r="J968" s="3" t="s">
        <v>5452</v>
      </c>
    </row>
    <row r="969">
      <c r="A969" s="3" t="str">
        <f t="shared" si="168"/>
        <v>NAME_PkMn_ORTHWORM</v>
      </c>
      <c r="B969" s="3" t="s">
        <v>5453</v>
      </c>
      <c r="C969" s="3" t="s">
        <v>5454</v>
      </c>
      <c r="D969" s="3" t="s">
        <v>5455</v>
      </c>
      <c r="E969" s="3" t="s">
        <v>5456</v>
      </c>
      <c r="F969" s="5" t="str">
        <f t="shared" si="150"/>
        <v>Orthworm</v>
      </c>
      <c r="G969" s="5" t="str">
        <f t="shared" si="151"/>
        <v>Orthworm</v>
      </c>
      <c r="H969" s="4" t="s">
        <v>5457</v>
      </c>
      <c r="I969" s="5" t="str">
        <f t="shared" si="180"/>
        <v>拖拖蚓</v>
      </c>
      <c r="J969" s="3" t="s">
        <v>5458</v>
      </c>
    </row>
    <row r="970">
      <c r="A970" s="3" t="str">
        <f t="shared" si="168"/>
        <v>NAME_PkMn_GLIMMET</v>
      </c>
      <c r="B970" s="3" t="s">
        <v>5459</v>
      </c>
      <c r="C970" s="3" t="s">
        <v>5460</v>
      </c>
      <c r="D970" s="3" t="s">
        <v>5461</v>
      </c>
      <c r="E970" s="3" t="s">
        <v>5462</v>
      </c>
      <c r="F970" s="5" t="str">
        <f t="shared" si="150"/>
        <v>Glimmet</v>
      </c>
      <c r="G970" s="5" t="str">
        <f t="shared" si="151"/>
        <v>Glimmet</v>
      </c>
      <c r="H970" s="4" t="s">
        <v>5463</v>
      </c>
      <c r="I970" s="5" t="str">
        <f t="shared" si="180"/>
        <v>晶光芽</v>
      </c>
      <c r="J970" s="3" t="s">
        <v>5464</v>
      </c>
    </row>
    <row r="971">
      <c r="A971" s="3" t="str">
        <f t="shared" si="168"/>
        <v>NAME_PkMn_GLIMMORA</v>
      </c>
      <c r="B971" s="3" t="s">
        <v>5465</v>
      </c>
      <c r="C971" s="3" t="s">
        <v>5466</v>
      </c>
      <c r="D971" s="3" t="s">
        <v>5467</v>
      </c>
      <c r="E971" s="3" t="s">
        <v>5468</v>
      </c>
      <c r="F971" s="5" t="str">
        <f t="shared" si="150"/>
        <v>Glimmora</v>
      </c>
      <c r="G971" s="5" t="str">
        <f t="shared" si="151"/>
        <v>Glimmora</v>
      </c>
      <c r="H971" s="4" t="s">
        <v>5469</v>
      </c>
      <c r="I971" s="5" t="str">
        <f t="shared" si="180"/>
        <v>晶光花</v>
      </c>
      <c r="J971" s="3" t="s">
        <v>5470</v>
      </c>
    </row>
    <row r="972">
      <c r="A972" s="3" t="str">
        <f t="shared" si="168"/>
        <v>NAME_PkMn_GREAVARD</v>
      </c>
      <c r="B972" s="3" t="s">
        <v>5471</v>
      </c>
      <c r="C972" s="3" t="s">
        <v>5472</v>
      </c>
      <c r="D972" s="3" t="s">
        <v>5473</v>
      </c>
      <c r="E972" s="3" t="s">
        <v>5474</v>
      </c>
      <c r="F972" s="5" t="str">
        <f t="shared" si="150"/>
        <v>Greavard</v>
      </c>
      <c r="G972" s="5" t="str">
        <f t="shared" si="151"/>
        <v>Greavard</v>
      </c>
      <c r="H972" s="4" t="s">
        <v>5475</v>
      </c>
      <c r="I972" s="5" t="str">
        <f t="shared" si="180"/>
        <v>墓仔狗</v>
      </c>
      <c r="J972" s="3" t="s">
        <v>5476</v>
      </c>
    </row>
    <row r="973">
      <c r="A973" s="3" t="str">
        <f t="shared" si="168"/>
        <v>NAME_PkMn_HOUNDSTONE</v>
      </c>
      <c r="B973" s="3" t="s">
        <v>5477</v>
      </c>
      <c r="C973" s="3" t="s">
        <v>5478</v>
      </c>
      <c r="D973" s="3" t="s">
        <v>5479</v>
      </c>
      <c r="E973" s="3" t="s">
        <v>5480</v>
      </c>
      <c r="F973" s="5" t="str">
        <f t="shared" si="150"/>
        <v>Houndstone</v>
      </c>
      <c r="G973" s="5" t="str">
        <f t="shared" si="151"/>
        <v>Houndstone</v>
      </c>
      <c r="H973" s="4" t="s">
        <v>5481</v>
      </c>
      <c r="I973" s="5" t="str">
        <f>IFERROR(__xludf.DUMMYFUNCTION("GOOGLETRANSLATE(J973,""zh_HANS"",""zh_HANT"")"),"墓揚犬")</f>
        <v>墓揚犬</v>
      </c>
      <c r="J973" s="3" t="s">
        <v>5482</v>
      </c>
    </row>
    <row r="974">
      <c r="A974" s="3" t="str">
        <f t="shared" si="168"/>
        <v>NAME_PkMn_FLAMIGO</v>
      </c>
      <c r="B974" s="3" t="s">
        <v>5483</v>
      </c>
      <c r="C974" s="3" t="s">
        <v>5484</v>
      </c>
      <c r="D974" s="3" t="s">
        <v>5485</v>
      </c>
      <c r="E974" s="3" t="s">
        <v>5486</v>
      </c>
      <c r="F974" s="5" t="str">
        <f t="shared" si="150"/>
        <v>Flamigo</v>
      </c>
      <c r="G974" s="5" t="str">
        <f t="shared" si="151"/>
        <v>Flamigo</v>
      </c>
      <c r="H974" s="3" t="s">
        <v>5487</v>
      </c>
      <c r="I974" s="5" t="str">
        <f>IFERROR(__xludf.DUMMYFUNCTION("GOOGLETRANSLATE(J974,""zh_HANS"",""zh_HANT"")"),"纏紅鶴")</f>
        <v>纏紅鶴</v>
      </c>
      <c r="J974" s="3" t="s">
        <v>5488</v>
      </c>
    </row>
    <row r="975">
      <c r="A975" s="3" t="str">
        <f t="shared" si="168"/>
        <v>NAME_PkMn_CETODDLE</v>
      </c>
      <c r="B975" s="3" t="s">
        <v>5489</v>
      </c>
      <c r="C975" s="3" t="s">
        <v>5490</v>
      </c>
      <c r="D975" s="3" t="s">
        <v>5491</v>
      </c>
      <c r="E975" s="3" t="s">
        <v>5492</v>
      </c>
      <c r="F975" s="5" t="str">
        <f t="shared" si="150"/>
        <v>Cetoddle</v>
      </c>
      <c r="G975" s="5" t="str">
        <f t="shared" si="151"/>
        <v>Cetoddle</v>
      </c>
      <c r="H975" s="3" t="s">
        <v>5493</v>
      </c>
      <c r="I975" s="5" t="str">
        <f>IFERROR(__xludf.DUMMYFUNCTION("GOOGLETRANSLATE(J975,""zh_HANS"",""zh_HANT"")"),"走鯨")</f>
        <v>走鯨</v>
      </c>
      <c r="J975" s="3" t="s">
        <v>5494</v>
      </c>
    </row>
    <row r="976">
      <c r="A976" s="3" t="str">
        <f t="shared" si="168"/>
        <v>NAME_PkMn_CETITAN</v>
      </c>
      <c r="B976" s="3" t="s">
        <v>5495</v>
      </c>
      <c r="C976" s="3" t="s">
        <v>5496</v>
      </c>
      <c r="D976" s="3" t="s">
        <v>5497</v>
      </c>
      <c r="E976" s="3" t="s">
        <v>5498</v>
      </c>
      <c r="F976" s="5" t="str">
        <f t="shared" si="150"/>
        <v>Cetitan</v>
      </c>
      <c r="G976" s="5" t="str">
        <f t="shared" si="151"/>
        <v>Cetitan</v>
      </c>
      <c r="H976" s="4" t="s">
        <v>5499</v>
      </c>
      <c r="I976" s="5" t="str">
        <f>IFERROR(__xludf.DUMMYFUNCTION("GOOGLETRANSLATE(J976,""zh_HANS"",""zh_HANT"")"),"浩大鯨")</f>
        <v>浩大鯨</v>
      </c>
      <c r="J976" s="3" t="s">
        <v>5500</v>
      </c>
    </row>
    <row r="977">
      <c r="A977" s="3" t="str">
        <f t="shared" si="168"/>
        <v>NAME_PkMn_VELUZA</v>
      </c>
      <c r="B977" s="3" t="s">
        <v>5501</v>
      </c>
      <c r="C977" s="3" t="s">
        <v>5502</v>
      </c>
      <c r="D977" s="3" t="s">
        <v>5503</v>
      </c>
      <c r="E977" s="3" t="s">
        <v>5504</v>
      </c>
      <c r="F977" s="5" t="str">
        <f t="shared" si="150"/>
        <v>Veluza</v>
      </c>
      <c r="G977" s="5" t="str">
        <f t="shared" si="151"/>
        <v>Veluza</v>
      </c>
      <c r="H977" s="6" t="s">
        <v>5505</v>
      </c>
      <c r="I977" s="5" t="str">
        <f>IFERROR(__xludf.DUMMYFUNCTION("GOOGLETRANSLATE(J977,""zh_HANS"",""zh_HANT"")"),"輕身鱈")</f>
        <v>輕身鱈</v>
      </c>
      <c r="J977" s="3" t="s">
        <v>5506</v>
      </c>
    </row>
    <row r="978">
      <c r="A978" s="3" t="str">
        <f t="shared" si="168"/>
        <v>NAME_PkMn_DONDOZO</v>
      </c>
      <c r="B978" s="3" t="s">
        <v>5507</v>
      </c>
      <c r="C978" s="3" t="s">
        <v>5508</v>
      </c>
      <c r="D978" s="3" t="s">
        <v>5509</v>
      </c>
      <c r="E978" s="3" t="s">
        <v>5510</v>
      </c>
      <c r="F978" s="5" t="str">
        <f t="shared" si="150"/>
        <v>Dondozo</v>
      </c>
      <c r="G978" s="5" t="str">
        <f t="shared" si="151"/>
        <v>Dondozo</v>
      </c>
      <c r="H978" s="6" t="s">
        <v>5511</v>
      </c>
      <c r="I978" s="5" t="str">
        <f>J978</f>
        <v>吃吼霸</v>
      </c>
      <c r="J978" s="3" t="s">
        <v>5512</v>
      </c>
    </row>
    <row r="979">
      <c r="A979" s="3" t="str">
        <f t="shared" si="168"/>
        <v>NAME_PkMn_TATSUGIRI</v>
      </c>
      <c r="B979" s="3" t="s">
        <v>5513</v>
      </c>
      <c r="C979" s="3" t="s">
        <v>5514</v>
      </c>
      <c r="D979" s="3" t="s">
        <v>5515</v>
      </c>
      <c r="E979" s="3" t="s">
        <v>5516</v>
      </c>
      <c r="F979" s="5" t="str">
        <f t="shared" si="150"/>
        <v>Tatsugiri</v>
      </c>
      <c r="G979" s="5" t="str">
        <f t="shared" si="151"/>
        <v>Tatsugiri</v>
      </c>
      <c r="H979" s="4" t="s">
        <v>5517</v>
      </c>
      <c r="I979" s="5" t="str">
        <f>IFERROR(__xludf.DUMMYFUNCTION("GOOGLETRANSLATE(J979,""zh_HANS"",""zh_HANT"")"),"米立龍")</f>
        <v>米立龍</v>
      </c>
      <c r="J979" s="3" t="s">
        <v>5518</v>
      </c>
    </row>
    <row r="980">
      <c r="A980" s="3" t="str">
        <f t="shared" si="168"/>
        <v>NAME_PkMn_ANNIHILAPE</v>
      </c>
      <c r="B980" s="3" t="s">
        <v>5519</v>
      </c>
      <c r="C980" s="3" t="s">
        <v>5520</v>
      </c>
      <c r="D980" s="3" t="s">
        <v>5521</v>
      </c>
      <c r="E980" s="3" t="s">
        <v>5522</v>
      </c>
      <c r="F980" s="5" t="str">
        <f t="shared" si="150"/>
        <v>Annihilape</v>
      </c>
      <c r="G980" s="5" t="str">
        <f t="shared" si="151"/>
        <v>Annihilape</v>
      </c>
      <c r="H980" s="6" t="s">
        <v>5523</v>
      </c>
      <c r="I980" s="5" t="str">
        <f>IFERROR(__xludf.DUMMYFUNCTION("GOOGLETRANSLATE(J980,""zh_HANS"",""zh_HANT"")"),"棄世猴")</f>
        <v>棄世猴</v>
      </c>
      <c r="J980" s="3" t="s">
        <v>5524</v>
      </c>
    </row>
    <row r="981">
      <c r="A981" s="3" t="str">
        <f t="shared" si="168"/>
        <v>NAME_PkMn_CLODSIRE</v>
      </c>
      <c r="B981" s="3" t="s">
        <v>5525</v>
      </c>
      <c r="C981" s="3" t="s">
        <v>5526</v>
      </c>
      <c r="D981" s="3" t="s">
        <v>5527</v>
      </c>
      <c r="E981" s="3" t="s">
        <v>5528</v>
      </c>
      <c r="F981" s="5" t="str">
        <f t="shared" si="150"/>
        <v>Clodsire</v>
      </c>
      <c r="G981" s="5" t="str">
        <f t="shared" si="151"/>
        <v>Clodsire</v>
      </c>
      <c r="H981" s="6" t="s">
        <v>5529</v>
      </c>
      <c r="I981" s="5" t="str">
        <f>J981</f>
        <v>土王</v>
      </c>
      <c r="J981" s="3" t="s">
        <v>5530</v>
      </c>
    </row>
    <row r="982">
      <c r="A982" s="3" t="str">
        <f t="shared" si="168"/>
        <v>NAME_PkMn_FARIGIRAF</v>
      </c>
      <c r="B982" s="3" t="s">
        <v>5531</v>
      </c>
      <c r="C982" s="3" t="s">
        <v>5532</v>
      </c>
      <c r="D982" s="5" t="str">
        <f>B982</f>
        <v>Farigiraf</v>
      </c>
      <c r="E982" s="5" t="str">
        <f>B982</f>
        <v>Farigiraf</v>
      </c>
      <c r="F982" s="5" t="str">
        <f t="shared" si="150"/>
        <v>Farigiraf</v>
      </c>
      <c r="G982" s="5" t="str">
        <f t="shared" si="151"/>
        <v>Farigiraf</v>
      </c>
      <c r="H982" s="4" t="s">
        <v>5533</v>
      </c>
      <c r="I982" s="5" t="str">
        <f>IFERROR(__xludf.DUMMYFUNCTION("GOOGLETRANSLATE(J982,""zh_HANS"",""zh_HANT"")"),"奇麒麟")</f>
        <v>奇麒麟</v>
      </c>
      <c r="J982" s="3" t="s">
        <v>5534</v>
      </c>
    </row>
    <row r="983">
      <c r="A983" s="3" t="str">
        <f t="shared" si="168"/>
        <v>NAME_PkMn_DUDUNSPARCE</v>
      </c>
      <c r="B983" s="3" t="s">
        <v>5535</v>
      </c>
      <c r="C983" s="3" t="s">
        <v>5536</v>
      </c>
      <c r="D983" s="3" t="s">
        <v>5537</v>
      </c>
      <c r="E983" s="3" t="s">
        <v>5538</v>
      </c>
      <c r="F983" s="5" t="str">
        <f t="shared" si="150"/>
        <v>Dudunsparce</v>
      </c>
      <c r="G983" s="5" t="str">
        <f t="shared" si="151"/>
        <v>Dudunsparce</v>
      </c>
      <c r="H983" s="3" t="s">
        <v>5539</v>
      </c>
      <c r="I983" s="5" t="str">
        <f>IFERROR(__xludf.DUMMYFUNCTION("GOOGLETRANSLATE(J983,""zh_HANS"",""zh_HANT"")"),"土龍節節")</f>
        <v>土龍節節</v>
      </c>
      <c r="J983" s="3" t="s">
        <v>5540</v>
      </c>
    </row>
    <row r="984">
      <c r="A984" s="3" t="str">
        <f t="shared" si="168"/>
        <v>NAME_PkMn_KINGAMBIT</v>
      </c>
      <c r="B984" s="3" t="s">
        <v>5541</v>
      </c>
      <c r="C984" s="3" t="s">
        <v>5542</v>
      </c>
      <c r="D984" s="3" t="s">
        <v>5521</v>
      </c>
      <c r="E984" s="3" t="s">
        <v>5543</v>
      </c>
      <c r="F984" s="5" t="str">
        <f t="shared" si="150"/>
        <v>Kingambit</v>
      </c>
      <c r="G984" s="5" t="str">
        <f t="shared" si="151"/>
        <v>Kingambit</v>
      </c>
      <c r="H984" s="6" t="s">
        <v>5544</v>
      </c>
      <c r="I984" s="5" t="str">
        <f>IFERROR(__xludf.DUMMYFUNCTION("GOOGLETRANSLATE(J984,""zh_HANS"",""zh_HANT"")"),"僕刀將軍")</f>
        <v>僕刀將軍</v>
      </c>
      <c r="J984" s="3" t="s">
        <v>5545</v>
      </c>
    </row>
    <row r="985">
      <c r="A985" s="3" t="str">
        <f t="shared" ref="A985:A996" si="181">CONCATENATE("NAME_PkMn_", SUBSTITUTE(UPPER(B985)," ",""))</f>
        <v>NAME_PkMn_GREATTUSK</v>
      </c>
      <c r="B985" s="3" t="s">
        <v>5546</v>
      </c>
      <c r="C985" s="3" t="s">
        <v>5547</v>
      </c>
      <c r="D985" s="3" t="s">
        <v>5548</v>
      </c>
      <c r="E985" s="3" t="s">
        <v>5549</v>
      </c>
      <c r="F985" s="3" t="s">
        <v>5550</v>
      </c>
      <c r="G985" s="3" t="s">
        <v>5551</v>
      </c>
      <c r="H985" s="4" t="s">
        <v>5552</v>
      </c>
      <c r="I985" s="5" t="str">
        <f>IFERROR(__xludf.DUMMYFUNCTION("GOOGLETRANSLATE(J985,""zh_HANS"",""zh_HANT"")"),"雄偉牙")</f>
        <v>雄偉牙</v>
      </c>
      <c r="J985" s="3" t="s">
        <v>5553</v>
      </c>
    </row>
    <row r="986">
      <c r="A986" s="3" t="str">
        <f t="shared" si="181"/>
        <v>NAME_PkMn_SCREAMTAIL</v>
      </c>
      <c r="B986" s="3" t="s">
        <v>5554</v>
      </c>
      <c r="C986" s="3" t="s">
        <v>5555</v>
      </c>
      <c r="D986" s="3" t="s">
        <v>5556</v>
      </c>
      <c r="E986" s="3" t="s">
        <v>5557</v>
      </c>
      <c r="F986" s="3" t="s">
        <v>5558</v>
      </c>
      <c r="G986" s="3" t="s">
        <v>5559</v>
      </c>
      <c r="H986" s="6" t="s">
        <v>5560</v>
      </c>
      <c r="I986" s="5" t="str">
        <f>J986</f>
        <v>吼叫尾</v>
      </c>
      <c r="J986" s="3" t="s">
        <v>5561</v>
      </c>
    </row>
    <row r="987">
      <c r="A987" s="3" t="str">
        <f t="shared" si="181"/>
        <v>NAME_PkMn_BRUTEBONNET</v>
      </c>
      <c r="B987" s="3" t="s">
        <v>5562</v>
      </c>
      <c r="C987" s="3" t="s">
        <v>5563</v>
      </c>
      <c r="D987" s="3" t="s">
        <v>5564</v>
      </c>
      <c r="E987" s="3" t="s">
        <v>5565</v>
      </c>
      <c r="F987" s="3" t="s">
        <v>5566</v>
      </c>
      <c r="G987" s="3" t="s">
        <v>5567</v>
      </c>
      <c r="H987" s="4" t="s">
        <v>5568</v>
      </c>
      <c r="I987" s="5" t="str">
        <f>IFERROR(__xludf.DUMMYFUNCTION("GOOGLETRANSLATE(J987,""zh_HANS"",""zh_HANT"")"),"猛惡菇")</f>
        <v>猛惡菇</v>
      </c>
      <c r="J987" s="3" t="s">
        <v>5569</v>
      </c>
    </row>
    <row r="988">
      <c r="A988" s="3" t="str">
        <f t="shared" si="181"/>
        <v>NAME_PkMn_FLUTTERMANE</v>
      </c>
      <c r="B988" s="3" t="s">
        <v>5570</v>
      </c>
      <c r="C988" s="3" t="s">
        <v>5571</v>
      </c>
      <c r="D988" s="3" t="s">
        <v>5572</v>
      </c>
      <c r="E988" s="3" t="s">
        <v>5573</v>
      </c>
      <c r="F988" s="3" t="s">
        <v>5574</v>
      </c>
      <c r="G988" s="3" t="s">
        <v>5575</v>
      </c>
      <c r="H988" s="3" t="s">
        <v>5576</v>
      </c>
      <c r="I988" s="5" t="str">
        <f>IFERROR(__xludf.DUMMYFUNCTION("GOOGLETRANSLATE(J988,""zh_HANS"",""zh_HANT"")"),"振翼發")</f>
        <v>振翼發</v>
      </c>
      <c r="J988" s="3" t="s">
        <v>5577</v>
      </c>
    </row>
    <row r="989">
      <c r="A989" s="3" t="str">
        <f t="shared" si="181"/>
        <v>NAME_PkMn_SLITHERWING</v>
      </c>
      <c r="B989" s="3" t="s">
        <v>5578</v>
      </c>
      <c r="C989" s="3" t="s">
        <v>5579</v>
      </c>
      <c r="D989" s="3" t="s">
        <v>5580</v>
      </c>
      <c r="E989" s="3" t="s">
        <v>5581</v>
      </c>
      <c r="F989" s="3" t="s">
        <v>5582</v>
      </c>
      <c r="G989" s="3" t="s">
        <v>5583</v>
      </c>
      <c r="H989" s="4" t="s">
        <v>5584</v>
      </c>
      <c r="I989" s="5" t="str">
        <f>J989</f>
        <v>爬地翅</v>
      </c>
      <c r="J989" s="3" t="s">
        <v>5585</v>
      </c>
    </row>
    <row r="990">
      <c r="A990" s="3" t="str">
        <f t="shared" si="181"/>
        <v>NAME_PkMn_SANDYSHOCKS</v>
      </c>
      <c r="B990" s="3" t="s">
        <v>5586</v>
      </c>
      <c r="C990" s="3" t="s">
        <v>5587</v>
      </c>
      <c r="D990" s="3" t="s">
        <v>5588</v>
      </c>
      <c r="E990" s="3" t="s">
        <v>5589</v>
      </c>
      <c r="F990" s="5" t="str">
        <f>B990</f>
        <v>Sandy Shocks</v>
      </c>
      <c r="G990" s="3" t="s">
        <v>5590</v>
      </c>
      <c r="H990" s="4" t="s">
        <v>5591</v>
      </c>
      <c r="I990" s="5" t="str">
        <f>IFERROR(__xludf.DUMMYFUNCTION("GOOGLETRANSLATE(J990,""zh_HANS"",""zh_HANT"")"),"沙鐵皮")</f>
        <v>沙鐵皮</v>
      </c>
      <c r="J990" s="3" t="s">
        <v>5592</v>
      </c>
    </row>
    <row r="991">
      <c r="A991" s="3" t="str">
        <f t="shared" si="181"/>
        <v>NAME_PkMn_IRONTREADS</v>
      </c>
      <c r="B991" s="3" t="s">
        <v>5593</v>
      </c>
      <c r="C991" s="3" t="s">
        <v>5594</v>
      </c>
      <c r="D991" s="3" t="s">
        <v>5595</v>
      </c>
      <c r="E991" s="3" t="s">
        <v>5596</v>
      </c>
      <c r="F991" s="3" t="s">
        <v>5597</v>
      </c>
      <c r="G991" s="3" t="s">
        <v>5598</v>
      </c>
      <c r="H991" s="4" t="s">
        <v>5599</v>
      </c>
      <c r="I991" s="5" t="str">
        <f>IFERROR(__xludf.DUMMYFUNCTION("GOOGLETRANSLATE(J991,""zh_HANS"",""zh_HANT"")"),"鐵轍跡")</f>
        <v>鐵轍跡</v>
      </c>
      <c r="J991" s="3" t="s">
        <v>5600</v>
      </c>
    </row>
    <row r="992">
      <c r="A992" s="3" t="str">
        <f t="shared" si="181"/>
        <v>NAME_PkMn_IRONBUNDLE</v>
      </c>
      <c r="B992" s="3" t="s">
        <v>5601</v>
      </c>
      <c r="C992" s="3" t="s">
        <v>5602</v>
      </c>
      <c r="D992" s="3" t="s">
        <v>5603</v>
      </c>
      <c r="E992" s="3" t="s">
        <v>5604</v>
      </c>
      <c r="F992" s="3" t="s">
        <v>5605</v>
      </c>
      <c r="G992" s="3" t="s">
        <v>5606</v>
      </c>
      <c r="H992" s="4" t="s">
        <v>5607</v>
      </c>
      <c r="I992" s="5" t="str">
        <f>IFERROR(__xludf.DUMMYFUNCTION("GOOGLETRANSLATE(J992,""zh_HANS"",""zh_HANT"")"),"鐵包袱")</f>
        <v>鐵包袱</v>
      </c>
      <c r="J992" s="3" t="s">
        <v>5608</v>
      </c>
    </row>
    <row r="993">
      <c r="A993" s="3" t="str">
        <f t="shared" si="181"/>
        <v>NAME_PkMn_IRONHANDS</v>
      </c>
      <c r="B993" s="3" t="s">
        <v>5609</v>
      </c>
      <c r="C993" s="3" t="s">
        <v>5610</v>
      </c>
      <c r="D993" s="3" t="s">
        <v>5611</v>
      </c>
      <c r="E993" s="3" t="s">
        <v>5612</v>
      </c>
      <c r="F993" s="3" t="s">
        <v>5613</v>
      </c>
      <c r="G993" s="3" t="s">
        <v>5614</v>
      </c>
      <c r="H993" s="4" t="s">
        <v>5615</v>
      </c>
      <c r="I993" s="5" t="str">
        <f>IFERROR(__xludf.DUMMYFUNCTION("GOOGLETRANSLATE(J993,""zh_HANS"",""zh_HANT"")"),"鐵臂膀")</f>
        <v>鐵臂膀</v>
      </c>
      <c r="J993" s="3" t="s">
        <v>5616</v>
      </c>
    </row>
    <row r="994">
      <c r="A994" s="3" t="str">
        <f t="shared" si="181"/>
        <v>NAME_PkMn_IRONJUGULIS</v>
      </c>
      <c r="B994" s="3" t="s">
        <v>5617</v>
      </c>
      <c r="C994" s="3" t="s">
        <v>5618</v>
      </c>
      <c r="D994" s="3" t="s">
        <v>5619</v>
      </c>
      <c r="E994" s="3" t="s">
        <v>5620</v>
      </c>
      <c r="F994" s="3" t="s">
        <v>5621</v>
      </c>
      <c r="G994" s="3" t="s">
        <v>5622</v>
      </c>
      <c r="H994" s="3" t="s">
        <v>5623</v>
      </c>
      <c r="I994" s="5" t="str">
        <f>IFERROR(__xludf.DUMMYFUNCTION("GOOGLETRANSLATE(J994,""zh_HANS"",""zh_HANT"")"),"鐵脖頸")</f>
        <v>鐵脖頸</v>
      </c>
      <c r="J994" s="3" t="s">
        <v>5624</v>
      </c>
    </row>
    <row r="995">
      <c r="A995" s="3" t="str">
        <f t="shared" si="181"/>
        <v>NAME_PkMn_IRONMOTH</v>
      </c>
      <c r="B995" s="3" t="s">
        <v>5625</v>
      </c>
      <c r="C995" s="3" t="s">
        <v>5626</v>
      </c>
      <c r="D995" s="3" t="s">
        <v>5627</v>
      </c>
      <c r="E995" s="3" t="s">
        <v>5628</v>
      </c>
      <c r="F995" s="3" t="s">
        <v>5629</v>
      </c>
      <c r="G995" s="3" t="s">
        <v>5630</v>
      </c>
      <c r="H995" s="3" t="s">
        <v>5631</v>
      </c>
      <c r="I995" s="5" t="str">
        <f>IFERROR(__xludf.DUMMYFUNCTION("GOOGLETRANSLATE(J995,""zh_HANS"",""zh_HANT"")"),"鐵毒蛾")</f>
        <v>鐵毒蛾</v>
      </c>
      <c r="J995" s="3" t="s">
        <v>5632</v>
      </c>
    </row>
    <row r="996">
      <c r="A996" s="3" t="str">
        <f t="shared" si="181"/>
        <v>NAME_PkMn_IRONTHORNS</v>
      </c>
      <c r="B996" s="3" t="s">
        <v>5633</v>
      </c>
      <c r="C996" s="3" t="s">
        <v>5634</v>
      </c>
      <c r="D996" s="3" t="s">
        <v>5635</v>
      </c>
      <c r="E996" s="3" t="s">
        <v>5636</v>
      </c>
      <c r="F996" s="3" t="s">
        <v>5637</v>
      </c>
      <c r="G996" s="3" t="s">
        <v>5638</v>
      </c>
      <c r="H996" s="4" t="s">
        <v>5639</v>
      </c>
      <c r="I996" s="5" t="str">
        <f>IFERROR(__xludf.DUMMYFUNCTION("GOOGLETRANSLATE(J996,""zh_HANS"",""zh_HANT"")"),"鐵荊棘")</f>
        <v>鐵荊棘</v>
      </c>
      <c r="J996" s="3" t="s">
        <v>5640</v>
      </c>
    </row>
    <row r="997">
      <c r="A997" s="3" t="str">
        <f t="shared" ref="A997:A1001" si="182">CONCATENATE("NAME_PkMn_", UPPER(B997))</f>
        <v>NAME_PkMn_FRIGIBAX</v>
      </c>
      <c r="B997" s="3" t="s">
        <v>5641</v>
      </c>
      <c r="C997" s="3" t="s">
        <v>5642</v>
      </c>
      <c r="D997" s="3" t="s">
        <v>5643</v>
      </c>
      <c r="E997" s="3" t="s">
        <v>5644</v>
      </c>
      <c r="F997" s="5" t="str">
        <f t="shared" ref="F997:F1005" si="183">B997</f>
        <v>Frigibax</v>
      </c>
      <c r="G997" s="5" t="str">
        <f t="shared" ref="G997:G1005" si="184">B997</f>
        <v>Frigibax</v>
      </c>
      <c r="H997" s="4" t="s">
        <v>5645</v>
      </c>
      <c r="I997" s="5" t="str">
        <f>IFERROR(__xludf.DUMMYFUNCTION("GOOGLETRANSLATE(J997,""zh_HANS"",""zh_HANT"")"),"涼脊龍")</f>
        <v>涼脊龍</v>
      </c>
      <c r="J997" s="3" t="s">
        <v>5646</v>
      </c>
    </row>
    <row r="998">
      <c r="A998" s="3" t="str">
        <f t="shared" si="182"/>
        <v>NAME_PkMn_ARCTIBAX</v>
      </c>
      <c r="B998" s="3" t="s">
        <v>5647</v>
      </c>
      <c r="C998" s="3" t="s">
        <v>5648</v>
      </c>
      <c r="D998" s="3" t="s">
        <v>5649</v>
      </c>
      <c r="E998" s="3" t="s">
        <v>5650</v>
      </c>
      <c r="F998" s="5" t="str">
        <f t="shared" si="183"/>
        <v>Arctibax</v>
      </c>
      <c r="G998" s="5" t="str">
        <f t="shared" si="184"/>
        <v>Arctibax</v>
      </c>
      <c r="H998" s="3" t="s">
        <v>5651</v>
      </c>
      <c r="I998" s="5" t="str">
        <f>IFERROR(__xludf.DUMMYFUNCTION("GOOGLETRANSLATE(J998,""zh_HANS"",""zh_HANT"")"),"凍脊龍")</f>
        <v>凍脊龍</v>
      </c>
      <c r="J998" s="3" t="s">
        <v>5652</v>
      </c>
    </row>
    <row r="999">
      <c r="A999" s="3" t="str">
        <f t="shared" si="182"/>
        <v>NAME_PkMn_BAXCALIBUR</v>
      </c>
      <c r="B999" s="3" t="s">
        <v>5653</v>
      </c>
      <c r="C999" s="3" t="s">
        <v>5654</v>
      </c>
      <c r="D999" s="3" t="s">
        <v>5655</v>
      </c>
      <c r="E999" s="3" t="s">
        <v>5656</v>
      </c>
      <c r="F999" s="5" t="str">
        <f t="shared" si="183"/>
        <v>Baxcalibur</v>
      </c>
      <c r="G999" s="5" t="str">
        <f t="shared" si="184"/>
        <v>Baxcalibur</v>
      </c>
      <c r="H999" s="4" t="s">
        <v>5657</v>
      </c>
      <c r="I999" s="5" t="str">
        <f>IFERROR(__xludf.DUMMYFUNCTION("GOOGLETRANSLATE(J999,""zh_HANS"",""zh_HANT"")"),"戟脊龍")</f>
        <v>戟脊龍</v>
      </c>
      <c r="J999" s="3" t="s">
        <v>5658</v>
      </c>
    </row>
    <row r="1000">
      <c r="A1000" s="3" t="str">
        <f t="shared" si="182"/>
        <v>NAME_PkMn_GIMMIGHOUL</v>
      </c>
      <c r="B1000" s="3" t="s">
        <v>5659</v>
      </c>
      <c r="C1000" s="3" t="s">
        <v>5660</v>
      </c>
      <c r="D1000" s="3" t="s">
        <v>5661</v>
      </c>
      <c r="E1000" s="3" t="s">
        <v>5662</v>
      </c>
      <c r="F1000" s="5" t="str">
        <f t="shared" si="183"/>
        <v>Gimmighoul</v>
      </c>
      <c r="G1000" s="5" t="str">
        <f t="shared" si="184"/>
        <v>Gimmighoul</v>
      </c>
      <c r="H1000" s="4" t="s">
        <v>5663</v>
      </c>
      <c r="I1000" s="5" t="str">
        <f>IFERROR(__xludf.DUMMYFUNCTION("GOOGLETRANSLATE(J1000,""zh_HANS"",""zh_HANT"")"),"索財靈")</f>
        <v>索財靈</v>
      </c>
      <c r="J1000" s="3" t="s">
        <v>5664</v>
      </c>
    </row>
    <row r="1001">
      <c r="A1001" s="3" t="str">
        <f t="shared" si="182"/>
        <v>NAME_PkMn_GHOLDENGO</v>
      </c>
      <c r="B1001" s="3" t="s">
        <v>5665</v>
      </c>
      <c r="C1001" s="3" t="s">
        <v>5666</v>
      </c>
      <c r="D1001" s="3" t="s">
        <v>5667</v>
      </c>
      <c r="E1001" s="3" t="s">
        <v>5668</v>
      </c>
      <c r="F1001" s="5" t="str">
        <f t="shared" si="183"/>
        <v>Gholdengo</v>
      </c>
      <c r="G1001" s="5" t="str">
        <f t="shared" si="184"/>
        <v>Gholdengo</v>
      </c>
      <c r="H1001" s="4" t="s">
        <v>5669</v>
      </c>
      <c r="I1001" s="5" t="str">
        <f>J1001</f>
        <v>褰富豪</v>
      </c>
      <c r="J1001" s="3" t="s">
        <v>5670</v>
      </c>
    </row>
    <row r="1002">
      <c r="A1002" s="3" t="str">
        <f t="shared" ref="A1002:A1005" si="185">CONCATENATE("NAME_PkMn_", SUBSTITUTE(SUBSTITUTE(UPPER(B1002), " ", ""), "-", ""))</f>
        <v>NAME_PkMn_WOCHIEN</v>
      </c>
      <c r="B1002" s="3" t="s">
        <v>5671</v>
      </c>
      <c r="C1002" s="3" t="s">
        <v>5672</v>
      </c>
      <c r="D1002" s="3" t="s">
        <v>5673</v>
      </c>
      <c r="E1002" s="3" t="str">
        <f t="shared" ref="E1002:E1005" si="186">D1002</f>
        <v>Chongjian</v>
      </c>
      <c r="F1002" s="5" t="str">
        <f t="shared" si="183"/>
        <v>Wo-Chien</v>
      </c>
      <c r="G1002" s="5" t="str">
        <f t="shared" si="184"/>
        <v>Wo-Chien</v>
      </c>
      <c r="H1002" s="4" t="s">
        <v>5674</v>
      </c>
      <c r="I1002" s="5" t="str">
        <f>IFERROR(__xludf.DUMMYFUNCTION("GOOGLETRANSLATE(J1002,""zh_HANS"",""zh_HANT"")"),"古簡蝸")</f>
        <v>古簡蝸</v>
      </c>
      <c r="J1002" s="3" t="s">
        <v>5675</v>
      </c>
    </row>
    <row r="1003">
      <c r="A1003" s="3" t="str">
        <f t="shared" si="185"/>
        <v>NAME_PkMn_CHIENPAO</v>
      </c>
      <c r="B1003" s="3" t="s">
        <v>5676</v>
      </c>
      <c r="C1003" s="3" t="s">
        <v>5677</v>
      </c>
      <c r="D1003" s="3" t="s">
        <v>5678</v>
      </c>
      <c r="E1003" s="3" t="str">
        <f t="shared" si="186"/>
        <v>Baojian</v>
      </c>
      <c r="F1003" s="5" t="str">
        <f t="shared" si="183"/>
        <v>Chien-Pao</v>
      </c>
      <c r="G1003" s="5" t="str">
        <f t="shared" si="184"/>
        <v>Chien-Pao</v>
      </c>
      <c r="H1003" s="4" t="s">
        <v>5679</v>
      </c>
      <c r="I1003" s="5" t="str">
        <f>IFERROR(__xludf.DUMMYFUNCTION("GOOGLETRANSLATE(J1003,""zh_HANS"",""zh_HANT"")"),"古劍豹")</f>
        <v>古劍豹</v>
      </c>
      <c r="J1003" s="3" t="s">
        <v>5680</v>
      </c>
    </row>
    <row r="1004">
      <c r="A1004" s="3" t="str">
        <f t="shared" si="185"/>
        <v>NAME_PkMn_TINGLU</v>
      </c>
      <c r="B1004" s="3" t="s">
        <v>5681</v>
      </c>
      <c r="C1004" s="3" t="s">
        <v>5682</v>
      </c>
      <c r="D1004" s="3" t="s">
        <v>5683</v>
      </c>
      <c r="E1004" s="3" t="str">
        <f t="shared" si="186"/>
        <v>Dinglu</v>
      </c>
      <c r="F1004" s="5" t="str">
        <f t="shared" si="183"/>
        <v>Ting-Lu</v>
      </c>
      <c r="G1004" s="5" t="str">
        <f t="shared" si="184"/>
        <v>Ting-Lu</v>
      </c>
      <c r="H1004" s="4" t="s">
        <v>5684</v>
      </c>
      <c r="I1004" s="5" t="str">
        <f>J1004</f>
        <v>古鼎鹿</v>
      </c>
      <c r="J1004" s="3" t="s">
        <v>5685</v>
      </c>
    </row>
    <row r="1005">
      <c r="A1005" s="3" t="str">
        <f t="shared" si="185"/>
        <v>NAME_PkMn_CHIYU</v>
      </c>
      <c r="B1005" s="3" t="s">
        <v>5686</v>
      </c>
      <c r="C1005" s="3" t="s">
        <v>5687</v>
      </c>
      <c r="D1005" s="3" t="s">
        <v>5688</v>
      </c>
      <c r="E1005" s="3" t="str">
        <f t="shared" si="186"/>
        <v>Yuyu</v>
      </c>
      <c r="F1005" s="5" t="str">
        <f t="shared" si="183"/>
        <v>Chi-Yu</v>
      </c>
      <c r="G1005" s="5" t="str">
        <f t="shared" si="184"/>
        <v>Chi-Yu</v>
      </c>
      <c r="H1005" s="4" t="s">
        <v>5689</v>
      </c>
      <c r="I1005" s="5" t="str">
        <f>IFERROR(__xludf.DUMMYFUNCTION("GOOGLETRANSLATE(J1005,""zh_HANS"",""zh_HANT"")"),"古玉魚")</f>
        <v>古玉魚</v>
      </c>
      <c r="J1005" s="3" t="s">
        <v>5690</v>
      </c>
    </row>
    <row r="1006">
      <c r="A1006" s="3" t="str">
        <f t="shared" ref="A1006:A1007" si="187">CONCATENATE("NAME_PkMn_", SUBSTITUTE(UPPER(B1006)," ",""))</f>
        <v>NAME_PkMn_ROARINGMOON</v>
      </c>
      <c r="B1006" s="3" t="s">
        <v>5691</v>
      </c>
      <c r="C1006" s="3" t="s">
        <v>5692</v>
      </c>
      <c r="D1006" s="3" t="s">
        <v>5693</v>
      </c>
      <c r="E1006" s="3" t="s">
        <v>5694</v>
      </c>
      <c r="F1006" s="3" t="s">
        <v>5695</v>
      </c>
      <c r="G1006" s="3" t="s">
        <v>5696</v>
      </c>
      <c r="H1006" s="4" t="s">
        <v>5697</v>
      </c>
      <c r="I1006" s="5" t="str">
        <f>IFERROR(__xludf.DUMMYFUNCTION("GOOGLETRANSLATE(J1006,""zh_HANS"",""zh_HANT"")"),"轟鳴月")</f>
        <v>轟鳴月</v>
      </c>
      <c r="J1006" s="3" t="s">
        <v>5698</v>
      </c>
    </row>
    <row r="1007">
      <c r="A1007" s="3" t="str">
        <f t="shared" si="187"/>
        <v>NAME_PkMn_IRONVALIANT</v>
      </c>
      <c r="B1007" s="3" t="s">
        <v>5699</v>
      </c>
      <c r="C1007" s="3" t="s">
        <v>5700</v>
      </c>
      <c r="D1007" s="3" t="s">
        <v>5701</v>
      </c>
      <c r="E1007" s="3" t="s">
        <v>5702</v>
      </c>
      <c r="F1007" s="3" t="s">
        <v>5703</v>
      </c>
      <c r="G1007" s="3" t="s">
        <v>5704</v>
      </c>
      <c r="H1007" s="4" t="s">
        <v>5705</v>
      </c>
      <c r="I1007" s="5" t="str">
        <f>IFERROR(__xludf.DUMMYFUNCTION("GOOGLETRANSLATE(J1007,""zh_HANS"",""zh_HANT"")"),"鐵武者")</f>
        <v>鐵武者</v>
      </c>
      <c r="J1007" s="3" t="s">
        <v>5706</v>
      </c>
    </row>
    <row r="1008">
      <c r="A1008" s="3" t="str">
        <f t="shared" ref="A1008:A1009" si="188">CONCATENATE("NAME_PkMn_", UPPER(B1008))</f>
        <v>NAME_PkMn_KORAIDON</v>
      </c>
      <c r="B1008" s="3" t="s">
        <v>5707</v>
      </c>
      <c r="C1008" s="3" t="s">
        <v>5708</v>
      </c>
      <c r="D1008" s="5" t="str">
        <f t="shared" ref="D1008:D1009" si="189">B1008</f>
        <v>Koraidon</v>
      </c>
      <c r="E1008" s="5" t="str">
        <f t="shared" ref="E1008:E1009" si="190">B1008</f>
        <v>Koraidon</v>
      </c>
      <c r="F1008" s="5" t="str">
        <f t="shared" ref="F1008:F1009" si="191">B1008</f>
        <v>Koraidon</v>
      </c>
      <c r="G1008" s="5" t="str">
        <f t="shared" ref="G1008:G1009" si="192">B1008</f>
        <v>Koraidon</v>
      </c>
      <c r="H1008" s="4" t="s">
        <v>5709</v>
      </c>
      <c r="I1008" s="5" t="str">
        <f>IFERROR(__xludf.DUMMYFUNCTION("GOOGLETRANSLATE(J1008,""zh_HANS"",""zh_HANT"")"),"故勒頓")</f>
        <v>故勒頓</v>
      </c>
      <c r="J1008" s="3" t="s">
        <v>5710</v>
      </c>
    </row>
    <row r="1009">
      <c r="A1009" s="3" t="str">
        <f t="shared" si="188"/>
        <v>NAME_PkMn_MIRAIDON</v>
      </c>
      <c r="B1009" s="3" t="s">
        <v>5711</v>
      </c>
      <c r="C1009" s="3" t="s">
        <v>5712</v>
      </c>
      <c r="D1009" s="3" t="str">
        <f t="shared" si="189"/>
        <v>Miraidon</v>
      </c>
      <c r="E1009" s="3" t="str">
        <f t="shared" si="190"/>
        <v>Miraidon</v>
      </c>
      <c r="F1009" s="5" t="str">
        <f t="shared" si="191"/>
        <v>Miraidon</v>
      </c>
      <c r="G1009" s="5" t="str">
        <f t="shared" si="192"/>
        <v>Miraidon</v>
      </c>
      <c r="H1009" s="4" t="s">
        <v>5713</v>
      </c>
      <c r="I1009" s="5" t="str">
        <f>IFERROR(__xludf.DUMMYFUNCTION("GOOGLETRANSLATE(J1009,""zh_HANS"",""zh_HANT"")"),"密勒頓")</f>
        <v>密勒頓</v>
      </c>
      <c r="J1009" s="3" t="s">
        <v>5714</v>
      </c>
    </row>
    <row r="1010">
      <c r="A1010" s="3" t="str">
        <f t="shared" ref="A1010:A1026" si="193">CONCATENATE("NAME_PkMn_", SUBSTITUTE(UPPER(B1010)," ",""))</f>
        <v>NAME_PkMn_WALKINGWAKE</v>
      </c>
      <c r="B1010" s="3" t="s">
        <v>5715</v>
      </c>
      <c r="C1010" s="3" t="s">
        <v>5716</v>
      </c>
      <c r="D1010" s="3" t="s">
        <v>5717</v>
      </c>
      <c r="E1010" s="3" t="s">
        <v>5718</v>
      </c>
      <c r="F1010" s="3" t="s">
        <v>5719</v>
      </c>
      <c r="G1010" s="3" t="s">
        <v>5720</v>
      </c>
      <c r="H1010" s="4" t="s">
        <v>5721</v>
      </c>
      <c r="I1010" s="5" t="str">
        <f>IFERROR(__xludf.DUMMYFUNCTION("GOOGLETRANSLATE(J1010,""zh_HANS"",""zh_HANT"")"),"波蕩水")</f>
        <v>波蕩水</v>
      </c>
      <c r="J1010" s="3" t="s">
        <v>5722</v>
      </c>
    </row>
    <row r="1011">
      <c r="A1011" s="3" t="str">
        <f t="shared" si="193"/>
        <v>NAME_PkMn_IRONLEAVES</v>
      </c>
      <c r="B1011" s="3" t="s">
        <v>5723</v>
      </c>
      <c r="C1011" s="3" t="s">
        <v>5724</v>
      </c>
      <c r="D1011" s="3" t="s">
        <v>5725</v>
      </c>
      <c r="E1011" s="3" t="s">
        <v>5726</v>
      </c>
      <c r="F1011" s="3" t="s">
        <v>5695</v>
      </c>
      <c r="G1011" s="3" t="s">
        <v>5696</v>
      </c>
      <c r="H1011" s="4" t="s">
        <v>5727</v>
      </c>
      <c r="I1011" s="5" t="str">
        <f>IFERROR(__xludf.DUMMYFUNCTION("GOOGLETRANSLATE(J1011,""zh_HANS"",""zh_HANT"")"),"鐵斑葉")</f>
        <v>鐵斑葉</v>
      </c>
      <c r="J1011" s="3" t="s">
        <v>5728</v>
      </c>
    </row>
    <row r="1012">
      <c r="A1012" s="3" t="str">
        <f t="shared" si="193"/>
        <v>NAME_PkMn_DIPPLIN</v>
      </c>
      <c r="B1012" s="3" t="s">
        <v>5729</v>
      </c>
      <c r="C1012" s="3" t="s">
        <v>5730</v>
      </c>
      <c r="D1012" s="3" t="s">
        <v>5731</v>
      </c>
      <c r="E1012" s="3" t="s">
        <v>5732</v>
      </c>
      <c r="F1012" s="3" t="s">
        <v>5703</v>
      </c>
      <c r="G1012" s="3" t="s">
        <v>5704</v>
      </c>
      <c r="H1012" s="4" t="s">
        <v>5733</v>
      </c>
      <c r="I1012" s="5" t="str">
        <f>IFERROR(__xludf.DUMMYFUNCTION("GOOGLETRANSLATE(J1012,""zh_HANS"",""zh_HANT"")"),"裹蜜蟲")</f>
        <v>裹蜜蟲</v>
      </c>
      <c r="J1012" s="3" t="s">
        <v>5734</v>
      </c>
    </row>
    <row r="1013">
      <c r="A1013" s="3" t="str">
        <f t="shared" si="193"/>
        <v>NAME_PkMn_POLTCHAGEIST</v>
      </c>
      <c r="B1013" s="3" t="s">
        <v>5735</v>
      </c>
      <c r="C1013" s="3" t="s">
        <v>5736</v>
      </c>
      <c r="D1013" s="3" t="str">
        <f>B1013</f>
        <v>Poltchageist</v>
      </c>
      <c r="E1013" s="6" t="s">
        <v>5737</v>
      </c>
      <c r="F1013" s="5" t="str">
        <f t="shared" ref="F1013:F1014" si="194">B1013</f>
        <v>Poltchageist</v>
      </c>
      <c r="G1013" s="5" t="str">
        <f t="shared" ref="G1013:G1014" si="195">B1013</f>
        <v>Poltchageist</v>
      </c>
      <c r="H1013" s="4" t="s">
        <v>5738</v>
      </c>
      <c r="I1013" s="3" t="s">
        <v>5739</v>
      </c>
      <c r="J1013" s="3" t="str">
        <f>I1013</f>
        <v>斯魔茶</v>
      </c>
    </row>
    <row r="1014">
      <c r="A1014" s="3" t="str">
        <f t="shared" si="193"/>
        <v>NAME_PkMn_SINISTCHA</v>
      </c>
      <c r="B1014" s="3" t="s">
        <v>5740</v>
      </c>
      <c r="C1014" s="3" t="s">
        <v>5741</v>
      </c>
      <c r="D1014" s="3" t="s">
        <v>5742</v>
      </c>
      <c r="E1014" s="3" t="s">
        <v>5743</v>
      </c>
      <c r="F1014" s="5" t="str">
        <f t="shared" si="194"/>
        <v>Sinistcha</v>
      </c>
      <c r="G1014" s="5" t="str">
        <f t="shared" si="195"/>
        <v>Sinistcha</v>
      </c>
      <c r="H1014" s="4" t="s">
        <v>5744</v>
      </c>
      <c r="I1014" s="5" t="str">
        <f>IFERROR(__xludf.DUMMYFUNCTION("GOOGLETRANSLATE(J1014,""zh_HANS"",""zh_HANT"")"),"來悲粗茶")</f>
        <v>來悲粗茶</v>
      </c>
      <c r="J1014" s="3" t="s">
        <v>5745</v>
      </c>
    </row>
    <row r="1015">
      <c r="A1015" s="3" t="str">
        <f t="shared" si="193"/>
        <v>NAME_PkMn_OKIDOGI</v>
      </c>
      <c r="B1015" s="3" t="s">
        <v>5746</v>
      </c>
      <c r="C1015" s="3" t="s">
        <v>5747</v>
      </c>
      <c r="D1015" s="3" t="s">
        <v>5748</v>
      </c>
      <c r="E1015" s="3" t="s">
        <v>5749</v>
      </c>
      <c r="F1015" s="3" t="s">
        <v>5719</v>
      </c>
      <c r="G1015" s="3" t="s">
        <v>5720</v>
      </c>
      <c r="H1015" s="4" t="s">
        <v>5750</v>
      </c>
      <c r="I1015" s="5" t="str">
        <f>IFERROR(__xludf.DUMMYFUNCTION("GOOGLETRANSLATE(J1015,""zh_HANS"",""zh_HANT"")"),"夠贊狗")</f>
        <v>夠贊狗</v>
      </c>
      <c r="J1015" s="3" t="s">
        <v>5751</v>
      </c>
    </row>
    <row r="1016">
      <c r="A1016" s="3" t="str">
        <f t="shared" si="193"/>
        <v>NAME_PkMn_MUNKIDORI</v>
      </c>
      <c r="B1016" s="3" t="s">
        <v>5752</v>
      </c>
      <c r="C1016" s="3" t="s">
        <v>5753</v>
      </c>
      <c r="D1016" s="3" t="s">
        <v>5754</v>
      </c>
      <c r="E1016" s="3" t="s">
        <v>5755</v>
      </c>
      <c r="F1016" s="3" t="s">
        <v>5695</v>
      </c>
      <c r="G1016" s="3" t="s">
        <v>5696</v>
      </c>
      <c r="H1016" s="4" t="s">
        <v>5756</v>
      </c>
      <c r="I1016" s="5" t="str">
        <f>IFERROR(__xludf.DUMMYFUNCTION("GOOGLETRANSLATE(J1016,""zh_HANS"",""zh_HANT"")"),"願增猿")</f>
        <v>願增猿</v>
      </c>
      <c r="J1016" s="3" t="s">
        <v>5757</v>
      </c>
    </row>
    <row r="1017">
      <c r="A1017" s="3" t="str">
        <f t="shared" si="193"/>
        <v>NAME_PkMn_FEZANDIPITI</v>
      </c>
      <c r="B1017" s="3" t="s">
        <v>5758</v>
      </c>
      <c r="C1017" s="3" t="s">
        <v>5759</v>
      </c>
      <c r="D1017" s="3" t="s">
        <v>5760</v>
      </c>
      <c r="E1017" s="3" t="s">
        <v>5761</v>
      </c>
      <c r="F1017" s="3" t="s">
        <v>5703</v>
      </c>
      <c r="G1017" s="3" t="s">
        <v>5704</v>
      </c>
      <c r="H1017" s="4" t="s">
        <v>5762</v>
      </c>
      <c r="I1017" s="5" t="str">
        <f>IFERROR(__xludf.DUMMYFUNCTION("GOOGLETRANSLATE(J1017,""zh_HANS"",""zh_HANT"")"),"吉雉雞")</f>
        <v>吉雉雞</v>
      </c>
      <c r="J1017" s="3" t="s">
        <v>5763</v>
      </c>
    </row>
    <row r="1018">
      <c r="A1018" s="3" t="str">
        <f t="shared" si="193"/>
        <v>NAME_PkMn_OGERPON</v>
      </c>
      <c r="B1018" s="3" t="s">
        <v>5764</v>
      </c>
      <c r="C1018" s="3" t="s">
        <v>5765</v>
      </c>
      <c r="D1018" s="5" t="str">
        <f>B1018</f>
        <v>Ogerpon</v>
      </c>
      <c r="E1018" s="5" t="str">
        <f>B1018</f>
        <v>Ogerpon</v>
      </c>
      <c r="F1018" s="5" t="str">
        <f t="shared" ref="F1018:F1020" si="196">B1018</f>
        <v>Ogerpon</v>
      </c>
      <c r="G1018" s="5" t="str">
        <f t="shared" ref="G1018:G1020" si="197">B1018</f>
        <v>Ogerpon</v>
      </c>
      <c r="H1018" s="4" t="s">
        <v>5766</v>
      </c>
      <c r="I1018" s="5" t="str">
        <f>IFERROR(__xludf.DUMMYFUNCTION("GOOGLETRANSLATE(J1018,""zh_HANS"",""zh_HANT"")"),"厄詭椪")</f>
        <v>厄詭椪</v>
      </c>
      <c r="J1018" s="3" t="s">
        <v>5767</v>
      </c>
    </row>
    <row r="1019">
      <c r="A1019" s="3" t="str">
        <f t="shared" si="193"/>
        <v>NAME_PkMn_ARCHALUDON</v>
      </c>
      <c r="B1019" s="3" t="s">
        <v>5768</v>
      </c>
      <c r="C1019" s="3" t="s">
        <v>5769</v>
      </c>
      <c r="D1019" s="3" t="s">
        <v>5770</v>
      </c>
      <c r="E1019" s="3" t="s">
        <v>5771</v>
      </c>
      <c r="F1019" s="5" t="str">
        <f t="shared" si="196"/>
        <v>Archaludon</v>
      </c>
      <c r="G1019" s="5" t="str">
        <f t="shared" si="197"/>
        <v>Archaludon</v>
      </c>
      <c r="H1019" s="4" t="s">
        <v>5772</v>
      </c>
      <c r="I1019" s="5" t="str">
        <f>IFERROR(__xludf.DUMMYFUNCTION("GOOGLETRANSLATE(J1019,""zh_HANS"",""zh_HANT"")"),"鋁鋼橋龍")</f>
        <v>鋁鋼橋龍</v>
      </c>
      <c r="J1019" s="3" t="s">
        <v>5773</v>
      </c>
    </row>
    <row r="1020">
      <c r="A1020" s="3" t="str">
        <f t="shared" si="193"/>
        <v>NAME_PkMn_HYDRAPPLE</v>
      </c>
      <c r="B1020" s="3" t="s">
        <v>5774</v>
      </c>
      <c r="C1020" s="3" t="s">
        <v>5775</v>
      </c>
      <c r="D1020" s="3" t="s">
        <v>5776</v>
      </c>
      <c r="E1020" s="3" t="s">
        <v>5777</v>
      </c>
      <c r="F1020" s="5" t="str">
        <f t="shared" si="196"/>
        <v>Hydrapple</v>
      </c>
      <c r="G1020" s="5" t="str">
        <f t="shared" si="197"/>
        <v>Hydrapple</v>
      </c>
      <c r="H1020" s="4" t="s">
        <v>5778</v>
      </c>
      <c r="I1020" s="3" t="s">
        <v>5779</v>
      </c>
      <c r="J1020" s="3" t="str">
        <f t="shared" ref="J1020:J1022" si="198">I1020</f>
        <v>蜜集大蛇</v>
      </c>
    </row>
    <row r="1021">
      <c r="A1021" s="3" t="str">
        <f t="shared" si="193"/>
        <v>NAME_PkMn_GOUGINGFIRE</v>
      </c>
      <c r="B1021" s="3" t="s">
        <v>5780</v>
      </c>
      <c r="C1021" s="3" t="s">
        <v>5781</v>
      </c>
      <c r="D1021" s="3" t="s">
        <v>5782</v>
      </c>
      <c r="E1021" s="3" t="s">
        <v>5783</v>
      </c>
      <c r="F1021" s="3" t="s">
        <v>5784</v>
      </c>
      <c r="G1021" s="3" t="s">
        <v>5785</v>
      </c>
      <c r="H1021" s="3" t="s">
        <v>5786</v>
      </c>
      <c r="I1021" s="3" t="s">
        <v>5787</v>
      </c>
      <c r="J1021" s="3" t="str">
        <f t="shared" si="198"/>
        <v>破空焰</v>
      </c>
    </row>
    <row r="1022">
      <c r="A1022" s="3" t="str">
        <f t="shared" si="193"/>
        <v>NAME_PkMn_RAGINGBOLT</v>
      </c>
      <c r="B1022" s="3" t="s">
        <v>5788</v>
      </c>
      <c r="C1022" s="3" t="s">
        <v>5789</v>
      </c>
      <c r="D1022" s="3" t="s">
        <v>5790</v>
      </c>
      <c r="E1022" s="3" t="s">
        <v>5791</v>
      </c>
      <c r="F1022" s="3" t="s">
        <v>5792</v>
      </c>
      <c r="G1022" s="3" t="s">
        <v>5793</v>
      </c>
      <c r="H1022" s="4" t="s">
        <v>5794</v>
      </c>
      <c r="I1022" s="3" t="s">
        <v>5795</v>
      </c>
      <c r="J1022" s="3" t="str">
        <f t="shared" si="198"/>
        <v>猛雷鼓</v>
      </c>
    </row>
    <row r="1023">
      <c r="A1023" s="3" t="str">
        <f t="shared" si="193"/>
        <v>NAME_PkMn_IRONBOULDER</v>
      </c>
      <c r="B1023" s="3" t="s">
        <v>5796</v>
      </c>
      <c r="C1023" s="3" t="s">
        <v>5797</v>
      </c>
      <c r="D1023" s="3" t="s">
        <v>5798</v>
      </c>
      <c r="E1023" s="3" t="s">
        <v>5799</v>
      </c>
      <c r="F1023" s="3" t="s">
        <v>5800</v>
      </c>
      <c r="G1023" s="3" t="s">
        <v>5801</v>
      </c>
      <c r="H1023" s="3" t="s">
        <v>5802</v>
      </c>
      <c r="I1023" s="5" t="str">
        <f>IFERROR(__xludf.DUMMYFUNCTION("GOOGLETRANSLATE(J1023,""zh_HANS"",""zh_HANT"")"),"鐵磐岩")</f>
        <v>鐵磐岩</v>
      </c>
      <c r="J1023" s="6" t="s">
        <v>5803</v>
      </c>
    </row>
    <row r="1024">
      <c r="A1024" s="3" t="str">
        <f t="shared" si="193"/>
        <v>NAME_PkMn_IRONCROWN</v>
      </c>
      <c r="B1024" s="3" t="s">
        <v>5804</v>
      </c>
      <c r="C1024" s="3" t="s">
        <v>5805</v>
      </c>
      <c r="D1024" s="3" t="s">
        <v>5806</v>
      </c>
      <c r="E1024" s="3" t="s">
        <v>5807</v>
      </c>
      <c r="F1024" s="3" t="s">
        <v>5808</v>
      </c>
      <c r="G1024" s="3" t="s">
        <v>5809</v>
      </c>
      <c r="H1024" s="4" t="s">
        <v>5810</v>
      </c>
      <c r="I1024" s="5" t="str">
        <f>IFERROR(__xludf.DUMMYFUNCTION("GOOGLETRANSLATE(J1024,""zh_HANS"",""zh_HANT"")"),"鐵頭殼")</f>
        <v>鐵頭殼</v>
      </c>
      <c r="J1024" s="3" t="s">
        <v>5811</v>
      </c>
    </row>
    <row r="1025">
      <c r="A1025" s="3" t="str">
        <f t="shared" si="193"/>
        <v>NAME_PkMn_TERAPAGOS</v>
      </c>
      <c r="B1025" s="3" t="s">
        <v>5812</v>
      </c>
      <c r="C1025" s="3" t="s">
        <v>5813</v>
      </c>
      <c r="D1025" s="5" t="str">
        <f>B1025</f>
        <v>Terapagos</v>
      </c>
      <c r="E1025" s="5" t="str">
        <f>B1025</f>
        <v>Terapagos</v>
      </c>
      <c r="F1025" s="5" t="str">
        <f t="shared" ref="F1025:F1026" si="199">B1025</f>
        <v>Terapagos</v>
      </c>
      <c r="G1025" s="5" t="str">
        <f t="shared" ref="G1025:G1026" si="200">B1025</f>
        <v>Terapagos</v>
      </c>
      <c r="H1025" s="4" t="s">
        <v>5814</v>
      </c>
      <c r="I1025" s="5" t="str">
        <f>IFERROR(__xludf.DUMMYFUNCTION("GOOGLETRANSLATE(J1025,""zh_HANS"",""zh_HANT"")"),"太樂巴戈斯")</f>
        <v>太樂巴戈斯</v>
      </c>
      <c r="J1025" s="3" t="s">
        <v>5815</v>
      </c>
    </row>
    <row r="1026">
      <c r="A1026" s="3" t="str">
        <f t="shared" si="193"/>
        <v>NAME_PkMn_PECHARUNT</v>
      </c>
      <c r="B1026" s="3" t="s">
        <v>5816</v>
      </c>
      <c r="C1026" s="3" t="s">
        <v>5817</v>
      </c>
      <c r="D1026" s="3" t="s">
        <v>5818</v>
      </c>
      <c r="E1026" s="3" t="s">
        <v>5819</v>
      </c>
      <c r="F1026" s="5" t="str">
        <f t="shared" si="199"/>
        <v>Pecharunt</v>
      </c>
      <c r="G1026" s="5" t="str">
        <f t="shared" si="200"/>
        <v>Pecharunt</v>
      </c>
      <c r="H1026" s="4" t="s">
        <v>5820</v>
      </c>
      <c r="I1026" s="3" t="s">
        <v>5821</v>
      </c>
      <c r="J1026" s="5" t="str">
        <f>I1026</f>
        <v>桃歹郎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9.25"/>
    <col customWidth="1" min="2" max="2" width="16.0"/>
    <col customWidth="1" min="3" max="3" width="17.75"/>
    <col customWidth="1" min="4" max="4" width="17.5"/>
    <col customWidth="1" min="5" max="5" width="16.13"/>
    <col customWidth="1" min="6" max="6" width="17.75"/>
    <col customWidth="1" min="7" max="7" width="18.0"/>
    <col customWidth="1" min="8" max="8" width="14.88"/>
  </cols>
  <sheetData>
    <row r="1">
      <c r="A1" s="2" t="str">
        <f>Pokemon!A1</f>
        <v>keys</v>
      </c>
      <c r="B1" s="2" t="str">
        <f>Pokemon!B1</f>
        <v>en</v>
      </c>
      <c r="C1" s="2" t="str">
        <f>Pokemon!C1</f>
        <v>ja</v>
      </c>
      <c r="D1" s="2" t="str">
        <f>Pokemon!D1</f>
        <v>fr</v>
      </c>
      <c r="E1" s="2" t="str">
        <f>Pokemon!E1</f>
        <v>de</v>
      </c>
      <c r="F1" s="2" t="str">
        <f>Pokemon!F1</f>
        <v>es</v>
      </c>
      <c r="G1" s="2" t="str">
        <f>Pokemon!G1</f>
        <v>it</v>
      </c>
      <c r="H1" s="2" t="str">
        <f>Pokemon!H1</f>
        <v>ko</v>
      </c>
      <c r="I1" s="2" t="str">
        <f>Pokemon!I1</f>
        <v>zh_HK</v>
      </c>
      <c r="J1" s="2" t="str">
        <f>Pokemon!J1</f>
        <v>zh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26905</v>
      </c>
      <c r="B2" s="3" t="s">
        <v>26906</v>
      </c>
      <c r="C2" s="3" t="s">
        <v>26907</v>
      </c>
      <c r="D2" s="3" t="s">
        <v>26908</v>
      </c>
      <c r="E2" s="3" t="s">
        <v>26909</v>
      </c>
      <c r="F2" s="3" t="s">
        <v>26910</v>
      </c>
      <c r="G2" s="3" t="s">
        <v>26911</v>
      </c>
      <c r="H2" s="3" t="s">
        <v>26912</v>
      </c>
      <c r="I2" s="3" t="s">
        <v>26913</v>
      </c>
      <c r="J2" s="5" t="str">
        <f>IFERROR(__xludf.DUMMYFUNCTION("GOOGLETRANSLATE(I2,""zh_HANT"",""zh_HANS"")"),"精英训练家")</f>
        <v>精英训练家</v>
      </c>
    </row>
    <row r="3">
      <c r="A3" s="3" t="s">
        <v>26914</v>
      </c>
      <c r="B3" s="3" t="str">
        <f t="shared" ref="B3:D3" si="1">B2</f>
        <v>Ace Trainer</v>
      </c>
      <c r="C3" s="3" t="str">
        <f t="shared" si="1"/>
        <v>エリートトレーナー</v>
      </c>
      <c r="D3" s="3" t="str">
        <f t="shared" si="1"/>
        <v>Topdresseur</v>
      </c>
      <c r="E3" s="5" t="str">
        <f>CONCATENATE(E2,"in")</f>
        <v>Ass-Trainerin</v>
      </c>
      <c r="F3" s="3" t="s">
        <v>26915</v>
      </c>
      <c r="G3" s="16" t="s">
        <v>26916</v>
      </c>
      <c r="H3" s="5" t="str">
        <f t="shared" ref="H3:J3" si="2">H2</f>
        <v>엘리트트레이너</v>
      </c>
      <c r="I3" s="5" t="str">
        <f t="shared" si="2"/>
        <v>精英訓練家</v>
      </c>
      <c r="J3" s="5" t="str">
        <f t="shared" si="2"/>
        <v>精英训练家</v>
      </c>
    </row>
    <row r="4">
      <c r="A4" s="5" t="str">
        <f t="shared" ref="A4:A5" si="3">CONCATENATE("NAME_TC_", SUBSTITUTE(UPPER(B4), " ", ""))</f>
        <v>NAME_TC_BEAUTY</v>
      </c>
      <c r="B4" s="3" t="s">
        <v>26917</v>
      </c>
      <c r="C4" s="3" t="s">
        <v>26918</v>
      </c>
      <c r="D4" s="3" t="s">
        <v>11400</v>
      </c>
      <c r="E4" s="3" t="s">
        <v>26919</v>
      </c>
      <c r="F4" s="3" t="s">
        <v>26920</v>
      </c>
      <c r="G4" s="3" t="s">
        <v>26921</v>
      </c>
      <c r="H4" s="3" t="s">
        <v>26922</v>
      </c>
      <c r="I4" s="3" t="s">
        <v>26923</v>
      </c>
      <c r="J4" s="5" t="str">
        <f>I4</f>
        <v>大姐姐</v>
      </c>
    </row>
    <row r="5">
      <c r="A5" s="5" t="str">
        <f t="shared" si="3"/>
        <v>NAME_TC_BIKER</v>
      </c>
      <c r="B5" s="3" t="s">
        <v>26924</v>
      </c>
      <c r="C5" s="3" t="s">
        <v>26925</v>
      </c>
      <c r="D5" s="3" t="s">
        <v>26926</v>
      </c>
      <c r="E5" s="3" t="s">
        <v>26927</v>
      </c>
      <c r="F5" s="3" t="s">
        <v>26928</v>
      </c>
      <c r="G5" s="3" t="s">
        <v>26929</v>
      </c>
      <c r="H5" s="3" t="s">
        <v>26930</v>
      </c>
      <c r="I5" s="5" t="str">
        <f>J5</f>
        <v>暴走族</v>
      </c>
      <c r="J5" s="7" t="s">
        <v>26931</v>
      </c>
    </row>
    <row r="6">
      <c r="A6" s="3" t="s">
        <v>26932</v>
      </c>
      <c r="B6" s="3" t="s">
        <v>26933</v>
      </c>
      <c r="C6" s="3" t="s">
        <v>26934</v>
      </c>
      <c r="D6" s="3" t="s">
        <v>26935</v>
      </c>
      <c r="E6" s="3" t="s">
        <v>26936</v>
      </c>
      <c r="F6" s="3" t="s">
        <v>26937</v>
      </c>
      <c r="G6" s="3" t="s">
        <v>26938</v>
      </c>
      <c r="H6" s="3" t="s">
        <v>26939</v>
      </c>
      <c r="I6" s="3" t="s">
        <v>26940</v>
      </c>
      <c r="J6" s="5" t="str">
        <f>IFERROR(__xludf.DUMMYFUNCTION("GOOGLETRANSLATE(I6,""zh_HANT"",""zh_HANS"")"),"养鸟人")</f>
        <v>养鸟人</v>
      </c>
    </row>
    <row r="7">
      <c r="A7" s="3" t="s">
        <v>26941</v>
      </c>
      <c r="B7" s="3" t="s">
        <v>26933</v>
      </c>
      <c r="C7" s="3" t="s">
        <v>26934</v>
      </c>
      <c r="D7" s="3" t="s">
        <v>26935</v>
      </c>
      <c r="E7" s="5" t="str">
        <f>E6</f>
        <v>Vogel-Profi</v>
      </c>
      <c r="F7" s="3" t="s">
        <v>26942</v>
      </c>
      <c r="G7" s="3" t="s">
        <v>26943</v>
      </c>
      <c r="H7" s="3" t="s">
        <v>26939</v>
      </c>
      <c r="I7" s="3" t="s">
        <v>26940</v>
      </c>
      <c r="J7" s="5" t="str">
        <f>IFERROR(__xludf.DUMMYFUNCTION("GOOGLETRANSLATE(I7,""zh_HANT"",""zh_HANS"")"),"养鸟人")</f>
        <v>养鸟人</v>
      </c>
    </row>
    <row r="8">
      <c r="A8" s="5" t="str">
        <f t="shared" ref="A8:A11" si="4">CONCATENATE("NAME_TC_", SUBSTITUTE(UPPER(B8), " ", ""))</f>
        <v>NAME_TC_BLACKBELT</v>
      </c>
      <c r="B8" s="3" t="s">
        <v>24967</v>
      </c>
      <c r="C8" s="3" t="s">
        <v>26944</v>
      </c>
      <c r="D8" s="3" t="s">
        <v>26945</v>
      </c>
      <c r="E8" s="3" t="s">
        <v>24970</v>
      </c>
      <c r="F8" s="3" t="s">
        <v>26946</v>
      </c>
      <c r="G8" s="3" t="s">
        <v>26947</v>
      </c>
      <c r="H8" s="3" t="s">
        <v>26948</v>
      </c>
      <c r="I8" s="3" t="s">
        <v>26949</v>
      </c>
      <c r="J8" s="5" t="str">
        <f>I8</f>
        <v>空手道王</v>
      </c>
    </row>
    <row r="9">
      <c r="A9" s="5" t="str">
        <f t="shared" si="4"/>
        <v>NAME_TC_BUGCATCHER</v>
      </c>
      <c r="B9" s="3" t="s">
        <v>9763</v>
      </c>
      <c r="C9" s="3" t="s">
        <v>26950</v>
      </c>
      <c r="D9" s="3" t="s">
        <v>8101</v>
      </c>
      <c r="E9" s="3" t="s">
        <v>26951</v>
      </c>
      <c r="F9" s="3" t="s">
        <v>26952</v>
      </c>
      <c r="G9" s="3" t="s">
        <v>26953</v>
      </c>
      <c r="H9" s="3" t="s">
        <v>26954</v>
      </c>
      <c r="I9" s="3" t="s">
        <v>26955</v>
      </c>
      <c r="J9" s="5" t="str">
        <f>IFERROR(__xludf.DUMMYFUNCTION("GOOGLETRANSLATE(I9,""zh_HANT"",""zh_HANS"")"),"捕虫少年")</f>
        <v>捕虫少年</v>
      </c>
    </row>
    <row r="10">
      <c r="A10" s="5" t="str">
        <f t="shared" si="4"/>
        <v>NAME_TC_BURGLAR</v>
      </c>
      <c r="B10" s="3" t="s">
        <v>26956</v>
      </c>
      <c r="C10" s="3" t="s">
        <v>26957</v>
      </c>
      <c r="D10" s="3" t="s">
        <v>26958</v>
      </c>
      <c r="E10" s="3" t="s">
        <v>26959</v>
      </c>
      <c r="F10" s="3" t="s">
        <v>14117</v>
      </c>
      <c r="G10" s="3" t="s">
        <v>26960</v>
      </c>
      <c r="H10" s="3" t="s">
        <v>26961</v>
      </c>
      <c r="I10" s="3" t="s">
        <v>26962</v>
      </c>
      <c r="J10" s="5" t="str">
        <f>I10</f>
        <v>趁火打劫者</v>
      </c>
    </row>
    <row r="11">
      <c r="A11" s="5" t="str">
        <f t="shared" si="4"/>
        <v>NAME_TC_CAMPER</v>
      </c>
      <c r="B11" s="3" t="s">
        <v>26963</v>
      </c>
      <c r="C11" s="3" t="s">
        <v>26964</v>
      </c>
      <c r="D11" s="3" t="s">
        <v>26965</v>
      </c>
      <c r="E11" s="5" t="str">
        <f>B11</f>
        <v>Camper</v>
      </c>
      <c r="F11" s="3" t="s">
        <v>26966</v>
      </c>
      <c r="G11" s="3" t="s">
        <v>26967</v>
      </c>
      <c r="H11" s="3" t="s">
        <v>26968</v>
      </c>
      <c r="I11" s="3" t="s">
        <v>26969</v>
      </c>
      <c r="J11" s="5" t="str">
        <f>IFERROR(__xludf.DUMMYFUNCTION("GOOGLETRANSLATE(I11,""zh_HANT"",""zh_HANS"")"),"露营少年")</f>
        <v>露营少年</v>
      </c>
    </row>
    <row r="12">
      <c r="A12" s="3" t="s">
        <v>26970</v>
      </c>
      <c r="B12" s="3" t="str">
        <f>CONCATENATE(E12,"ion")</f>
        <v>Champion</v>
      </c>
      <c r="C12" s="3" t="s">
        <v>26971</v>
      </c>
      <c r="D12" s="3" t="s">
        <v>26972</v>
      </c>
      <c r="E12" s="3" t="s">
        <v>26973</v>
      </c>
      <c r="F12" s="3" t="s">
        <v>26974</v>
      </c>
      <c r="G12" s="3" t="str">
        <f>CONCATENATE(B12,"e")</f>
        <v>Champione</v>
      </c>
      <c r="H12" s="3" t="s">
        <v>26975</v>
      </c>
      <c r="I12" s="3" t="s">
        <v>26976</v>
      </c>
      <c r="J12" s="5" t="str">
        <f>IFERROR(__xludf.DUMMYFUNCTION("GOOGLETRANSLATE(I12,""zh_HANT"",""zh_HANS"")"),"冠军")</f>
        <v>冠军</v>
      </c>
    </row>
    <row r="13">
      <c r="A13" s="3" t="s">
        <v>26977</v>
      </c>
      <c r="B13" s="3" t="str">
        <f t="shared" ref="B13:E13" si="5">B12</f>
        <v>Champion</v>
      </c>
      <c r="C13" s="3" t="str">
        <f t="shared" si="5"/>
        <v>チャンピオン</v>
      </c>
      <c r="D13" s="3" t="str">
        <f t="shared" si="5"/>
        <v>Maître</v>
      </c>
      <c r="E13" s="3" t="str">
        <f t="shared" si="5"/>
        <v>Champ</v>
      </c>
      <c r="F13" s="3" t="s">
        <v>26978</v>
      </c>
      <c r="G13" s="3" t="str">
        <f>CONCATENATE(G12,"ssa")</f>
        <v>Championessa</v>
      </c>
      <c r="H13" s="3" t="str">
        <f t="shared" ref="H13:J13" si="6">H12</f>
        <v>챔피언</v>
      </c>
      <c r="I13" s="3" t="str">
        <f t="shared" si="6"/>
        <v>冠軍</v>
      </c>
      <c r="J13" s="3" t="str">
        <f t="shared" si="6"/>
        <v>冠军</v>
      </c>
    </row>
    <row r="14">
      <c r="A14" s="5" t="str">
        <f t="shared" ref="A14:A19" si="7">CONCATENATE("NAME_TC_", SUBSTITUTE(UPPER(B14), " ", ""))</f>
        <v>NAME_TC_CHANNELER</v>
      </c>
      <c r="B14" s="3" t="s">
        <v>26979</v>
      </c>
      <c r="C14" s="3" t="s">
        <v>26980</v>
      </c>
      <c r="D14" s="3" t="s">
        <v>26981</v>
      </c>
      <c r="E14" s="3" t="s">
        <v>26982</v>
      </c>
      <c r="F14" s="3" t="s">
        <v>26983</v>
      </c>
      <c r="G14" s="3" t="str">
        <f>B45</f>
        <v>Medium</v>
      </c>
      <c r="H14" s="3" t="s">
        <v>26984</v>
      </c>
      <c r="I14" s="3" t="s">
        <v>26985</v>
      </c>
      <c r="J14" s="5" t="str">
        <f>IFERROR(__xludf.DUMMYFUNCTION("GOOGLETRANSLATE(I14,""zh_HANT"",""zh_HANS"")"),"祈祷师")</f>
        <v>祈祷师</v>
      </c>
    </row>
    <row r="15">
      <c r="A15" s="5" t="str">
        <f t="shared" si="7"/>
        <v>NAME_TC_ELITEFOUR</v>
      </c>
      <c r="B15" s="3" t="s">
        <v>26986</v>
      </c>
      <c r="C15" s="3" t="s">
        <v>26987</v>
      </c>
      <c r="D15" s="3" t="s">
        <v>26988</v>
      </c>
      <c r="E15" s="3" t="s">
        <v>26989</v>
      </c>
      <c r="F15" s="3" t="s">
        <v>26990</v>
      </c>
      <c r="G15" s="3" t="s">
        <v>26991</v>
      </c>
      <c r="H15" s="6" t="s">
        <v>26992</v>
      </c>
      <c r="I15" s="6" t="s">
        <v>26993</v>
      </c>
      <c r="J15" s="5" t="str">
        <f>I15</f>
        <v>四天王</v>
      </c>
    </row>
    <row r="16">
      <c r="A16" s="5" t="str">
        <f t="shared" si="7"/>
        <v>NAME_TC_ENGINEER</v>
      </c>
      <c r="B16" s="3" t="s">
        <v>26994</v>
      </c>
      <c r="C16" s="3" t="s">
        <v>26995</v>
      </c>
      <c r="D16" s="3" t="s">
        <v>26996</v>
      </c>
      <c r="E16" s="3" t="s">
        <v>26997</v>
      </c>
      <c r="F16" s="3" t="s">
        <v>26998</v>
      </c>
      <c r="G16" s="3" t="s">
        <v>26999</v>
      </c>
      <c r="H16" s="3" t="s">
        <v>27000</v>
      </c>
      <c r="I16" s="3" t="s">
        <v>27001</v>
      </c>
      <c r="J16" s="5" t="str">
        <f>IFERROR(__xludf.DUMMYFUNCTION("GOOGLETRANSLATE(I16,""zh_HANT"",""zh_HANS"")"),"电工大叔")</f>
        <v>电工大叔</v>
      </c>
    </row>
    <row r="17">
      <c r="A17" s="5" t="str">
        <f t="shared" si="7"/>
        <v>NAME_TC_FISHERMAN</v>
      </c>
      <c r="B17" s="3" t="s">
        <v>27002</v>
      </c>
      <c r="C17" s="3" t="s">
        <v>27003</v>
      </c>
      <c r="D17" s="3" t="s">
        <v>27004</v>
      </c>
      <c r="E17" s="3" t="s">
        <v>8149</v>
      </c>
      <c r="F17" s="3" t="s">
        <v>27005</v>
      </c>
      <c r="G17" s="3" t="s">
        <v>8152</v>
      </c>
      <c r="H17" s="3" t="s">
        <v>27006</v>
      </c>
      <c r="I17" s="3" t="s">
        <v>27007</v>
      </c>
      <c r="J17" s="3" t="s">
        <v>27008</v>
      </c>
    </row>
    <row r="18">
      <c r="A18" s="5" t="str">
        <f t="shared" si="7"/>
        <v>NAME_TC_GAMBLER</v>
      </c>
      <c r="B18" s="3" t="s">
        <v>27009</v>
      </c>
      <c r="C18" s="3" t="s">
        <v>27010</v>
      </c>
      <c r="D18" s="3" t="s">
        <v>27011</v>
      </c>
      <c r="E18" s="3" t="s">
        <v>27012</v>
      </c>
      <c r="F18" s="3" t="s">
        <v>27013</v>
      </c>
      <c r="G18" s="3" t="s">
        <v>27014</v>
      </c>
      <c r="H18" s="3" t="s">
        <v>27015</v>
      </c>
      <c r="I18" s="3" t="s">
        <v>27016</v>
      </c>
      <c r="J18" s="5" t="str">
        <f>IFERROR(__xludf.DUMMYFUNCTION("GOOGLETRANSLATE(I18,""zh_HANT"",""zh_HANS"")"),"赌徒")</f>
        <v>赌徒</v>
      </c>
    </row>
    <row r="19">
      <c r="A19" s="5" t="str">
        <f t="shared" si="7"/>
        <v>NAME_TC_GENTLEMAN</v>
      </c>
      <c r="B19" s="3" t="s">
        <v>27017</v>
      </c>
      <c r="C19" s="3" t="s">
        <v>27018</v>
      </c>
      <c r="D19" s="5" t="str">
        <f>B19</f>
        <v>Gentleman</v>
      </c>
      <c r="E19" s="5" t="str">
        <f>B19</f>
        <v>Gentleman</v>
      </c>
      <c r="F19" s="3" t="s">
        <v>27019</v>
      </c>
      <c r="G19" s="3" t="s">
        <v>27020</v>
      </c>
      <c r="H19" s="3" t="s">
        <v>27021</v>
      </c>
      <c r="I19" s="3" t="s">
        <v>27022</v>
      </c>
      <c r="J19" s="5" t="str">
        <f>IFERROR(__xludf.DUMMYFUNCTION("GOOGLETRANSLATE(I19,""zh_HANT"",""zh_HANS"")"),"绅士")</f>
        <v>绅士</v>
      </c>
    </row>
    <row r="20">
      <c r="A20" s="3" t="s">
        <v>27023</v>
      </c>
      <c r="B20" s="3" t="s">
        <v>27024</v>
      </c>
      <c r="C20" s="3" t="s">
        <v>27025</v>
      </c>
      <c r="D20" s="3" t="s">
        <v>27026</v>
      </c>
      <c r="E20" s="3" t="s">
        <v>27027</v>
      </c>
      <c r="F20" s="3" t="s">
        <v>27028</v>
      </c>
      <c r="G20" s="3" t="s">
        <v>27029</v>
      </c>
      <c r="H20" s="4" t="s">
        <v>27030</v>
      </c>
      <c r="I20" s="6" t="s">
        <v>27031</v>
      </c>
      <c r="J20" s="5" t="str">
        <f>IFERROR(__xludf.DUMMYFUNCTION("GOOGLETRANSLATE(I20,""zh_HANT"",""zh_HANS"")"),"道馆馆主")</f>
        <v>道馆馆主</v>
      </c>
    </row>
    <row r="21">
      <c r="A21" s="3" t="s">
        <v>27032</v>
      </c>
      <c r="B21" s="3" t="str">
        <f t="shared" ref="B21:C21" si="8">B20</f>
        <v>Gym Leader</v>
      </c>
      <c r="C21" s="3" t="str">
        <f t="shared" si="8"/>
        <v>ジムリーダー</v>
      </c>
      <c r="D21" s="3" t="s">
        <v>27033</v>
      </c>
      <c r="E21" s="3" t="str">
        <f>CONCATENATE(E20,"in")</f>
        <v>Arenaleiterin</v>
      </c>
      <c r="F21" s="3" t="str">
        <f t="shared" ref="F21:J21" si="9">F20</f>
        <v>Líder de gimnasio</v>
      </c>
      <c r="G21" s="3" t="str">
        <f t="shared" si="9"/>
        <v>Capopalestra</v>
      </c>
      <c r="H21" s="3" t="str">
        <f t="shared" si="9"/>
        <v>체육관 관장</v>
      </c>
      <c r="I21" s="3" t="str">
        <f t="shared" si="9"/>
        <v>道館館主</v>
      </c>
      <c r="J21" s="3" t="str">
        <f t="shared" si="9"/>
        <v>道馆馆主</v>
      </c>
    </row>
    <row r="22">
      <c r="A22" s="5" t="str">
        <f t="shared" ref="A22:A25" si="10">CONCATENATE("NAME_TC_", SUBSTITUTE(UPPER(B22), " ", ""))</f>
        <v>NAME_TC_HIKER</v>
      </c>
      <c r="B22" s="3" t="s">
        <v>27034</v>
      </c>
      <c r="C22" s="3" t="s">
        <v>27035</v>
      </c>
      <c r="D22" s="3" t="s">
        <v>27036</v>
      </c>
      <c r="E22" s="3" t="s">
        <v>27037</v>
      </c>
      <c r="F22" s="3" t="s">
        <v>27038</v>
      </c>
      <c r="G22" s="3" t="s">
        <v>27039</v>
      </c>
      <c r="H22" s="3" t="s">
        <v>27040</v>
      </c>
      <c r="I22" s="3" t="s">
        <v>27041</v>
      </c>
      <c r="J22" s="5" t="str">
        <f>I22</f>
        <v>登山男</v>
      </c>
    </row>
    <row r="23">
      <c r="A23" s="5" t="str">
        <f t="shared" si="10"/>
        <v>NAME_TC_JUGGLER</v>
      </c>
      <c r="B23" s="3" t="s">
        <v>27042</v>
      </c>
      <c r="C23" s="3" t="s">
        <v>27043</v>
      </c>
      <c r="D23" s="3" t="s">
        <v>27044</v>
      </c>
      <c r="E23" s="5" t="str">
        <f>D23</f>
        <v>Jongleur</v>
      </c>
      <c r="F23" s="3" t="s">
        <v>27045</v>
      </c>
      <c r="G23" s="3" t="s">
        <v>27046</v>
      </c>
      <c r="H23" s="3" t="s">
        <v>27047</v>
      </c>
      <c r="I23" s="3" t="s">
        <v>27048</v>
      </c>
      <c r="J23" s="5" t="str">
        <f>IFERROR(__xludf.DUMMYFUNCTION("GOOGLETRANSLATE(I23,""zh_HANT"",""zh_HANS"")"),"杂耍艺人")</f>
        <v>杂耍艺人</v>
      </c>
    </row>
    <row r="24">
      <c r="A24" s="5" t="str">
        <f t="shared" si="10"/>
        <v>NAME_TC_LASS</v>
      </c>
      <c r="B24" s="3" t="s">
        <v>27049</v>
      </c>
      <c r="C24" s="3" t="s">
        <v>27050</v>
      </c>
      <c r="D24" s="3" t="s">
        <v>27051</v>
      </c>
      <c r="E24" s="3" t="s">
        <v>27052</v>
      </c>
      <c r="F24" s="3" t="s">
        <v>27053</v>
      </c>
      <c r="G24" s="3" t="s">
        <v>27054</v>
      </c>
      <c r="H24" s="3" t="s">
        <v>27055</v>
      </c>
      <c r="I24" s="3" t="s">
        <v>27056</v>
      </c>
      <c r="J24" s="5" t="str">
        <f t="shared" ref="J24:J25" si="11">I24</f>
        <v>迷你裙</v>
      </c>
    </row>
    <row r="25">
      <c r="A25" s="5" t="str">
        <f t="shared" si="10"/>
        <v>NAME_TC_PICNICKER</v>
      </c>
      <c r="B25" s="7" t="s">
        <v>27057</v>
      </c>
      <c r="C25" s="3" t="s">
        <v>27058</v>
      </c>
      <c r="D25" s="3" t="s">
        <v>27059</v>
      </c>
      <c r="E25" s="5" t="str">
        <f>B25</f>
        <v>Picnicker</v>
      </c>
      <c r="F25" s="3" t="s">
        <v>27060</v>
      </c>
      <c r="G25" s="3" t="s">
        <v>27057</v>
      </c>
      <c r="H25" s="6" t="s">
        <v>27061</v>
      </c>
      <c r="I25" s="6" t="s">
        <v>27062</v>
      </c>
      <c r="J25" s="5" t="str">
        <f t="shared" si="11"/>
        <v>野餐女孩</v>
      </c>
    </row>
    <row r="26">
      <c r="A26" s="3" t="s">
        <v>27063</v>
      </c>
      <c r="B26" s="3" t="s">
        <v>27064</v>
      </c>
      <c r="C26" s="3" t="s">
        <v>27065</v>
      </c>
      <c r="D26" s="3" t="s">
        <v>27066</v>
      </c>
      <c r="E26" s="5" t="str">
        <f>D26</f>
        <v>Pokemaniac</v>
      </c>
      <c r="F26" s="3" t="s">
        <v>27067</v>
      </c>
      <c r="G26" s="3" t="s">
        <v>27068</v>
      </c>
      <c r="H26" s="6" t="s">
        <v>27069</v>
      </c>
      <c r="I26" s="6" t="s">
        <v>27070</v>
      </c>
      <c r="J26" s="5" t="str">
        <f>IFERROR(__xludf.DUMMYFUNCTION("GOOGLETRANSLATE(I26,""zh_HANT"",""zh_HANS"")"),"怪兽狂")</f>
        <v>怪兽狂</v>
      </c>
    </row>
    <row r="27">
      <c r="A27" s="3" t="s">
        <v>27071</v>
      </c>
      <c r="B27" s="3" t="s">
        <v>12816</v>
      </c>
      <c r="C27" s="3" t="s">
        <v>27072</v>
      </c>
      <c r="D27" s="3" t="s">
        <v>27073</v>
      </c>
      <c r="E27" s="3" t="s">
        <v>14730</v>
      </c>
      <c r="F27" s="3" t="s">
        <v>27074</v>
      </c>
      <c r="G27" s="3" t="s">
        <v>27075</v>
      </c>
      <c r="H27" s="3" t="s">
        <v>27076</v>
      </c>
      <c r="I27" s="3" t="s">
        <v>27077</v>
      </c>
      <c r="J27" s="5" t="str">
        <f>I27</f>
        <v>超能力者</v>
      </c>
    </row>
    <row r="28">
      <c r="A28" s="3" t="s">
        <v>27078</v>
      </c>
      <c r="B28" s="3" t="str">
        <f t="shared" ref="B28:D28" si="12">B27</f>
        <v>Psychic</v>
      </c>
      <c r="C28" s="5" t="str">
        <f t="shared" si="12"/>
        <v>サイキッカー</v>
      </c>
      <c r="D28" s="3" t="str">
        <f t="shared" si="12"/>
        <v>Kinésiste</v>
      </c>
      <c r="E28" s="3" t="str">
        <f>CONCATENATE(E27,"in")</f>
        <v>Seherin</v>
      </c>
      <c r="F28" s="3" t="s">
        <v>27074</v>
      </c>
      <c r="G28" s="3" t="str">
        <f t="shared" ref="G28:J28" si="13">G27</f>
        <v>Sensitivo</v>
      </c>
      <c r="H28" s="3" t="str">
        <f t="shared" si="13"/>
        <v>초능력자</v>
      </c>
      <c r="I28" s="3" t="str">
        <f t="shared" si="13"/>
        <v>超能力者</v>
      </c>
      <c r="J28" s="3" t="str">
        <f t="shared" si="13"/>
        <v>超能力者</v>
      </c>
    </row>
    <row r="29">
      <c r="A29" s="5" t="str">
        <f t="shared" ref="A29:A32" si="14">CONCATENATE("NAME_TC_", SUBSTITUTE(UPPER(B29), " ", ""))</f>
        <v>NAME_TC_RIVAL</v>
      </c>
      <c r="B29" s="3" t="s">
        <v>27079</v>
      </c>
      <c r="C29" s="3" t="s">
        <v>27080</v>
      </c>
      <c r="D29" s="5" t="str">
        <f>B29</f>
        <v>Rival</v>
      </c>
      <c r="E29" s="5" t="str">
        <f>G29</f>
        <v>Rivale </v>
      </c>
      <c r="F29" s="5" t="str">
        <f>B29</f>
        <v>Rival</v>
      </c>
      <c r="G29" s="3" t="s">
        <v>27081</v>
      </c>
      <c r="H29" s="6" t="s">
        <v>27082</v>
      </c>
      <c r="I29" s="6" t="s">
        <v>27083</v>
      </c>
      <c r="J29" s="5" t="str">
        <f>IFERROR(__xludf.DUMMYFUNCTION("GOOGLETRANSLATE(I29,""zh_HANT"",""zh_HANS"")"),"劲敌")</f>
        <v>劲敌</v>
      </c>
    </row>
    <row r="30">
      <c r="A30" s="5" t="str">
        <f t="shared" si="14"/>
        <v>NAME_TC_ROCKER</v>
      </c>
      <c r="B30" s="3" t="s">
        <v>27084</v>
      </c>
      <c r="C30" s="3" t="s">
        <v>27085</v>
      </c>
      <c r="D30" s="3" t="s">
        <v>27086</v>
      </c>
      <c r="E30" s="3" t="s">
        <v>27087</v>
      </c>
      <c r="F30" s="3" t="s">
        <v>27088</v>
      </c>
      <c r="G30" s="3" t="s">
        <v>27089</v>
      </c>
      <c r="H30" s="3" t="s">
        <v>27090</v>
      </c>
      <c r="I30" s="3" t="s">
        <v>27091</v>
      </c>
      <c r="J30" s="5" t="str">
        <f>IFERROR(__xludf.DUMMYFUNCTION("GOOGLETRANSLATE(I30,""zh_HANT"",""zh_HANS"")"),"电气摇滚团")</f>
        <v>电气摇滚团</v>
      </c>
    </row>
    <row r="31">
      <c r="A31" s="5" t="str">
        <f t="shared" si="14"/>
        <v>NAME_TC_ROUGHNECK</v>
      </c>
      <c r="B31" s="3" t="s">
        <v>27092</v>
      </c>
      <c r="C31" s="3" t="s">
        <v>27093</v>
      </c>
      <c r="D31" s="3" t="s">
        <v>27094</v>
      </c>
      <c r="E31" s="3" t="s">
        <v>27095</v>
      </c>
      <c r="F31" s="3" t="s">
        <v>27096</v>
      </c>
      <c r="G31" s="3" t="s">
        <v>27097</v>
      </c>
      <c r="H31" s="3" t="s">
        <v>27098</v>
      </c>
      <c r="I31" s="3" t="s">
        <v>27099</v>
      </c>
      <c r="J31" s="5" t="str">
        <f>IFERROR(__xludf.DUMMYFUNCTION("GOOGLETRANSLATE(I31,""zh_HANT"",""zh_HANS"")"),"光头男")</f>
        <v>光头男</v>
      </c>
    </row>
    <row r="32">
      <c r="A32" s="5" t="str">
        <f t="shared" si="14"/>
        <v>NAME_TC_SAILOR</v>
      </c>
      <c r="B32" s="3" t="s">
        <v>27100</v>
      </c>
      <c r="C32" s="3" t="s">
        <v>27101</v>
      </c>
      <c r="D32" s="3" t="s">
        <v>27102</v>
      </c>
      <c r="E32" s="3" t="s">
        <v>27103</v>
      </c>
      <c r="F32" s="3" t="s">
        <v>27104</v>
      </c>
      <c r="G32" s="3" t="s">
        <v>27105</v>
      </c>
      <c r="H32" s="3" t="s">
        <v>27106</v>
      </c>
      <c r="I32" s="3" t="s">
        <v>27107</v>
      </c>
      <c r="J32" s="5" t="str">
        <f>I32</f>
        <v>水手</v>
      </c>
    </row>
    <row r="33">
      <c r="A33" s="3" t="s">
        <v>27108</v>
      </c>
      <c r="B33" s="3" t="s">
        <v>27109</v>
      </c>
      <c r="C33" s="3" t="s">
        <v>27110</v>
      </c>
      <c r="D33" s="3" t="s">
        <v>27111</v>
      </c>
      <c r="E33" s="3" t="s">
        <v>27112</v>
      </c>
      <c r="F33" s="3" t="s">
        <v>27113</v>
      </c>
      <c r="G33" s="3" t="s">
        <v>27114</v>
      </c>
      <c r="H33" s="3" t="s">
        <v>27115</v>
      </c>
      <c r="I33" s="3" t="s">
        <v>27116</v>
      </c>
      <c r="J33" s="5" t="str">
        <f>IFERROR(__xludf.DUMMYFUNCTION("GOOGLETRANSLATE(I33,""zh_HANT"",""zh_HANS"")"),"研究员")</f>
        <v>研究员</v>
      </c>
    </row>
    <row r="34">
      <c r="A34" s="3" t="s">
        <v>27117</v>
      </c>
      <c r="B34" s="3" t="str">
        <f t="shared" ref="B34:D34" si="15">B33</f>
        <v>Scientist</v>
      </c>
      <c r="C34" s="3" t="str">
        <f t="shared" si="15"/>
        <v>けんきゅういん</v>
      </c>
      <c r="D34" s="3" t="str">
        <f t="shared" si="15"/>
        <v>Scientifique</v>
      </c>
      <c r="E34" s="3" t="str">
        <f>CONCATENATE(E33,"in")</f>
        <v>Forscherin</v>
      </c>
      <c r="F34" s="3" t="s">
        <v>27118</v>
      </c>
      <c r="G34" s="3" t="s">
        <v>27119</v>
      </c>
      <c r="H34" s="3" t="str">
        <f t="shared" ref="H34:J34" si="16">H33</f>
        <v>연구원</v>
      </c>
      <c r="I34" s="3" t="str">
        <f t="shared" si="16"/>
        <v>研究員</v>
      </c>
      <c r="J34" s="3" t="str">
        <f t="shared" si="16"/>
        <v>研究员</v>
      </c>
    </row>
    <row r="35">
      <c r="A35" s="5" t="str">
        <f>CONCATENATE("NAME_TC_", SUBSTITUTE(UPPER(B35), " ", ""))</f>
        <v>NAME_TC_SUPERNERD</v>
      </c>
      <c r="B35" s="3" t="s">
        <v>27120</v>
      </c>
      <c r="C35" s="3" t="s">
        <v>27121</v>
      </c>
      <c r="D35" s="3" t="s">
        <v>27122</v>
      </c>
      <c r="E35" s="3" t="s">
        <v>27123</v>
      </c>
      <c r="F35" s="3" t="s">
        <v>27124</v>
      </c>
      <c r="G35" s="3" t="s">
        <v>27125</v>
      </c>
      <c r="H35" s="3" t="s">
        <v>27126</v>
      </c>
      <c r="I35" s="3" t="s">
        <v>27127</v>
      </c>
      <c r="J35" s="5" t="str">
        <f>I35</f>
        <v>理科男</v>
      </c>
    </row>
    <row r="36">
      <c r="A36" s="3" t="s">
        <v>27128</v>
      </c>
      <c r="B36" s="3" t="s">
        <v>27129</v>
      </c>
      <c r="C36" s="3" t="s">
        <v>27130</v>
      </c>
      <c r="D36" s="3" t="s">
        <v>27131</v>
      </c>
      <c r="E36" s="3" t="s">
        <v>27132</v>
      </c>
      <c r="F36" s="3" t="s">
        <v>27133</v>
      </c>
      <c r="G36" s="3" t="s">
        <v>27134</v>
      </c>
      <c r="H36" s="3" t="s">
        <v>27135</v>
      </c>
      <c r="I36" s="3" t="s">
        <v>27136</v>
      </c>
      <c r="J36" s="5" t="str">
        <f>IFERROR(__xludf.DUMMYFUNCTION("GOOGLETRANSLATE(I36,""zh_HANT"",""zh_HANS"")"),"泳裤小伙子")</f>
        <v>泳裤小伙子</v>
      </c>
    </row>
    <row r="37">
      <c r="A37" s="3" t="s">
        <v>27137</v>
      </c>
      <c r="B37" s="3" t="str">
        <f>B36</f>
        <v>Swimmer</v>
      </c>
      <c r="C37" s="3" t="s">
        <v>27138</v>
      </c>
      <c r="D37" s="3" t="s">
        <v>27139</v>
      </c>
      <c r="E37" s="3" t="s">
        <v>27140</v>
      </c>
      <c r="F37" s="3" t="s">
        <v>27141</v>
      </c>
      <c r="G37" s="3" t="s">
        <v>27142</v>
      </c>
      <c r="H37" s="3" t="s">
        <v>27143</v>
      </c>
      <c r="I37" s="3" t="s">
        <v>27144</v>
      </c>
      <c r="J37" s="5" t="str">
        <f>I37</f>
        <v>比基尼姐姐</v>
      </c>
    </row>
    <row r="38">
      <c r="A38" s="5" t="str">
        <f t="shared" ref="A38:A41" si="17">CONCATENATE("NAME_TC_", SUBSTITUTE(UPPER(B38), " ", ""))</f>
        <v>NAME_TC_TAMER</v>
      </c>
      <c r="B38" s="3" t="s">
        <v>27145</v>
      </c>
      <c r="C38" s="3" t="s">
        <v>27146</v>
      </c>
      <c r="D38" s="3" t="s">
        <v>27147</v>
      </c>
      <c r="E38" s="5" t="str">
        <f>D38</f>
        <v>Dompteur</v>
      </c>
      <c r="F38" s="3" t="s">
        <v>27148</v>
      </c>
      <c r="G38" s="3" t="s">
        <v>27149</v>
      </c>
      <c r="H38" s="6" t="s">
        <v>27150</v>
      </c>
      <c r="I38" s="6" t="s">
        <v>27151</v>
      </c>
      <c r="J38" s="5" t="str">
        <f>IFERROR(__xludf.DUMMYFUNCTION("GOOGLETRANSLATE(I38,""zh_HANT"",""zh_HANS"")"),"驯兽师")</f>
        <v>驯兽师</v>
      </c>
    </row>
    <row r="39">
      <c r="A39" s="5" t="str">
        <f t="shared" si="17"/>
        <v>NAME_TC_YOUNGSTER</v>
      </c>
      <c r="B39" s="3" t="s">
        <v>27152</v>
      </c>
      <c r="C39" s="3" t="s">
        <v>27153</v>
      </c>
      <c r="D39" s="3" t="s">
        <v>27154</v>
      </c>
      <c r="E39" s="3" t="s">
        <v>27155</v>
      </c>
      <c r="F39" s="3" t="s">
        <v>27156</v>
      </c>
      <c r="G39" s="3" t="s">
        <v>27157</v>
      </c>
      <c r="H39" s="6" t="s">
        <v>27158</v>
      </c>
      <c r="I39" s="6" t="s">
        <v>27159</v>
      </c>
      <c r="J39" s="5" t="str">
        <f>IFERROR(__xludf.DUMMYFUNCTION("GOOGLETRANSLATE(I39,""zh_HANT"",""zh_HANS"")"),"短裤小子")</f>
        <v>短裤小子</v>
      </c>
    </row>
    <row r="40">
      <c r="A40" s="5" t="str">
        <f t="shared" si="17"/>
        <v>NAME_TC_BOARDER</v>
      </c>
      <c r="B40" s="3" t="s">
        <v>27160</v>
      </c>
      <c r="C40" s="3" t="s">
        <v>27161</v>
      </c>
      <c r="D40" s="3" t="s">
        <v>27162</v>
      </c>
      <c r="E40" s="3" t="s">
        <v>27163</v>
      </c>
      <c r="F40" s="3" t="s">
        <v>27164</v>
      </c>
      <c r="G40" s="5" t="str">
        <f>E40</f>
        <v>Snowboarder</v>
      </c>
      <c r="H40" s="6" t="s">
        <v>27165</v>
      </c>
      <c r="I40" s="5" t="str">
        <f>IFERROR(__xludf.DUMMYFUNCTION("GOOGLETRANSLATE(J40,""zh_HANS"",""zh_HANT"")"),"單板玩家")</f>
        <v>單板玩家</v>
      </c>
      <c r="J40" s="27" t="s">
        <v>27166</v>
      </c>
    </row>
    <row r="41">
      <c r="A41" s="5" t="str">
        <f t="shared" si="17"/>
        <v>NAME_TC_FIREBREATHER</v>
      </c>
      <c r="B41" s="3" t="s">
        <v>27167</v>
      </c>
      <c r="C41" s="3" t="s">
        <v>27168</v>
      </c>
      <c r="D41" s="3" t="s">
        <v>7917</v>
      </c>
      <c r="E41" s="3" t="s">
        <v>27169</v>
      </c>
      <c r="F41" s="3" t="s">
        <v>27170</v>
      </c>
      <c r="G41" s="3" t="s">
        <v>27171</v>
      </c>
      <c r="H41" s="3" t="s">
        <v>27172</v>
      </c>
      <c r="I41" s="5" t="str">
        <f>IFERROR(__xludf.DUMMYFUNCTION("GOOGLETRANSLATE(J41,""zh_HANS"",""zh_HANT"")"),"噴火者")</f>
        <v>噴火者</v>
      </c>
      <c r="J41" s="7" t="s">
        <v>27173</v>
      </c>
    </row>
    <row r="42">
      <c r="A42" s="3" t="s">
        <v>27174</v>
      </c>
      <c r="B42" s="3" t="s">
        <v>27175</v>
      </c>
      <c r="C42" s="3" t="s">
        <v>27176</v>
      </c>
      <c r="D42" s="3" t="s">
        <v>27177</v>
      </c>
      <c r="E42" s="3" t="s">
        <v>27178</v>
      </c>
      <c r="F42" s="3" t="s">
        <v>27179</v>
      </c>
      <c r="G42" s="3" t="s">
        <v>27180</v>
      </c>
      <c r="H42" s="3" t="s">
        <v>27181</v>
      </c>
      <c r="I42" s="3" t="s">
        <v>27182</v>
      </c>
      <c r="J42" s="5" t="str">
        <f t="shared" ref="J42:J45" si="20">I42</f>
        <v>吉他手</v>
      </c>
    </row>
    <row r="43">
      <c r="A43" s="3" t="s">
        <v>27183</v>
      </c>
      <c r="B43" s="3" t="str">
        <f t="shared" ref="B43:D43" si="18">B42</f>
        <v>Guitarist</v>
      </c>
      <c r="C43" s="3" t="str">
        <f t="shared" si="18"/>
        <v>ギタリスト</v>
      </c>
      <c r="D43" s="3" t="str">
        <f t="shared" si="18"/>
        <v>Guitariste</v>
      </c>
      <c r="E43" s="3" t="str">
        <f>CONCATENATE(E42,"in")</f>
        <v>Gitarristin</v>
      </c>
      <c r="F43" s="3" t="str">
        <f t="shared" ref="F43:H43" si="19">F42</f>
        <v>Guitarrista</v>
      </c>
      <c r="G43" s="3" t="str">
        <f t="shared" si="19"/>
        <v>Chitarrista</v>
      </c>
      <c r="H43" s="3" t="str">
        <f t="shared" si="19"/>
        <v>기타리스트</v>
      </c>
      <c r="I43" s="3" t="s">
        <v>27184</v>
      </c>
      <c r="J43" s="5" t="str">
        <f t="shared" si="20"/>
        <v>吉她手</v>
      </c>
    </row>
    <row r="44">
      <c r="A44" s="5" t="str">
        <f t="shared" ref="A44:A45" si="21">CONCATENATE("NAME_TC_", SUBSTITUTE(UPPER(B44), " ", ""))</f>
        <v>NAME_TC_KIMONOGIRL</v>
      </c>
      <c r="B44" s="3" t="s">
        <v>27185</v>
      </c>
      <c r="C44" s="3" t="s">
        <v>27186</v>
      </c>
      <c r="D44" s="3" t="s">
        <v>27187</v>
      </c>
      <c r="E44" s="3" t="s">
        <v>27188</v>
      </c>
      <c r="F44" s="3" t="s">
        <v>27189</v>
      </c>
      <c r="G44" s="5" t="str">
        <f>B44</f>
        <v>Kimono Girl</v>
      </c>
      <c r="H44" s="3" t="s">
        <v>27190</v>
      </c>
      <c r="I44" s="3" t="s">
        <v>27191</v>
      </c>
      <c r="J44" s="5" t="str">
        <f t="shared" si="20"/>
        <v>和服女孩</v>
      </c>
    </row>
    <row r="45">
      <c r="A45" s="5" t="str">
        <f t="shared" si="21"/>
        <v>NAME_TC_MEDIUM</v>
      </c>
      <c r="B45" s="3" t="s">
        <v>27192</v>
      </c>
      <c r="C45" s="3" t="s">
        <v>27193</v>
      </c>
      <c r="D45" s="3" t="s">
        <v>27074</v>
      </c>
      <c r="E45" s="5" t="str">
        <f t="shared" ref="E45:E46" si="22">B45</f>
        <v>Medium</v>
      </c>
      <c r="F45" s="3" t="s">
        <v>27194</v>
      </c>
      <c r="G45" s="3" t="s">
        <v>27195</v>
      </c>
      <c r="H45" s="3" t="s">
        <v>27196</v>
      </c>
      <c r="I45" s="3" t="s">
        <v>27197</v>
      </c>
      <c r="J45" s="5" t="str">
        <f t="shared" si="20"/>
        <v>神婆</v>
      </c>
    </row>
    <row r="46">
      <c r="A46" s="28" t="s">
        <v>27198</v>
      </c>
      <c r="B46" s="3" t="s">
        <v>27199</v>
      </c>
      <c r="C46" s="3" t="s">
        <v>27200</v>
      </c>
      <c r="D46" s="3" t="str">
        <f>B46</f>
        <v>Pokefan</v>
      </c>
      <c r="E46" s="5" t="str">
        <f t="shared" si="22"/>
        <v>Pokefan</v>
      </c>
      <c r="F46" s="3" t="s">
        <v>27199</v>
      </c>
      <c r="G46" s="3" t="s">
        <v>27199</v>
      </c>
      <c r="H46" s="3" t="s">
        <v>27201</v>
      </c>
      <c r="I46" s="3" t="s">
        <v>27202</v>
      </c>
      <c r="J46" s="5" t="str">
        <f>IFERROR(__xludf.DUMMYFUNCTION("GOOGLETRANSLATE(I46,""zh_HANT"",""zh_HANS"")"),"发烧友俱乐部")</f>
        <v>发烧友俱乐部</v>
      </c>
    </row>
    <row r="47">
      <c r="A47" s="28" t="s">
        <v>27203</v>
      </c>
      <c r="B47" s="3" t="s">
        <v>27204</v>
      </c>
      <c r="C47" s="3" t="s">
        <v>27205</v>
      </c>
      <c r="D47" s="6" t="s">
        <v>27206</v>
      </c>
      <c r="E47" s="6" t="s">
        <v>27207</v>
      </c>
      <c r="F47" s="4" t="s">
        <v>27208</v>
      </c>
      <c r="G47" s="6" t="s">
        <v>27209</v>
      </c>
      <c r="H47" s="3" t="s">
        <v>27210</v>
      </c>
      <c r="I47" s="3" t="s">
        <v>27211</v>
      </c>
      <c r="J47" s="5" t="str">
        <f>IFERROR(__xludf.DUMMYFUNCTION("GOOGLETRANSLATE(I47,""zh_HANT"",""zh_HANS"")"),"宝可梦训练家")</f>
        <v>宝可梦训练家</v>
      </c>
    </row>
    <row r="48">
      <c r="A48" s="28" t="s">
        <v>27212</v>
      </c>
      <c r="B48" s="3" t="str">
        <f t="shared" ref="B48:E48" si="23">B47</f>
        <v>Pokemon Trainer</v>
      </c>
      <c r="C48" s="3" t="str">
        <f t="shared" si="23"/>
        <v>ポケモントレーナー</v>
      </c>
      <c r="D48" s="3" t="str">
        <f t="shared" si="23"/>
        <v>Dresseur de Pokemon</v>
      </c>
      <c r="E48" s="3" t="str">
        <f t="shared" si="23"/>
        <v>Pokemon-Trainer</v>
      </c>
      <c r="F48" s="4" t="s">
        <v>27213</v>
      </c>
      <c r="G48" s="4" t="s">
        <v>27214</v>
      </c>
      <c r="H48" s="3" t="str">
        <f t="shared" ref="H48:J48" si="24">H47</f>
        <v>포켓몬 트레이너</v>
      </c>
      <c r="I48" s="3" t="str">
        <f t="shared" si="24"/>
        <v>寶可夢訓練家</v>
      </c>
      <c r="J48" s="3" t="str">
        <f t="shared" si="24"/>
        <v>宝可梦训练家</v>
      </c>
    </row>
    <row r="49">
      <c r="A49" s="5" t="str">
        <f t="shared" ref="A49:A51" si="25">CONCATENATE("NAME_TC_", SUBSTITUTE(UPPER(B49), " ", ""))</f>
        <v>NAME_TC_POLICEOFFICER</v>
      </c>
      <c r="B49" s="3" t="s">
        <v>27215</v>
      </c>
      <c r="C49" s="3" t="s">
        <v>27216</v>
      </c>
      <c r="D49" s="3" t="s">
        <v>27217</v>
      </c>
      <c r="E49" s="3" t="s">
        <v>27218</v>
      </c>
      <c r="F49" s="3" t="s">
        <v>27219</v>
      </c>
      <c r="G49" s="3" t="s">
        <v>27220</v>
      </c>
      <c r="H49" s="3" t="s">
        <v>27221</v>
      </c>
      <c r="I49" s="3" t="s">
        <v>27222</v>
      </c>
      <c r="J49" s="5" t="str">
        <f>I49</f>
        <v>警察先生</v>
      </c>
    </row>
    <row r="50">
      <c r="A50" s="5" t="str">
        <f t="shared" si="25"/>
        <v>NAME_TC_SAGE</v>
      </c>
      <c r="B50" s="3" t="s">
        <v>11541</v>
      </c>
      <c r="C50" s="3" t="s">
        <v>27223</v>
      </c>
      <c r="D50" s="5" t="str">
        <f>B50</f>
        <v>Sage</v>
      </c>
      <c r="E50" s="3" t="s">
        <v>27224</v>
      </c>
      <c r="F50" s="3" t="s">
        <v>27225</v>
      </c>
      <c r="G50" s="3" t="s">
        <v>11545</v>
      </c>
      <c r="H50" s="3" t="s">
        <v>27226</v>
      </c>
      <c r="I50" s="5" t="str">
        <f>IFERROR(__xludf.DUMMYFUNCTION("GOOGLETRANSLATE(J50,""zh_HANS"",""zh_HANT"")"),"和尚")</f>
        <v>和尚</v>
      </c>
      <c r="J50" s="7" t="s">
        <v>27227</v>
      </c>
    </row>
    <row r="51">
      <c r="A51" s="5" t="str">
        <f t="shared" si="25"/>
        <v>NAME_TC_SCHOOLBOY</v>
      </c>
      <c r="B51" s="3" t="s">
        <v>27228</v>
      </c>
      <c r="C51" s="3" t="s">
        <v>27229</v>
      </c>
      <c r="D51" s="3" t="s">
        <v>27230</v>
      </c>
      <c r="E51" s="3" t="s">
        <v>27231</v>
      </c>
      <c r="F51" s="3" t="s">
        <v>27232</v>
      </c>
      <c r="G51" s="3" t="s">
        <v>27233</v>
      </c>
      <c r="H51" s="3" t="s">
        <v>27234</v>
      </c>
      <c r="I51" s="3" t="s">
        <v>27235</v>
      </c>
      <c r="J51" s="5" t="str">
        <f>IFERROR(__xludf.DUMMYFUNCTION("GOOGLETRANSLATE(I51,""zh_HANT"",""zh_HANS"")"),"男学生")</f>
        <v>男学生</v>
      </c>
    </row>
    <row r="52">
      <c r="A52" s="3" t="s">
        <v>27236</v>
      </c>
      <c r="B52" s="3" t="s">
        <v>27237</v>
      </c>
      <c r="C52" s="3" t="s">
        <v>27238</v>
      </c>
      <c r="D52" s="3" t="s">
        <v>27239</v>
      </c>
      <c r="E52" s="3" t="s">
        <v>27240</v>
      </c>
      <c r="F52" s="3" t="s">
        <v>27241</v>
      </c>
      <c r="G52" s="3" t="s">
        <v>27242</v>
      </c>
      <c r="H52" s="6" t="s">
        <v>27243</v>
      </c>
      <c r="I52" s="6" t="s">
        <v>27244</v>
      </c>
      <c r="J52" s="5" t="str">
        <f>I52</f>
        <v>滑雪者</v>
      </c>
    </row>
    <row r="53">
      <c r="A53" s="3" t="s">
        <v>27245</v>
      </c>
      <c r="B53" s="3" t="str">
        <f t="shared" ref="B53:C53" si="26">B52</f>
        <v>Skier</v>
      </c>
      <c r="C53" s="3" t="str">
        <f t="shared" si="26"/>
        <v>スキーヤー</v>
      </c>
      <c r="D53" s="3" t="s">
        <v>27246</v>
      </c>
      <c r="E53" s="5" t="str">
        <f>E52</f>
        <v>Skifahrer</v>
      </c>
      <c r="F53" s="3" t="s">
        <v>27247</v>
      </c>
      <c r="G53" s="3" t="s">
        <v>27248</v>
      </c>
      <c r="H53" s="5" t="str">
        <f t="shared" ref="H53:J53" si="27">H52</f>
        <v>스키선수</v>
      </c>
      <c r="I53" s="5" t="str">
        <f t="shared" si="27"/>
        <v>滑雪者</v>
      </c>
      <c r="J53" s="5" t="str">
        <f t="shared" si="27"/>
        <v>滑雪者</v>
      </c>
    </row>
    <row r="54">
      <c r="A54" s="5" t="str">
        <f t="shared" ref="A54:A61" si="28">CONCATENATE("NAME_TC_", SUBSTITUTE(UPPER(B54), " ", ""))</f>
        <v>NAME_TC_TEACHER</v>
      </c>
      <c r="B54" s="3" t="s">
        <v>27249</v>
      </c>
      <c r="C54" s="3" t="s">
        <v>27250</v>
      </c>
      <c r="D54" s="3" t="s">
        <v>27251</v>
      </c>
      <c r="E54" s="3" t="s">
        <v>27252</v>
      </c>
      <c r="F54" s="3" t="s">
        <v>27253</v>
      </c>
      <c r="G54" s="4" t="s">
        <v>27254</v>
      </c>
      <c r="H54" s="3" t="s">
        <v>27255</v>
      </c>
      <c r="I54" s="3" t="s">
        <v>27256</v>
      </c>
      <c r="J54" s="5" t="str">
        <f>IFERROR(__xludf.DUMMYFUNCTION("GOOGLETRANSLATE(I54,""zh_HANT"",""zh_HANS"")"),"老师")</f>
        <v>老师</v>
      </c>
    </row>
    <row r="55">
      <c r="A55" s="5" t="str">
        <f t="shared" si="28"/>
        <v>NAME_TC_TWINS</v>
      </c>
      <c r="B55" s="3" t="s">
        <v>27257</v>
      </c>
      <c r="C55" s="3" t="s">
        <v>27258</v>
      </c>
      <c r="D55" s="3" t="s">
        <v>27259</v>
      </c>
      <c r="E55" s="3" t="s">
        <v>27260</v>
      </c>
      <c r="F55" s="3" t="s">
        <v>27261</v>
      </c>
      <c r="G55" s="3" t="s">
        <v>27262</v>
      </c>
      <c r="H55" s="3" t="s">
        <v>27263</v>
      </c>
      <c r="I55" s="3" t="s">
        <v>27264</v>
      </c>
      <c r="J55" s="5" t="str">
        <f>IFERROR(__xludf.DUMMYFUNCTION("GOOGLETRANSLATE(I55,""zh_HANT"",""zh_HANS"")"),"双胞胎")</f>
        <v>双胞胎</v>
      </c>
    </row>
    <row r="56">
      <c r="A56" s="5" t="str">
        <f t="shared" si="28"/>
        <v>NAME_TC_MYSTERYMAN</v>
      </c>
      <c r="B56" s="3" t="s">
        <v>27265</v>
      </c>
      <c r="C56" s="3" t="s">
        <v>27266</v>
      </c>
      <c r="D56" s="3" t="s">
        <v>27267</v>
      </c>
      <c r="E56" s="3" t="s">
        <v>27268</v>
      </c>
      <c r="F56" s="3" t="s">
        <v>27269</v>
      </c>
      <c r="G56" s="3" t="s">
        <v>26911</v>
      </c>
      <c r="H56" s="3" t="s">
        <v>27270</v>
      </c>
      <c r="I56" s="5" t="str">
        <f>IFERROR(__xludf.DUMMYFUNCTION("GOOGLETRANSLATE(J56,""zh_HANS"",""zh_HANT"")"),"謎之少年")</f>
        <v>謎之少年</v>
      </c>
      <c r="J56" s="7" t="s">
        <v>27271</v>
      </c>
    </row>
    <row r="57">
      <c r="A57" s="5" t="str">
        <f t="shared" si="28"/>
        <v>NAME_TC_AROMALADY</v>
      </c>
      <c r="B57" s="3" t="s">
        <v>27272</v>
      </c>
      <c r="C57" s="3" t="s">
        <v>27273</v>
      </c>
      <c r="D57" s="3" t="s">
        <v>27274</v>
      </c>
      <c r="E57" s="3" t="s">
        <v>27275</v>
      </c>
      <c r="F57" s="3" t="s">
        <v>27276</v>
      </c>
      <c r="G57" s="3" t="s">
        <v>27277</v>
      </c>
      <c r="H57" s="6" t="s">
        <v>27278</v>
      </c>
      <c r="I57" s="6" t="s">
        <v>27279</v>
      </c>
      <c r="J57" s="5" t="str">
        <f>I57</f>
        <v>香氛姐姐</v>
      </c>
    </row>
    <row r="58">
      <c r="A58" s="5" t="str">
        <f t="shared" si="28"/>
        <v>NAME_TC_BATTLEGIRL</v>
      </c>
      <c r="B58" s="3" t="s">
        <v>27280</v>
      </c>
      <c r="C58" s="3" t="s">
        <v>27281</v>
      </c>
      <c r="D58" s="3" t="s">
        <v>27282</v>
      </c>
      <c r="E58" s="3" t="s">
        <v>27283</v>
      </c>
      <c r="F58" s="3" t="s">
        <v>27284</v>
      </c>
      <c r="G58" s="3" t="s">
        <v>27285</v>
      </c>
      <c r="H58" s="3" t="s">
        <v>27286</v>
      </c>
      <c r="I58" s="3" t="s">
        <v>27287</v>
      </c>
      <c r="J58" s="5" t="str">
        <f>IFERROR(__xludf.DUMMYFUNCTION("GOOGLETRANSLATE(I58,""zh_HANT"",""zh_HANS"")"),"对战少女")</f>
        <v>对战少女</v>
      </c>
    </row>
    <row r="59">
      <c r="A59" s="5" t="str">
        <f t="shared" si="28"/>
        <v>NAME_TC_BUGMANIAC</v>
      </c>
      <c r="B59" s="3" t="s">
        <v>27288</v>
      </c>
      <c r="C59" s="3" t="s">
        <v>27289</v>
      </c>
      <c r="D59" s="3" t="s">
        <v>27290</v>
      </c>
      <c r="E59" s="3" t="s">
        <v>27291</v>
      </c>
      <c r="F59" s="3" t="s">
        <v>27292</v>
      </c>
      <c r="G59" s="3" t="s">
        <v>27293</v>
      </c>
      <c r="H59" s="3" t="s">
        <v>27294</v>
      </c>
      <c r="I59" s="3" t="s">
        <v>27295</v>
      </c>
      <c r="J59" s="5" t="str">
        <f>IFERROR(__xludf.DUMMYFUNCTION("GOOGLETRANSLATE(I59,""zh_HANT"",""zh_HANS"")"),"昆虫狂")</f>
        <v>昆虫狂</v>
      </c>
    </row>
    <row r="60">
      <c r="A60" s="5" t="str">
        <f t="shared" si="28"/>
        <v>NAME_TC_COLLECTOR</v>
      </c>
      <c r="B60" s="3" t="s">
        <v>27296</v>
      </c>
      <c r="C60" s="3" t="s">
        <v>27297</v>
      </c>
      <c r="D60" s="3" t="s">
        <v>27298</v>
      </c>
      <c r="E60" s="3" t="s">
        <v>27299</v>
      </c>
      <c r="F60" s="3" t="s">
        <v>27300</v>
      </c>
      <c r="G60" s="3" t="s">
        <v>27301</v>
      </c>
      <c r="H60" s="3" t="s">
        <v>27302</v>
      </c>
      <c r="I60" s="3" t="s">
        <v>27303</v>
      </c>
      <c r="J60" s="5" t="str">
        <f>IFERROR(__xludf.DUMMYFUNCTION("GOOGLETRANSLATE(I60,""zh_HANT"",""zh_HANS"")"),"宝可梦收藏家")</f>
        <v>宝可梦收藏家</v>
      </c>
    </row>
    <row r="61">
      <c r="A61" s="5" t="str">
        <f t="shared" si="28"/>
        <v>NAME_TC_DRAGONTAMER</v>
      </c>
      <c r="B61" s="3" t="s">
        <v>27304</v>
      </c>
      <c r="C61" s="3" t="s">
        <v>27305</v>
      </c>
      <c r="D61" s="3" t="s">
        <v>27306</v>
      </c>
      <c r="E61" s="3" t="s">
        <v>27307</v>
      </c>
      <c r="F61" s="3" t="s">
        <v>27308</v>
      </c>
      <c r="G61" s="3" t="s">
        <v>27309</v>
      </c>
      <c r="H61" s="3" t="s">
        <v>27310</v>
      </c>
      <c r="I61" s="3" t="s">
        <v>27311</v>
      </c>
      <c r="J61" s="5" t="str">
        <f>IFERROR(__xludf.DUMMYFUNCTION("GOOGLETRANSLATE(I61,""zh_HANT"",""zh_HANS"")"),"驯龙师")</f>
        <v>驯龙师</v>
      </c>
    </row>
    <row r="62">
      <c r="A62" s="3" t="s">
        <v>27312</v>
      </c>
      <c r="B62" s="3" t="s">
        <v>27313</v>
      </c>
      <c r="C62" s="3" t="s">
        <v>27314</v>
      </c>
      <c r="D62" s="5" t="str">
        <f>B62</f>
        <v>Expert</v>
      </c>
      <c r="E62" s="5" t="str">
        <f>D63</f>
        <v>Experte</v>
      </c>
      <c r="F62" s="3" t="s">
        <v>27315</v>
      </c>
      <c r="G62" s="3" t="s">
        <v>27316</v>
      </c>
      <c r="H62" s="3" t="s">
        <v>27317</v>
      </c>
      <c r="I62" s="3" t="s">
        <v>27318</v>
      </c>
      <c r="J62" s="5" t="str">
        <f>I62</f>
        <v>達人</v>
      </c>
    </row>
    <row r="63">
      <c r="A63" s="3" t="s">
        <v>27319</v>
      </c>
      <c r="B63" s="3" t="str">
        <f t="shared" ref="B63:C63" si="29">B62</f>
        <v>Expert</v>
      </c>
      <c r="C63" s="3" t="str">
        <f t="shared" si="29"/>
        <v>たつじん</v>
      </c>
      <c r="D63" s="3" t="str">
        <f>CONCATENATE(D62,"e")</f>
        <v>Experte</v>
      </c>
      <c r="E63" s="5" t="str">
        <f>CONCATENATE(D62,"in")</f>
        <v>Expertin</v>
      </c>
      <c r="F63" s="3" t="s">
        <v>27315</v>
      </c>
      <c r="G63" s="5" t="str">
        <f t="shared" ref="G63:J63" si="30">G62</f>
        <v>Specialista</v>
      </c>
      <c r="H63" s="5" t="str">
        <f t="shared" si="30"/>
        <v>달인</v>
      </c>
      <c r="I63" s="5" t="str">
        <f t="shared" si="30"/>
        <v>達人</v>
      </c>
      <c r="J63" s="5" t="str">
        <f t="shared" si="30"/>
        <v>達人</v>
      </c>
    </row>
    <row r="64">
      <c r="A64" s="5" t="str">
        <f t="shared" ref="A64:A70" si="31">CONCATENATE("NAME_TC_", SUBSTITUTE(UPPER(B64), " ", ""))</f>
        <v>NAME_TC_HEXMANIAC</v>
      </c>
      <c r="B64" s="3" t="s">
        <v>27320</v>
      </c>
      <c r="C64" s="3" t="s">
        <v>27321</v>
      </c>
      <c r="D64" s="3" t="s">
        <v>27322</v>
      </c>
      <c r="E64" s="3" t="s">
        <v>27323</v>
      </c>
      <c r="F64" s="3" t="s">
        <v>27324</v>
      </c>
      <c r="G64" s="3" t="s">
        <v>27325</v>
      </c>
      <c r="H64" s="3" t="s">
        <v>27326</v>
      </c>
      <c r="I64" s="3" t="s">
        <v>27327</v>
      </c>
      <c r="J64" s="5" t="str">
        <f>IFERROR(__xludf.DUMMYFUNCTION("GOOGLETRANSLATE(I64,""zh_HANT"",""zh_HANS"")"),"灵异迷")</f>
        <v>灵异迷</v>
      </c>
    </row>
    <row r="65">
      <c r="A65" s="5" t="str">
        <f t="shared" si="31"/>
        <v>NAME_TC_INTERVIEWERS</v>
      </c>
      <c r="B65" s="3" t="s">
        <v>27328</v>
      </c>
      <c r="C65" s="3" t="s">
        <v>27329</v>
      </c>
      <c r="D65" s="3" t="s">
        <v>27330</v>
      </c>
      <c r="E65" s="3" t="s">
        <v>27331</v>
      </c>
      <c r="F65" s="3" t="s">
        <v>27332</v>
      </c>
      <c r="G65" s="3" t="s">
        <v>27333</v>
      </c>
      <c r="H65" s="3" t="s">
        <v>27334</v>
      </c>
      <c r="I65" s="3" t="s">
        <v>27335</v>
      </c>
      <c r="J65" s="5" t="str">
        <f>IFERROR(__xludf.DUMMYFUNCTION("GOOGLETRANSLATE(I65,""zh_HANT"",""zh_HANS"")"),"采访者")</f>
        <v>采访者</v>
      </c>
    </row>
    <row r="66">
      <c r="A66" s="5" t="str">
        <f t="shared" si="31"/>
        <v>NAME_TC_KINDLER</v>
      </c>
      <c r="B66" s="3" t="s">
        <v>27336</v>
      </c>
      <c r="C66" s="3" t="s">
        <v>27337</v>
      </c>
      <c r="D66" s="3" t="s">
        <v>27338</v>
      </c>
      <c r="E66" s="3" t="s">
        <v>27339</v>
      </c>
      <c r="F66" s="3" t="s">
        <v>27340</v>
      </c>
      <c r="G66" s="3" t="s">
        <v>27341</v>
      </c>
      <c r="H66" s="3" t="s">
        <v>27342</v>
      </c>
      <c r="I66" s="3" t="s">
        <v>27343</v>
      </c>
      <c r="J66" s="5" t="str">
        <f>IFERROR(__xludf.DUMMYFUNCTION("GOOGLETRANSLATE(I66,""zh_HANT"",""zh_HANS"")"),"营火专家")</f>
        <v>营火专家</v>
      </c>
    </row>
    <row r="67">
      <c r="A67" s="5" t="str">
        <f t="shared" si="31"/>
        <v>NAME_TC_LADY</v>
      </c>
      <c r="B67" s="3" t="s">
        <v>27344</v>
      </c>
      <c r="C67" s="3" t="s">
        <v>27345</v>
      </c>
      <c r="D67" s="3" t="s">
        <v>27346</v>
      </c>
      <c r="E67" s="5" t="str">
        <f>B67</f>
        <v>Lady</v>
      </c>
      <c r="F67" s="3" t="s">
        <v>27347</v>
      </c>
      <c r="G67" s="5" t="str">
        <f t="shared" ref="G67:G68" si="32">B67</f>
        <v>Lady</v>
      </c>
      <c r="H67" s="3" t="s">
        <v>27348</v>
      </c>
      <c r="I67" s="3" t="s">
        <v>27349</v>
      </c>
      <c r="J67" s="5" t="str">
        <f t="shared" ref="J67:J69" si="33">I67</f>
        <v>千金小姐</v>
      </c>
    </row>
    <row r="68">
      <c r="A68" s="5" t="str">
        <f t="shared" si="31"/>
        <v>NAME_TC_NINJABOY</v>
      </c>
      <c r="B68" s="3" t="s">
        <v>27350</v>
      </c>
      <c r="C68" s="3" t="s">
        <v>27351</v>
      </c>
      <c r="D68" s="3" t="s">
        <v>27352</v>
      </c>
      <c r="E68" s="3" t="s">
        <v>27353</v>
      </c>
      <c r="F68" s="3" t="s">
        <v>27354</v>
      </c>
      <c r="G68" s="5" t="str">
        <f t="shared" si="32"/>
        <v>Ninja Boy</v>
      </c>
      <c r="H68" s="3" t="s">
        <v>27355</v>
      </c>
      <c r="I68" s="3" t="s">
        <v>27356</v>
      </c>
      <c r="J68" s="5" t="str">
        <f t="shared" si="33"/>
        <v>忍者小子</v>
      </c>
    </row>
    <row r="69">
      <c r="A69" s="5" t="str">
        <f t="shared" si="31"/>
        <v>NAME_TC_OLDCOUPLE</v>
      </c>
      <c r="B69" s="3" t="s">
        <v>27357</v>
      </c>
      <c r="C69" s="3" t="s">
        <v>27358</v>
      </c>
      <c r="D69" s="3" t="s">
        <v>27359</v>
      </c>
      <c r="E69" s="3" t="s">
        <v>27360</v>
      </c>
      <c r="F69" s="3" t="s">
        <v>27361</v>
      </c>
      <c r="G69" s="3" t="s">
        <v>27362</v>
      </c>
      <c r="H69" s="3" t="s">
        <v>27363</v>
      </c>
      <c r="I69" s="3" t="s">
        <v>27364</v>
      </c>
      <c r="J69" s="5" t="str">
        <f t="shared" si="33"/>
        <v>金婚夫妻</v>
      </c>
    </row>
    <row r="70">
      <c r="A70" s="5" t="str">
        <f t="shared" si="31"/>
        <v>NAME_TC_PARASOLLADY</v>
      </c>
      <c r="B70" s="3" t="s">
        <v>27365</v>
      </c>
      <c r="C70" s="3" t="s">
        <v>27366</v>
      </c>
      <c r="D70" s="3" t="s">
        <v>27367</v>
      </c>
      <c r="E70" s="3" t="s">
        <v>27368</v>
      </c>
      <c r="F70" s="3" t="s">
        <v>27369</v>
      </c>
      <c r="G70" s="3" t="s">
        <v>27370</v>
      </c>
      <c r="H70" s="3" t="s">
        <v>27371</v>
      </c>
      <c r="I70" s="3" t="s">
        <v>27372</v>
      </c>
      <c r="J70" s="5" t="str">
        <f>IFERROR(__xludf.DUMMYFUNCTION("GOOGLETRANSLATE(I70,""zh_HANT"",""zh_HANS"")"),"阳伞姐姐")</f>
        <v>阳伞姐姐</v>
      </c>
    </row>
    <row r="71">
      <c r="A71" s="3" t="s">
        <v>27373</v>
      </c>
      <c r="B71" s="3" t="s">
        <v>27374</v>
      </c>
      <c r="C71" s="3" t="s">
        <v>27375</v>
      </c>
      <c r="D71" s="3" t="s">
        <v>27376</v>
      </c>
      <c r="E71" s="3" t="s">
        <v>27377</v>
      </c>
      <c r="F71" s="3" t="s">
        <v>27378</v>
      </c>
      <c r="G71" s="3" t="s">
        <v>27379</v>
      </c>
      <c r="H71" s="3" t="s">
        <v>27380</v>
      </c>
      <c r="I71" s="3" t="s">
        <v>27381</v>
      </c>
      <c r="J71" s="5" t="str">
        <f>IFERROR(__xludf.DUMMYFUNCTION("GOOGLETRANSLATE(I71,""zh_HANT"",""zh_HANS"")"),"宝可梦培育家")</f>
        <v>宝可梦培育家</v>
      </c>
    </row>
    <row r="72">
      <c r="A72" s="3" t="s">
        <v>27382</v>
      </c>
      <c r="B72" s="3" t="str">
        <f t="shared" ref="B72:C72" si="34">B71</f>
        <v>Pokemon Breeder</v>
      </c>
      <c r="C72" s="3" t="str">
        <f t="shared" si="34"/>
        <v>ポケモンブリーダー</v>
      </c>
      <c r="D72" s="3" t="s">
        <v>27383</v>
      </c>
      <c r="E72" s="5" t="str">
        <f>CONCATENATE(E71,"in")</f>
        <v>Pokemon-Züchterin</v>
      </c>
      <c r="F72" s="3" t="s">
        <v>27378</v>
      </c>
      <c r="G72" s="5" t="str">
        <f t="shared" ref="G72:J72" si="35">G71</f>
        <v>AllevaPokemon</v>
      </c>
      <c r="H72" s="5" t="str">
        <f t="shared" si="35"/>
        <v>포켓몬 브리더</v>
      </c>
      <c r="I72" s="5" t="str">
        <f t="shared" si="35"/>
        <v>寶可夢培育家</v>
      </c>
      <c r="J72" s="5" t="str">
        <f t="shared" si="35"/>
        <v>宝可梦培育家</v>
      </c>
    </row>
    <row r="73">
      <c r="A73" s="3" t="s">
        <v>27384</v>
      </c>
      <c r="B73" s="3" t="s">
        <v>27385</v>
      </c>
      <c r="C73" s="3" t="s">
        <v>27386</v>
      </c>
      <c r="D73" s="5" t="str">
        <f>B73</f>
        <v>Pokemon Ranger</v>
      </c>
      <c r="E73" s="3" t="s">
        <v>27387</v>
      </c>
      <c r="F73" s="3" t="s">
        <v>27385</v>
      </c>
      <c r="G73" s="5" t="str">
        <f>B73</f>
        <v>Pokemon Ranger</v>
      </c>
      <c r="H73" s="3" t="s">
        <v>27388</v>
      </c>
      <c r="I73" s="3" t="s">
        <v>27389</v>
      </c>
      <c r="J73" s="5" t="str">
        <f>IFERROR(__xludf.DUMMYFUNCTION("GOOGLETRANSLATE(I73,""zh_HANT"",""zh_HANS"")"),"宝可梦巡护员")</f>
        <v>宝可梦巡护员</v>
      </c>
    </row>
    <row r="74">
      <c r="A74" s="5" t="str">
        <f t="shared" ref="A74:A78" si="36">CONCATENATE("NAME_TC_", SUBSTITUTE(UPPER(B74), " ", ""))</f>
        <v>NAME_TC_RICHBOY</v>
      </c>
      <c r="B74" s="3" t="s">
        <v>27390</v>
      </c>
      <c r="C74" s="3" t="s">
        <v>27391</v>
      </c>
      <c r="D74" s="3" t="s">
        <v>27392</v>
      </c>
      <c r="E74" s="3" t="s">
        <v>27393</v>
      </c>
      <c r="F74" s="3" t="s">
        <v>27394</v>
      </c>
      <c r="G74" s="3" t="s">
        <v>27395</v>
      </c>
      <c r="H74" s="3" t="s">
        <v>27396</v>
      </c>
      <c r="I74" s="3" t="s">
        <v>27397</v>
      </c>
      <c r="J74" s="5" t="str">
        <f>IFERROR(__xludf.DUMMYFUNCTION("GOOGLETRANSLATE(I74,""zh_HANT"",""zh_HANS"")"),"富家少爷")</f>
        <v>富家少爷</v>
      </c>
    </row>
    <row r="75">
      <c r="A75" s="5" t="str">
        <f t="shared" si="36"/>
        <v>NAME_TC_RUINMANIAC</v>
      </c>
      <c r="B75" s="3" t="s">
        <v>27398</v>
      </c>
      <c r="C75" s="3" t="s">
        <v>27399</v>
      </c>
      <c r="D75" s="3" t="s">
        <v>27400</v>
      </c>
      <c r="E75" s="3" t="s">
        <v>27401</v>
      </c>
      <c r="F75" s="3" t="s">
        <v>27402</v>
      </c>
      <c r="G75" s="3" t="s">
        <v>27403</v>
      </c>
      <c r="H75" s="3" t="s">
        <v>27404</v>
      </c>
      <c r="I75" s="3" t="s">
        <v>27405</v>
      </c>
      <c r="J75" s="5" t="str">
        <f>IFERROR(__xludf.DUMMYFUNCTION("GOOGLETRANSLATE(I75,""zh_HANT"",""zh_HANS"")"),"遗迹迷")</f>
        <v>遗迹迷</v>
      </c>
    </row>
    <row r="76">
      <c r="A76" s="5" t="str">
        <f t="shared" si="36"/>
        <v>NAME_TC_SIS&amp;BRO</v>
      </c>
      <c r="B76" s="3" t="s">
        <v>27406</v>
      </c>
      <c r="C76" s="3" t="s">
        <v>27407</v>
      </c>
      <c r="D76" s="3" t="s">
        <v>27408</v>
      </c>
      <c r="E76" s="3" t="s">
        <v>27409</v>
      </c>
      <c r="F76" s="3" t="s">
        <v>27410</v>
      </c>
      <c r="G76" s="3" t="s">
        <v>27411</v>
      </c>
      <c r="H76" s="6" t="s">
        <v>27412</v>
      </c>
      <c r="I76" s="6" t="s">
        <v>27413</v>
      </c>
      <c r="J76" s="5" t="str">
        <f>I76</f>
        <v>海上姐弟</v>
      </c>
    </row>
    <row r="77">
      <c r="A77" s="5" t="str">
        <f t="shared" si="36"/>
        <v>NAME_TC_TEAMMATES</v>
      </c>
      <c r="B77" s="3" t="s">
        <v>27414</v>
      </c>
      <c r="C77" s="3" t="s">
        <v>27415</v>
      </c>
      <c r="D77" s="3" t="s">
        <v>27416</v>
      </c>
      <c r="E77" s="5" t="str">
        <f>G77</f>
        <v>Senior &amp; Junior</v>
      </c>
      <c r="F77" s="3" t="s">
        <v>27417</v>
      </c>
      <c r="G77" s="3" t="s">
        <v>27418</v>
      </c>
      <c r="H77" s="6" t="s">
        <v>27419</v>
      </c>
      <c r="I77" s="4" t="s">
        <v>27420</v>
      </c>
      <c r="J77" s="5" t="str">
        <f>IFERROR(__xludf.DUMMYFUNCTION("GOOGLETRANSLATE(I77,""zh_HANT"",""zh_HANS"")"),"学姊与学妹")</f>
        <v>学姊与学妹</v>
      </c>
    </row>
    <row r="78">
      <c r="A78" s="5" t="str">
        <f t="shared" si="36"/>
        <v>NAME_TC_TRIATHLETE</v>
      </c>
      <c r="B78" s="3" t="s">
        <v>27421</v>
      </c>
      <c r="C78" s="3" t="s">
        <v>27422</v>
      </c>
      <c r="D78" s="3" t="s">
        <v>27423</v>
      </c>
      <c r="E78" s="3" t="s">
        <v>27424</v>
      </c>
      <c r="F78" s="3" t="s">
        <v>27425</v>
      </c>
      <c r="G78" s="5" t="str">
        <f>F78</f>
        <v>Triatleta</v>
      </c>
      <c r="H78" s="6" t="s">
        <v>27426</v>
      </c>
      <c r="I78" s="6" t="s">
        <v>27427</v>
      </c>
      <c r="J78" s="5" t="str">
        <f t="shared" ref="J78:J81" si="37">I78</f>
        <v>鐵人三項運動員</v>
      </c>
    </row>
    <row r="79">
      <c r="A79" s="3" t="s">
        <v>27428</v>
      </c>
      <c r="B79" s="3" t="s">
        <v>27429</v>
      </c>
      <c r="C79" s="3" t="s">
        <v>27430</v>
      </c>
      <c r="D79" s="3" t="s">
        <v>27431</v>
      </c>
      <c r="E79" s="3" t="s">
        <v>27432</v>
      </c>
      <c r="F79" s="3" t="s">
        <v>27433</v>
      </c>
      <c r="G79" s="3" t="s">
        <v>27434</v>
      </c>
      <c r="H79" s="3" t="s">
        <v>27435</v>
      </c>
      <c r="I79" s="3" t="s">
        <v>27436</v>
      </c>
      <c r="J79" s="5" t="str">
        <f t="shared" si="37"/>
        <v>泳圈男孩</v>
      </c>
    </row>
    <row r="80">
      <c r="A80" s="3" t="s">
        <v>27437</v>
      </c>
      <c r="B80" s="3" t="str">
        <f>B79</f>
        <v>Tuber</v>
      </c>
      <c r="C80" s="3" t="s">
        <v>27438</v>
      </c>
      <c r="D80" s="3" t="s">
        <v>27439</v>
      </c>
      <c r="E80" s="5" t="str">
        <f>E79</f>
        <v>Planscher</v>
      </c>
      <c r="F80" s="3" t="s">
        <v>27440</v>
      </c>
      <c r="G80" s="3" t="s">
        <v>27441</v>
      </c>
      <c r="H80" s="3" t="s">
        <v>27442</v>
      </c>
      <c r="I80" s="3" t="s">
        <v>27443</v>
      </c>
      <c r="J80" s="5" t="str">
        <f t="shared" si="37"/>
        <v>泳圈女孩</v>
      </c>
    </row>
    <row r="81">
      <c r="A81" s="3" t="s">
        <v>27444</v>
      </c>
      <c r="B81" s="3" t="s">
        <v>27445</v>
      </c>
      <c r="C81" s="3" t="s">
        <v>27446</v>
      </c>
      <c r="D81" s="6" t="s">
        <v>27447</v>
      </c>
      <c r="E81" s="4" t="s">
        <v>27448</v>
      </c>
      <c r="F81" s="3" t="s">
        <v>27449</v>
      </c>
      <c r="G81" s="4" t="s">
        <v>27450</v>
      </c>
      <c r="H81" s="6" t="s">
        <v>27451</v>
      </c>
      <c r="I81" s="7" t="s">
        <v>27452</v>
      </c>
      <c r="J81" s="5" t="str">
        <f t="shared" si="37"/>
        <v>工人</v>
      </c>
    </row>
    <row r="82">
      <c r="A82" s="3" t="s">
        <v>27453</v>
      </c>
      <c r="B82" s="3" t="str">
        <f t="shared" ref="B82:C82" si="38">B81</f>
        <v>Worker</v>
      </c>
      <c r="C82" s="3" t="str">
        <f t="shared" si="38"/>
        <v>さぎょういん</v>
      </c>
      <c r="D82" s="4" t="s">
        <v>27454</v>
      </c>
      <c r="E82" s="3" t="s">
        <v>27455</v>
      </c>
      <c r="F82" s="4" t="s">
        <v>27456</v>
      </c>
      <c r="G82" s="3" t="s">
        <v>27457</v>
      </c>
      <c r="H82" s="3" t="str">
        <f t="shared" ref="H82:J82" si="39">H81</f>
        <v>작업원</v>
      </c>
      <c r="I82" s="3" t="str">
        <f t="shared" si="39"/>
        <v>工人</v>
      </c>
      <c r="J82" s="3" t="str">
        <f t="shared" si="39"/>
        <v>工人</v>
      </c>
    </row>
    <row r="83">
      <c r="A83" s="5" t="str">
        <f t="shared" ref="A83:A84" si="40">CONCATENATE("NAME_TC_", SUBSTITUTE(UPPER(B83), " ", ""))</f>
        <v>NAME_TC_YOUNGCOUPLE</v>
      </c>
      <c r="B83" s="3" t="s">
        <v>27458</v>
      </c>
      <c r="C83" s="3" t="s">
        <v>27459</v>
      </c>
      <c r="D83" s="3" t="s">
        <v>27460</v>
      </c>
      <c r="E83" s="3" t="s">
        <v>27461</v>
      </c>
      <c r="F83" s="3" t="s">
        <v>27462</v>
      </c>
      <c r="G83" s="3" t="s">
        <v>27463</v>
      </c>
      <c r="H83" s="6" t="s">
        <v>27464</v>
      </c>
      <c r="I83" s="6" t="s">
        <v>27465</v>
      </c>
      <c r="J83" s="5" t="str">
        <f>IFERROR(__xludf.DUMMYFUNCTION("GOOGLETRANSLATE(I83,""zh_HANT"",""zh_HANS"")"),"热恋情侣")</f>
        <v>热恋情侣</v>
      </c>
    </row>
    <row r="84">
      <c r="A84" s="5" t="str">
        <f t="shared" si="40"/>
        <v>NAME_TC_CRUSHKIN</v>
      </c>
      <c r="B84" s="3" t="s">
        <v>27466</v>
      </c>
      <c r="C84" s="3" t="s">
        <v>27467</v>
      </c>
      <c r="D84" s="3" t="s">
        <v>27468</v>
      </c>
      <c r="E84" s="3" t="s">
        <v>27469</v>
      </c>
      <c r="F84" s="3" t="s">
        <v>27470</v>
      </c>
      <c r="G84" s="3" t="s">
        <v>27471</v>
      </c>
      <c r="H84" s="7" t="s">
        <v>27472</v>
      </c>
      <c r="I84" s="5" t="str">
        <f>IFERROR(__xludf.DUMMYFUNCTION("GOOGLETRANSLATE(J84,""zh_HANS"",""zh_HANT"")"),"格鬥姐弟")</f>
        <v>格鬥姐弟</v>
      </c>
      <c r="J84" s="7" t="s">
        <v>27473</v>
      </c>
    </row>
    <row r="85">
      <c r="A85" s="3" t="s">
        <v>27474</v>
      </c>
      <c r="B85" s="3" t="s">
        <v>27475</v>
      </c>
      <c r="C85" s="3" t="s">
        <v>27476</v>
      </c>
      <c r="D85" s="6" t="s">
        <v>27477</v>
      </c>
      <c r="E85" s="4" t="s">
        <v>27478</v>
      </c>
      <c r="F85" s="3" t="s">
        <v>27479</v>
      </c>
      <c r="G85" s="6" t="s">
        <v>27480</v>
      </c>
      <c r="H85" s="6" t="s">
        <v>27481</v>
      </c>
      <c r="I85" s="6" t="s">
        <v>27482</v>
      </c>
      <c r="J85" s="5" t="str">
        <f>IFERROR(__xludf.DUMMYFUNCTION("GOOGLETRANSLATE(I85,""zh_HANT"",""zh_HANS"")"),"开拓之脑")</f>
        <v>开拓之脑</v>
      </c>
    </row>
    <row r="86">
      <c r="A86" s="5" t="str">
        <f>CONCATENATE("NAME_TC_", SUBSTITUTE(UPPER(B86), " ", ""))</f>
        <v>NAME_TC_ACEDUO</v>
      </c>
      <c r="B86" s="3" t="s">
        <v>27483</v>
      </c>
      <c r="C86" s="3" t="s">
        <v>27484</v>
      </c>
      <c r="D86" s="3" t="s">
        <v>27485</v>
      </c>
      <c r="E86" s="3" t="s">
        <v>27486</v>
      </c>
      <c r="F86" s="3" t="s">
        <v>27487</v>
      </c>
      <c r="G86" s="3" t="s">
        <v>27488</v>
      </c>
      <c r="H86" s="6" t="s">
        <v>27489</v>
      </c>
      <c r="I86" s="6" t="s">
        <v>27490</v>
      </c>
      <c r="J86" s="5" t="str">
        <f>IFERROR(__xludf.DUMMYFUNCTION("GOOGLETRANSLATE(I86,""zh_HANT"",""zh_HANS"")"),"精英组合")</f>
        <v>精英组合</v>
      </c>
    </row>
    <row r="87">
      <c r="A87" s="3" t="s">
        <v>27491</v>
      </c>
      <c r="B87" s="3" t="s">
        <v>27492</v>
      </c>
      <c r="C87" s="3" t="s">
        <v>27493</v>
      </c>
      <c r="D87" s="3" t="str">
        <f>CONCATENATE(B87,"e")</f>
        <v>Artiste</v>
      </c>
      <c r="E87" s="3" t="s">
        <v>27494</v>
      </c>
      <c r="F87" s="3" t="str">
        <f>CONCATENATE(B87,"a")</f>
        <v>Artista</v>
      </c>
      <c r="G87" s="5" t="str">
        <f>F87</f>
        <v>Artista</v>
      </c>
      <c r="H87" s="6" t="s">
        <v>27495</v>
      </c>
      <c r="I87" s="4" t="s">
        <v>27496</v>
      </c>
      <c r="J87" s="5" t="str">
        <f>IFERROR(__xludf.DUMMYFUNCTION("GOOGLETRANSLATE(I87,""zh_HANT"",""zh_HANS"")"),"艺术家")</f>
        <v>艺术家</v>
      </c>
    </row>
    <row r="88">
      <c r="A88" s="3" t="s">
        <v>27497</v>
      </c>
      <c r="B88" s="3" t="str">
        <f t="shared" ref="B88:D88" si="41">B87</f>
        <v>Artist</v>
      </c>
      <c r="C88" s="3" t="str">
        <f t="shared" si="41"/>
        <v>げいじゅつか</v>
      </c>
      <c r="D88" s="3" t="str">
        <f t="shared" si="41"/>
        <v>Artiste</v>
      </c>
      <c r="E88" s="5" t="str">
        <f>CONCATENATE(E87,"in")</f>
        <v>Künstlerin</v>
      </c>
      <c r="F88" s="3" t="str">
        <f t="shared" ref="F88:J88" si="42">F87</f>
        <v>Artista</v>
      </c>
      <c r="G88" s="3" t="str">
        <f t="shared" si="42"/>
        <v>Artista</v>
      </c>
      <c r="H88" s="3" t="str">
        <f t="shared" si="42"/>
        <v>예술가</v>
      </c>
      <c r="I88" s="3" t="str">
        <f t="shared" si="42"/>
        <v>藝術家</v>
      </c>
      <c r="J88" s="3" t="str">
        <f t="shared" si="42"/>
        <v>艺术家</v>
      </c>
    </row>
    <row r="89">
      <c r="A89" s="3" t="s">
        <v>27498</v>
      </c>
      <c r="B89" s="3" t="s">
        <v>27499</v>
      </c>
      <c r="C89" s="3" t="s">
        <v>27500</v>
      </c>
      <c r="D89" s="6" t="s">
        <v>27501</v>
      </c>
      <c r="E89" s="3" t="s">
        <v>27502</v>
      </c>
      <c r="F89" s="3" t="s">
        <v>27503</v>
      </c>
      <c r="G89" s="3" t="s">
        <v>27504</v>
      </c>
      <c r="H89" s="3" t="str">
        <f t="shared" ref="H89:J89" si="43">H101</f>
        <v>목장가족</v>
      </c>
      <c r="I89" s="3" t="str">
        <f t="shared" si="43"/>
        <v>牧場父女</v>
      </c>
      <c r="J89" s="3" t="str">
        <f t="shared" si="43"/>
        <v>牧场父女</v>
      </c>
    </row>
    <row r="90">
      <c r="A90" s="5" t="str">
        <f t="shared" ref="A90:A91" si="44">CONCATENATE("NAME_TC_", SUBSTITUTE(UPPER(B90), " ", ""))</f>
        <v>NAME_TC_CAMERAMAN</v>
      </c>
      <c r="B90" s="3" t="s">
        <v>27505</v>
      </c>
      <c r="C90" s="3" t="s">
        <v>27506</v>
      </c>
      <c r="D90" s="3" t="s">
        <v>27507</v>
      </c>
      <c r="E90" s="3" t="s">
        <v>27508</v>
      </c>
      <c r="F90" s="3" t="s">
        <v>27509</v>
      </c>
      <c r="G90" s="5" t="str">
        <f t="shared" ref="G90:G92" si="45">B90</f>
        <v>Cameraman</v>
      </c>
      <c r="H90" s="3" t="s">
        <v>27510</v>
      </c>
      <c r="I90" s="3" t="s">
        <v>27511</v>
      </c>
      <c r="J90" s="5" t="str">
        <f>IFERROR(__xludf.DUMMYFUNCTION("GOOGLETRANSLATE(I90,""zh_HANT"",""zh_HANS"")"),"摄影师")</f>
        <v>摄影师</v>
      </c>
    </row>
    <row r="91">
      <c r="A91" s="5" t="str">
        <f t="shared" si="44"/>
        <v>NAME_TC_COWGIRL</v>
      </c>
      <c r="B91" s="3" t="s">
        <v>27512</v>
      </c>
      <c r="C91" s="3" t="s">
        <v>27513</v>
      </c>
      <c r="D91" s="5" t="str">
        <f>B91</f>
        <v>Cowgirl</v>
      </c>
      <c r="E91" s="5" t="str">
        <f t="shared" ref="E91:E92" si="46">B91</f>
        <v>Cowgirl</v>
      </c>
      <c r="F91" s="3" t="s">
        <v>27514</v>
      </c>
      <c r="G91" s="5" t="str">
        <f t="shared" si="45"/>
        <v>Cowgirl</v>
      </c>
      <c r="H91" s="3" t="s">
        <v>27515</v>
      </c>
      <c r="I91" s="3" t="s">
        <v>27516</v>
      </c>
      <c r="J91" s="5" t="str">
        <f t="shared" ref="J91:J92" si="47">I91</f>
        <v>牛仔女孩</v>
      </c>
    </row>
    <row r="92">
      <c r="A92" s="3" t="s">
        <v>27517</v>
      </c>
      <c r="B92" s="3" t="s">
        <v>27518</v>
      </c>
      <c r="C92" s="3" t="s">
        <v>27519</v>
      </c>
      <c r="D92" s="6" t="s">
        <v>27520</v>
      </c>
      <c r="E92" s="5" t="str">
        <f t="shared" si="46"/>
        <v>Clown</v>
      </c>
      <c r="F92" s="3" t="s">
        <v>27521</v>
      </c>
      <c r="G92" s="5" t="str">
        <f t="shared" si="45"/>
        <v>Clown</v>
      </c>
      <c r="H92" s="4" t="s">
        <v>27522</v>
      </c>
      <c r="I92" s="3" t="s">
        <v>27523</v>
      </c>
      <c r="J92" s="5" t="str">
        <f t="shared" si="47"/>
        <v>小丑</v>
      </c>
    </row>
    <row r="93">
      <c r="A93" s="3" t="s">
        <v>27524</v>
      </c>
      <c r="B93" s="3" t="s">
        <v>27525</v>
      </c>
      <c r="C93" s="3" t="s">
        <v>27526</v>
      </c>
      <c r="D93" s="3" t="str">
        <f>CONCATENATE(B93,"e")</f>
        <v>Cycliste</v>
      </c>
      <c r="E93" s="5" t="str">
        <f>B5</f>
        <v>Biker</v>
      </c>
      <c r="F93" s="3" t="s">
        <v>27527</v>
      </c>
      <c r="G93" s="5" t="str">
        <f>F93</f>
        <v>Ciclista</v>
      </c>
      <c r="H93" s="3" t="s">
        <v>27528</v>
      </c>
      <c r="I93" s="3" t="s">
        <v>27529</v>
      </c>
      <c r="J93" s="5" t="str">
        <f>IFERROR(__xludf.DUMMYFUNCTION("GOOGLETRANSLATE(I93,""zh_HANT"",""zh_HANS"")"),"自行车手")</f>
        <v>自行车手</v>
      </c>
    </row>
    <row r="94">
      <c r="A94" s="3" t="s">
        <v>27530</v>
      </c>
      <c r="B94" s="3" t="str">
        <f t="shared" ref="B94:D94" si="48">B93</f>
        <v>Cyclist</v>
      </c>
      <c r="C94" s="3" t="str">
        <f t="shared" si="48"/>
        <v>サイクリング</v>
      </c>
      <c r="D94" s="3" t="str">
        <f t="shared" si="48"/>
        <v>Cycliste</v>
      </c>
      <c r="E94" s="5" t="str">
        <f>CONCATENATE(E93,"in")</f>
        <v>Bikerin</v>
      </c>
      <c r="F94" s="3" t="s">
        <v>27527</v>
      </c>
      <c r="G94" s="3" t="str">
        <f t="shared" ref="G94:J94" si="49">G93</f>
        <v>Ciclista</v>
      </c>
      <c r="H94" s="3" t="str">
        <f t="shared" si="49"/>
        <v>사이클링</v>
      </c>
      <c r="I94" s="3" t="str">
        <f t="shared" si="49"/>
        <v>自行車手</v>
      </c>
      <c r="J94" s="3" t="str">
        <f t="shared" si="49"/>
        <v>自行车手</v>
      </c>
    </row>
    <row r="95">
      <c r="A95" s="5" t="str">
        <f t="shared" ref="A95:A97" si="50">CONCATENATE("NAME_TC_", SUBSTITUTE(UPPER(B95), " ", ""))</f>
        <v>NAME_TC_IDOL</v>
      </c>
      <c r="B95" s="3" t="s">
        <v>27531</v>
      </c>
      <c r="C95" s="3" t="s">
        <v>11371</v>
      </c>
      <c r="D95" s="3" t="s">
        <v>27532</v>
      </c>
      <c r="E95" s="5" t="str">
        <f t="shared" ref="E95:E96" si="51">B95</f>
        <v>Idol</v>
      </c>
      <c r="F95" s="3" t="s">
        <v>27533</v>
      </c>
      <c r="G95" s="3" t="s">
        <v>11370</v>
      </c>
      <c r="H95" s="3" t="s">
        <v>11375</v>
      </c>
      <c r="I95" s="3" t="s">
        <v>27534</v>
      </c>
      <c r="J95" s="5" t="str">
        <f t="shared" ref="J95:J97" si="52">I95</f>
        <v>偶像明星</v>
      </c>
    </row>
    <row r="96">
      <c r="A96" s="5" t="str">
        <f t="shared" si="50"/>
        <v>NAME_TC_JOGGER</v>
      </c>
      <c r="B96" s="3" t="s">
        <v>27535</v>
      </c>
      <c r="C96" s="3" t="s">
        <v>27536</v>
      </c>
      <c r="D96" s="3" t="s">
        <v>27537</v>
      </c>
      <c r="E96" s="5" t="str">
        <f t="shared" si="51"/>
        <v>Jogger</v>
      </c>
      <c r="F96" s="3" t="s">
        <v>27538</v>
      </c>
      <c r="G96" s="3" t="s">
        <v>27539</v>
      </c>
      <c r="H96" s="3" t="s">
        <v>27540</v>
      </c>
      <c r="I96" s="3" t="s">
        <v>27541</v>
      </c>
      <c r="J96" s="5" t="str">
        <f t="shared" si="52"/>
        <v>慢跑者</v>
      </c>
    </row>
    <row r="97">
      <c r="A97" s="5" t="str">
        <f t="shared" si="50"/>
        <v>NAME_TC_MADAME</v>
      </c>
      <c r="B97" s="3" t="s">
        <v>27542</v>
      </c>
      <c r="C97" s="3" t="s">
        <v>27543</v>
      </c>
      <c r="D97" s="3" t="s">
        <v>27544</v>
      </c>
      <c r="E97" s="3" t="s">
        <v>27545</v>
      </c>
      <c r="F97" s="3" t="s">
        <v>27019</v>
      </c>
      <c r="G97" s="5" t="str">
        <f>B97</f>
        <v>Madame</v>
      </c>
      <c r="H97" s="3" t="s">
        <v>27546</v>
      </c>
      <c r="I97" s="3" t="s">
        <v>27547</v>
      </c>
      <c r="J97" s="5" t="str">
        <f t="shared" si="52"/>
        <v>女士</v>
      </c>
    </row>
    <row r="98">
      <c r="A98" s="3" t="s">
        <v>27548</v>
      </c>
      <c r="B98" s="3" t="s">
        <v>27549</v>
      </c>
      <c r="C98" s="3" t="s">
        <v>27550</v>
      </c>
      <c r="D98" s="3" t="s">
        <v>27551</v>
      </c>
      <c r="E98" s="3" t="s">
        <v>27552</v>
      </c>
      <c r="F98" s="3" t="s">
        <v>27553</v>
      </c>
      <c r="G98" s="3" t="s">
        <v>27554</v>
      </c>
      <c r="H98" s="3" t="s">
        <v>27555</v>
      </c>
      <c r="I98" s="3" t="s">
        <v>27556</v>
      </c>
      <c r="J98" s="5" t="str">
        <f>IFERROR(__xludf.DUMMYFUNCTION("GOOGLETRANSLATE(I98,""zh_HANT"",""zh_HANS"")"),"宝可梦小朋友")</f>
        <v>宝可梦小朋友</v>
      </c>
    </row>
    <row r="99">
      <c r="A99" s="3" t="s">
        <v>27557</v>
      </c>
      <c r="B99" s="3" t="str">
        <f t="shared" ref="B99:E99" si="53">B98</f>
        <v>Poke Kid</v>
      </c>
      <c r="C99" s="3" t="str">
        <f t="shared" si="53"/>
        <v>ポケモンごっこ</v>
      </c>
      <c r="D99" s="3" t="str">
        <f t="shared" si="53"/>
        <v>Poke Enfant</v>
      </c>
      <c r="E99" s="3" t="str">
        <f t="shared" si="53"/>
        <v>Poke-Kind</v>
      </c>
      <c r="F99" s="3" t="s">
        <v>27558</v>
      </c>
      <c r="G99" s="3" t="s">
        <v>27559</v>
      </c>
      <c r="H99" s="3" t="str">
        <f t="shared" ref="H99:J99" si="54">H98</f>
        <v>포켓몬놀이</v>
      </c>
      <c r="I99" s="3" t="str">
        <f t="shared" si="54"/>
        <v>寶可夢小朋友</v>
      </c>
      <c r="J99" s="3" t="str">
        <f t="shared" si="54"/>
        <v>宝可梦小朋友</v>
      </c>
    </row>
    <row r="100">
      <c r="A100" s="5" t="str">
        <f>CONCATENATE("NAME_TC_", SUBSTITUTE(UPPER(B100), " ", ""))</f>
        <v>NAME_TC_RANCHER</v>
      </c>
      <c r="B100" s="3" t="s">
        <v>27560</v>
      </c>
      <c r="C100" s="3" t="s">
        <v>27561</v>
      </c>
      <c r="D100" s="3" t="s">
        <v>27562</v>
      </c>
      <c r="E100" s="3" t="s">
        <v>27563</v>
      </c>
      <c r="F100" s="3" t="s">
        <v>27564</v>
      </c>
      <c r="G100" s="3" t="s">
        <v>27565</v>
      </c>
      <c r="H100" s="3" t="s">
        <v>27566</v>
      </c>
      <c r="I100" s="3" t="s">
        <v>27567</v>
      </c>
      <c r="J100" s="5" t="str">
        <f>IFERROR(__xludf.DUMMYFUNCTION("GOOGLETRANSLATE(I100,""zh_HANT"",""zh_HANS"")"),"牧场大叔")</f>
        <v>牧场大叔</v>
      </c>
    </row>
    <row r="101">
      <c r="A101" s="5" t="s">
        <v>27568</v>
      </c>
      <c r="B101" s="3" t="s">
        <v>27569</v>
      </c>
      <c r="C101" s="3" t="s">
        <v>27500</v>
      </c>
      <c r="D101" s="3" t="s">
        <v>27570</v>
      </c>
      <c r="E101" s="3" t="s">
        <v>27571</v>
      </c>
      <c r="F101" s="3" t="s">
        <v>27572</v>
      </c>
      <c r="G101" s="5" t="str">
        <f>G89</f>
        <v>Ranch Family</v>
      </c>
      <c r="H101" s="8" t="s">
        <v>27573</v>
      </c>
      <c r="I101" s="8" t="s">
        <v>27574</v>
      </c>
      <c r="J101" s="5" t="str">
        <f>IFERROR(__xludf.DUMMYFUNCTION("GOOGLETRANSLATE(I101,""zh_HANT"",""zh_HANS"")"),"牧场父女")</f>
        <v>牧场父女</v>
      </c>
    </row>
    <row r="102">
      <c r="A102" s="5" t="str">
        <f>CONCATENATE("NAME_TC_", SUBSTITUTE(UPPER(B102), " ", ""))</f>
        <v>NAME_TC_REPORTER</v>
      </c>
      <c r="B102" s="3" t="s">
        <v>27333</v>
      </c>
      <c r="C102" s="3" t="s">
        <v>27575</v>
      </c>
      <c r="D102" s="3" t="s">
        <v>27333</v>
      </c>
      <c r="E102" s="5" t="str">
        <f t="shared" ref="E102:E103" si="55">B102</f>
        <v>Reporter</v>
      </c>
      <c r="F102" s="3" t="s">
        <v>27576</v>
      </c>
      <c r="G102" s="3" t="s">
        <v>27577</v>
      </c>
      <c r="H102" s="3" t="s">
        <v>27578</v>
      </c>
      <c r="I102" s="3" t="s">
        <v>27579</v>
      </c>
      <c r="J102" s="5" t="str">
        <f>IFERROR(__xludf.DUMMYFUNCTION("GOOGLETRANSLATE(I102,""zh_HANT"",""zh_HANS"")"),"记者")</f>
        <v>记者</v>
      </c>
    </row>
    <row r="103">
      <c r="A103" s="3" t="s">
        <v>27580</v>
      </c>
      <c r="B103" s="3" t="s">
        <v>27581</v>
      </c>
      <c r="C103" s="3" t="s">
        <v>27582</v>
      </c>
      <c r="D103" s="3" t="s">
        <v>27583</v>
      </c>
      <c r="E103" s="5" t="str">
        <f t="shared" si="55"/>
        <v>Veteran</v>
      </c>
      <c r="F103" s="3" t="s">
        <v>27584</v>
      </c>
      <c r="G103" s="5" t="str">
        <f t="shared" ref="G103:G104" si="57">F103</f>
        <v>Veterano</v>
      </c>
      <c r="H103" s="3" t="s">
        <v>27585</v>
      </c>
      <c r="I103" s="3" t="s">
        <v>27586</v>
      </c>
      <c r="J103" s="5" t="str">
        <f>IFERROR(__xludf.DUMMYFUNCTION("GOOGLETRANSLATE(I103,""zh_HANT"",""zh_HANS"")"),"资深训练家")</f>
        <v>资深训练家</v>
      </c>
    </row>
    <row r="104">
      <c r="A104" s="3" t="s">
        <v>27587</v>
      </c>
      <c r="B104" s="3" t="str">
        <f t="shared" ref="B104:E104" si="56">B103</f>
        <v>Veteran</v>
      </c>
      <c r="C104" s="3" t="str">
        <f t="shared" si="56"/>
        <v>ベテラントレーナー</v>
      </c>
      <c r="D104" s="3" t="str">
        <f t="shared" si="56"/>
        <v>Vétéran</v>
      </c>
      <c r="E104" s="3" t="str">
        <f t="shared" si="56"/>
        <v>Veteran</v>
      </c>
      <c r="F104" s="3" t="s">
        <v>27588</v>
      </c>
      <c r="G104" s="5" t="str">
        <f t="shared" si="57"/>
        <v>Veterana</v>
      </c>
      <c r="H104" s="3" t="str">
        <f t="shared" ref="H104:J104" si="58">H103</f>
        <v>베테랑 트레이너</v>
      </c>
      <c r="I104" s="3" t="str">
        <f t="shared" si="58"/>
        <v>資深訓練家</v>
      </c>
      <c r="J104" s="3" t="str">
        <f t="shared" si="58"/>
        <v>资深训练家</v>
      </c>
    </row>
    <row r="105">
      <c r="A105" s="5" t="str">
        <f t="shared" ref="A105:A108" si="59">CONCATENATE("NAME_TC_", SUBSTITUTE(UPPER(B105), " ", ""))</f>
        <v>NAME_TC_WAITER</v>
      </c>
      <c r="B105" s="3" t="s">
        <v>27589</v>
      </c>
      <c r="C105" s="3" t="s">
        <v>27590</v>
      </c>
      <c r="D105" s="3" t="s">
        <v>27591</v>
      </c>
      <c r="E105" s="3" t="s">
        <v>27592</v>
      </c>
      <c r="F105" s="3" t="s">
        <v>27593</v>
      </c>
      <c r="G105" s="3" t="s">
        <v>27594</v>
      </c>
      <c r="H105" s="3" t="s">
        <v>27595</v>
      </c>
      <c r="I105" s="3" t="s">
        <v>27596</v>
      </c>
      <c r="J105" s="5" t="str">
        <f>IFERROR(__xludf.DUMMYFUNCTION("GOOGLETRANSLATE(I105,""zh_HANT"",""zh_HANS"")"),"服务员")</f>
        <v>服务员</v>
      </c>
    </row>
    <row r="106">
      <c r="A106" s="5" t="str">
        <f t="shared" si="59"/>
        <v>NAME_TC_WAITRESS</v>
      </c>
      <c r="B106" s="3" t="s">
        <v>27597</v>
      </c>
      <c r="C106" s="3" t="s">
        <v>27598</v>
      </c>
      <c r="D106" s="3" t="s">
        <v>27599</v>
      </c>
      <c r="E106" s="5" t="str">
        <f>CONCATENATE(E105,"in")</f>
        <v>Servererin</v>
      </c>
      <c r="F106" s="3" t="s">
        <v>27600</v>
      </c>
      <c r="G106" s="3" t="s">
        <v>27601</v>
      </c>
      <c r="H106" s="3" t="s">
        <v>27602</v>
      </c>
      <c r="I106" s="3" t="s">
        <v>27603</v>
      </c>
      <c r="J106" s="5" t="str">
        <f>IFERROR(__xludf.DUMMYFUNCTION("GOOGLETRANSLATE(I106,""zh_HANT"",""zh_HANS"")"),"女服务生")</f>
        <v>女服务生</v>
      </c>
    </row>
    <row r="107">
      <c r="A107" s="5" t="str">
        <f t="shared" si="59"/>
        <v>NAME_TC_MAID</v>
      </c>
      <c r="B107" s="3" t="s">
        <v>27604</v>
      </c>
      <c r="C107" s="3" t="s">
        <v>27605</v>
      </c>
      <c r="D107" s="3" t="s">
        <v>27606</v>
      </c>
      <c r="E107" s="3" t="s">
        <v>27607</v>
      </c>
      <c r="F107" s="3" t="s">
        <v>27608</v>
      </c>
      <c r="G107" s="3" t="s">
        <v>27609</v>
      </c>
      <c r="H107" s="3" t="s">
        <v>27610</v>
      </c>
      <c r="I107" s="3" t="str">
        <f>IFERROR(__xludf.DUMMYFUNCTION("GOOGLETRANSLATE(J107,""zh_HANS"",""zh_HANT"")"),"女僕")</f>
        <v>女僕</v>
      </c>
      <c r="J107" s="7" t="s">
        <v>27611</v>
      </c>
    </row>
    <row r="108">
      <c r="A108" s="5" t="str">
        <f t="shared" si="59"/>
        <v>NAME_TC_ELDER</v>
      </c>
      <c r="B108" s="3" t="s">
        <v>27612</v>
      </c>
      <c r="C108" s="3" t="s">
        <v>27613</v>
      </c>
      <c r="D108" s="3" t="s">
        <v>27614</v>
      </c>
      <c r="E108" s="3" t="s">
        <v>27615</v>
      </c>
      <c r="F108" s="3" t="s">
        <v>27616</v>
      </c>
      <c r="G108" s="3" t="s">
        <v>27617</v>
      </c>
      <c r="H108" s="3" t="s">
        <v>27618</v>
      </c>
      <c r="I108" s="3" t="str">
        <f>IFERROR(__xludf.DUMMYFUNCTION("GOOGLETRANSLATE(J108,""zh_HANS"",""zh_HANT"")"),"長老")</f>
        <v>長老</v>
      </c>
      <c r="J108" s="7" t="s">
        <v>27619</v>
      </c>
    </row>
    <row r="109">
      <c r="A109" s="3" t="s">
        <v>27620</v>
      </c>
      <c r="B109" s="3" t="s">
        <v>27621</v>
      </c>
      <c r="C109" s="3" t="s">
        <v>27622</v>
      </c>
      <c r="D109" s="3" t="s">
        <v>27623</v>
      </c>
      <c r="E109" s="3" t="s">
        <v>27624</v>
      </c>
      <c r="F109" s="3" t="s">
        <v>27625</v>
      </c>
      <c r="G109" s="3" t="s">
        <v>27626</v>
      </c>
      <c r="H109" s="6" t="s">
        <v>27627</v>
      </c>
      <c r="I109" s="3" t="str">
        <f>IFERROR(__xludf.DUMMYFUNCTION("GOOGLETRANSLATE(J109,""zh_HANS"",""zh_HANT"")"),"啦啦隊")</f>
        <v>啦啦隊</v>
      </c>
      <c r="J109" s="7" t="s">
        <v>27628</v>
      </c>
    </row>
    <row r="110">
      <c r="A110" s="3" t="s">
        <v>27629</v>
      </c>
      <c r="B110" s="3" t="str">
        <f t="shared" ref="B110:C110" si="60">B109</f>
        <v>Backers</v>
      </c>
      <c r="C110" s="3" t="str">
        <f t="shared" si="60"/>
        <v>ファンクラブ</v>
      </c>
      <c r="D110" s="3" t="s">
        <v>27630</v>
      </c>
      <c r="E110" s="5" t="str">
        <f>E109</f>
        <v>Anhänger</v>
      </c>
      <c r="F110" s="3" t="s">
        <v>27631</v>
      </c>
      <c r="G110" s="5" t="str">
        <f t="shared" ref="G110:J110" si="61">G109</f>
        <v>Fan</v>
      </c>
      <c r="H110" s="5" t="str">
        <f t="shared" si="61"/>
        <v>팬클럽</v>
      </c>
      <c r="I110" s="5" t="str">
        <f t="shared" si="61"/>
        <v>啦啦隊</v>
      </c>
      <c r="J110" s="5" t="str">
        <f t="shared" si="61"/>
        <v>啦啦队</v>
      </c>
    </row>
    <row r="111">
      <c r="A111" s="3" t="s">
        <v>27632</v>
      </c>
      <c r="B111" s="3" t="s">
        <v>27633</v>
      </c>
      <c r="C111" s="3" t="s">
        <v>27634</v>
      </c>
      <c r="D111" s="3" t="s">
        <v>27635</v>
      </c>
      <c r="E111" s="5" t="str">
        <f>B111</f>
        <v>Backpacker</v>
      </c>
      <c r="F111" s="3" t="s">
        <v>27636</v>
      </c>
      <c r="G111" s="3" t="s">
        <v>27637</v>
      </c>
      <c r="H111" s="6" t="s">
        <v>27638</v>
      </c>
      <c r="I111" s="7" t="s">
        <v>27639</v>
      </c>
      <c r="J111" s="5" t="str">
        <f>I111</f>
        <v>背包客</v>
      </c>
    </row>
    <row r="112">
      <c r="A112" s="3" t="s">
        <v>27640</v>
      </c>
      <c r="B112" s="3" t="str">
        <f t="shared" ref="B112:C112" si="62">B111</f>
        <v>Backpacker</v>
      </c>
      <c r="C112" s="3" t="str">
        <f t="shared" si="62"/>
        <v>バックパッカー</v>
      </c>
      <c r="D112" s="3" t="s">
        <v>27641</v>
      </c>
      <c r="E112" s="5" t="str">
        <f>CONCATENATE(E111,"in")</f>
        <v>Backpackerin</v>
      </c>
      <c r="F112" s="3" t="s">
        <v>27642</v>
      </c>
      <c r="G112" s="5" t="str">
        <f t="shared" ref="G112:J112" si="63">G111</f>
        <v>Giramondo</v>
      </c>
      <c r="H112" s="5" t="str">
        <f t="shared" si="63"/>
        <v>백팩커</v>
      </c>
      <c r="I112" s="5" t="str">
        <f t="shared" si="63"/>
        <v>背包客</v>
      </c>
      <c r="J112" s="5" t="str">
        <f t="shared" si="63"/>
        <v>背包客</v>
      </c>
    </row>
    <row r="113">
      <c r="A113" s="5" t="str">
        <f>CONCATENATE("NAME_TC_", SUBSTITUTE(UPPER(B113), " ", ""))</f>
        <v>NAME_TC_BAKER</v>
      </c>
      <c r="B113" s="3" t="s">
        <v>27643</v>
      </c>
      <c r="C113" s="3" t="s">
        <v>27644</v>
      </c>
      <c r="D113" s="3" t="s">
        <v>27645</v>
      </c>
      <c r="E113" s="3" t="s">
        <v>27646</v>
      </c>
      <c r="F113" s="3" t="s">
        <v>27647</v>
      </c>
      <c r="G113" s="3" t="s">
        <v>27648</v>
      </c>
      <c r="H113" s="4" t="s">
        <v>27649</v>
      </c>
      <c r="I113" s="3" t="str">
        <f>IFERROR(__xludf.DUMMYFUNCTION("GOOGLETRANSLATE(J113,""zh_HANS"",""zh_HANT"")"),"麵包師傅")</f>
        <v>麵包師傅</v>
      </c>
      <c r="J113" s="7" t="s">
        <v>27650</v>
      </c>
    </row>
    <row r="114">
      <c r="A114" s="3" t="s">
        <v>27651</v>
      </c>
      <c r="B114" s="3" t="s">
        <v>27652</v>
      </c>
      <c r="C114" s="3" t="s">
        <v>27653</v>
      </c>
      <c r="D114" s="3" t="s">
        <v>27654</v>
      </c>
      <c r="E114" s="5" t="str">
        <f>CONCATENATE(E115,"r")</f>
        <v>Angestellter</v>
      </c>
      <c r="F114" s="3" t="s">
        <v>27655</v>
      </c>
      <c r="G114" s="3" t="s">
        <v>27656</v>
      </c>
      <c r="H114" s="6" t="s">
        <v>27657</v>
      </c>
      <c r="I114" s="6" t="s">
        <v>27658</v>
      </c>
      <c r="J114" s="5" t="str">
        <f>IFERROR(__xludf.DUMMYFUNCTION("GOOGLETRANSLATE(I114,""zh_HANT"",""zh_HANS"")"),"商务人士")</f>
        <v>商务人士</v>
      </c>
    </row>
    <row r="115">
      <c r="A115" s="3" t="s">
        <v>27659</v>
      </c>
      <c r="B115" s="3" t="str">
        <f>B114</f>
        <v>Clerk</v>
      </c>
      <c r="C115" s="3" t="s">
        <v>27660</v>
      </c>
      <c r="D115" s="3" t="s">
        <v>27661</v>
      </c>
      <c r="E115" s="3" t="s">
        <v>27662</v>
      </c>
      <c r="F115" s="3" t="s">
        <v>27663</v>
      </c>
      <c r="G115" s="3" t="s">
        <v>27664</v>
      </c>
      <c r="H115" s="6" t="s">
        <v>27665</v>
      </c>
      <c r="I115" s="5" t="str">
        <f>C115</f>
        <v>ＯＬ</v>
      </c>
      <c r="J115" s="5" t="str">
        <f t="shared" ref="J115:J116" si="64">I115</f>
        <v>ＯＬ</v>
      </c>
    </row>
    <row r="116">
      <c r="A116" s="3" t="s">
        <v>27666</v>
      </c>
      <c r="B116" s="3" t="s">
        <v>21762</v>
      </c>
      <c r="C116" s="3" t="s">
        <v>27667</v>
      </c>
      <c r="D116" s="3" t="s">
        <v>12289</v>
      </c>
      <c r="E116" s="3" t="s">
        <v>21765</v>
      </c>
      <c r="F116" s="3" t="s">
        <v>27668</v>
      </c>
      <c r="G116" s="3" t="s">
        <v>12291</v>
      </c>
      <c r="H116" s="4" t="s">
        <v>12292</v>
      </c>
      <c r="I116" s="6" t="s">
        <v>21769</v>
      </c>
      <c r="J116" s="5" t="str">
        <f t="shared" si="64"/>
        <v>舞者</v>
      </c>
    </row>
    <row r="117">
      <c r="A117" s="3" t="s">
        <v>27669</v>
      </c>
      <c r="B117" s="3" t="str">
        <f t="shared" ref="B117:C117" si="65">B116</f>
        <v>Dancer</v>
      </c>
      <c r="C117" s="3" t="str">
        <f t="shared" si="65"/>
        <v>ダンサー</v>
      </c>
      <c r="D117" s="3" t="s">
        <v>21764</v>
      </c>
      <c r="E117" s="5" t="str">
        <f>CONCATENATE(E116,"in")</f>
        <v>Tänzerin</v>
      </c>
      <c r="F117" s="3" t="s">
        <v>27670</v>
      </c>
      <c r="G117" s="3" t="s">
        <v>27671</v>
      </c>
      <c r="H117" s="5" t="str">
        <f t="shared" ref="H117:J117" si="66">H116</f>
        <v>댄서</v>
      </c>
      <c r="I117" s="5" t="str">
        <f t="shared" si="66"/>
        <v>舞者</v>
      </c>
      <c r="J117" s="5" t="str">
        <f t="shared" si="66"/>
        <v>舞者</v>
      </c>
    </row>
    <row r="118">
      <c r="A118" s="3" t="s">
        <v>27672</v>
      </c>
      <c r="B118" s="3" t="s">
        <v>27673</v>
      </c>
      <c r="C118" s="3" t="s">
        <v>27674</v>
      </c>
      <c r="D118" s="3" t="s">
        <v>27675</v>
      </c>
      <c r="E118" s="3" t="s">
        <v>27676</v>
      </c>
      <c r="F118" s="3" t="s">
        <v>27673</v>
      </c>
      <c r="G118" s="3" t="s">
        <v>27677</v>
      </c>
      <c r="H118" s="6" t="s">
        <v>27678</v>
      </c>
      <c r="I118" s="6" t="s">
        <v>27679</v>
      </c>
      <c r="J118" s="5" t="str">
        <f>IFERROR(__xludf.DUMMYFUNCTION("GOOGLETRANSLATE(I118,""zh_HANT"",""zh_HANS"")"),"医生")</f>
        <v>医生</v>
      </c>
    </row>
    <row r="119">
      <c r="A119" s="3" t="s">
        <v>27680</v>
      </c>
      <c r="B119" s="3" t="str">
        <f t="shared" ref="B119:C119" si="67">B118</f>
        <v>Doctor</v>
      </c>
      <c r="C119" s="3" t="str">
        <f t="shared" si="67"/>
        <v>ドクター</v>
      </c>
      <c r="D119" s="3" t="s">
        <v>27681</v>
      </c>
      <c r="E119" s="3" t="s">
        <v>27682</v>
      </c>
      <c r="F119" s="3" t="s">
        <v>27683</v>
      </c>
      <c r="G119" s="5" t="str">
        <f t="shared" ref="G119:J119" si="68">G118</f>
        <v>Medico</v>
      </c>
      <c r="H119" s="5" t="str">
        <f t="shared" si="68"/>
        <v>의사</v>
      </c>
      <c r="I119" s="5" t="str">
        <f t="shared" si="68"/>
        <v>醫生</v>
      </c>
      <c r="J119" s="5" t="str">
        <f t="shared" si="68"/>
        <v>医生</v>
      </c>
    </row>
    <row r="120">
      <c r="A120" s="5" t="str">
        <f t="shared" ref="A120:A121" si="69">CONCATENATE("NAME_TC_", SUBSTITUTE(UPPER(B120), " ", ""))</f>
        <v>NAME_TC_HARLEQUIN</v>
      </c>
      <c r="B120" s="3" t="s">
        <v>27684</v>
      </c>
      <c r="C120" s="3" t="s">
        <v>27685</v>
      </c>
      <c r="D120" s="3" t="str">
        <f>B92</f>
        <v>Clown</v>
      </c>
      <c r="E120" s="3" t="s">
        <v>27686</v>
      </c>
      <c r="F120" s="3" t="s">
        <v>27687</v>
      </c>
      <c r="G120" s="5" t="str">
        <f>D92</f>
        <v>Arlequin</v>
      </c>
      <c r="H120" s="3" t="s">
        <v>27688</v>
      </c>
      <c r="I120" s="3" t="str">
        <f>IFERROR(__xludf.DUMMYFUNCTION("GOOGLETRANSLATE(J120,""zh_HANS"",""zh_HANT"")"),"滑稽演員")</f>
        <v>滑稽演員</v>
      </c>
      <c r="J120" s="7" t="s">
        <v>27689</v>
      </c>
    </row>
    <row r="121">
      <c r="A121" s="5" t="str">
        <f t="shared" si="69"/>
        <v>NAME_TC_HOOLIGANS</v>
      </c>
      <c r="B121" s="3" t="s">
        <v>27690</v>
      </c>
      <c r="C121" s="3" t="s">
        <v>27691</v>
      </c>
      <c r="D121" s="3" t="s">
        <v>27692</v>
      </c>
      <c r="E121" s="3" t="s">
        <v>27693</v>
      </c>
      <c r="F121" s="3" t="s">
        <v>27694</v>
      </c>
      <c r="G121" s="3" t="s">
        <v>27695</v>
      </c>
      <c r="H121" s="3" t="s">
        <v>27696</v>
      </c>
      <c r="I121" s="3" t="str">
        <f>IFERROR(__xludf.DUMMYFUNCTION("GOOGLETRANSLATE(J121,""zh_HANS"",""zh_HANT"")"),"暴走組合")</f>
        <v>暴走組合</v>
      </c>
      <c r="J121" s="7" t="s">
        <v>27697</v>
      </c>
    </row>
    <row r="122">
      <c r="A122" s="3" t="s">
        <v>27698</v>
      </c>
      <c r="B122" s="3" t="s">
        <v>27699</v>
      </c>
      <c r="C122" s="3" t="s">
        <v>27700</v>
      </c>
      <c r="D122" s="3" t="s">
        <v>27701</v>
      </c>
      <c r="E122" s="3" t="s">
        <v>27702</v>
      </c>
      <c r="F122" s="3" t="s">
        <v>27703</v>
      </c>
      <c r="G122" s="3" t="s">
        <v>27704</v>
      </c>
      <c r="H122" s="3" t="s">
        <v>27705</v>
      </c>
      <c r="I122" s="3" t="str">
        <f>IFERROR(__xludf.DUMMYFUNCTION("GOOGLETRANSLATE(J122,""zh_HANS"",""zh_HANT"")"),"籃球選手")</f>
        <v>籃球選手</v>
      </c>
      <c r="J122" s="3" t="s">
        <v>27706</v>
      </c>
    </row>
    <row r="123">
      <c r="A123" s="5" t="str">
        <f t="shared" ref="A123:A124" si="70">CONCATENATE("NAME_TC_", SUBSTITUTE(UPPER(B123), " ", ""))</f>
        <v>NAME_TC_INFIELDER</v>
      </c>
      <c r="B123" s="3" t="s">
        <v>27707</v>
      </c>
      <c r="C123" s="3" t="s">
        <v>27708</v>
      </c>
      <c r="D123" s="3" t="s">
        <v>27709</v>
      </c>
      <c r="E123" s="3" t="s">
        <v>27710</v>
      </c>
      <c r="F123" s="3" t="s">
        <v>27711</v>
      </c>
      <c r="G123" s="3" t="s">
        <v>27712</v>
      </c>
      <c r="H123" s="3" t="s">
        <v>27713</v>
      </c>
      <c r="I123" s="3" t="str">
        <f>IFERROR(__xludf.DUMMYFUNCTION("GOOGLETRANSLATE(J123,""zh_HANS"",""zh_HANT"")"),"棒球選手")</f>
        <v>棒球選手</v>
      </c>
      <c r="J123" s="3" t="s">
        <v>27714</v>
      </c>
    </row>
    <row r="124">
      <c r="A124" s="5" t="str">
        <f t="shared" si="70"/>
        <v>NAME_TC_JANITOR</v>
      </c>
      <c r="B124" s="3" t="s">
        <v>27715</v>
      </c>
      <c r="C124" s="3" t="s">
        <v>27716</v>
      </c>
      <c r="D124" s="3" t="s">
        <v>27717</v>
      </c>
      <c r="E124" s="3" t="s">
        <v>27718</v>
      </c>
      <c r="F124" s="3" t="s">
        <v>27719</v>
      </c>
      <c r="G124" s="3" t="s">
        <v>27720</v>
      </c>
      <c r="H124" s="3" t="s">
        <v>27721</v>
      </c>
      <c r="I124" s="3" t="s">
        <v>27722</v>
      </c>
      <c r="J124" s="5" t="str">
        <f>IFERROR(__xludf.DUMMYFUNCTION("GOOGLETRANSLATE(I124,""zh_HANT"",""zh_HANS"")"),"清洁员")</f>
        <v>清洁员</v>
      </c>
    </row>
    <row r="125">
      <c r="A125" s="3" t="s">
        <v>27723</v>
      </c>
      <c r="B125" s="3" t="s">
        <v>27724</v>
      </c>
      <c r="C125" s="3" t="s">
        <v>27725</v>
      </c>
      <c r="D125" s="3" t="s">
        <v>27726</v>
      </c>
      <c r="E125" s="3" t="s">
        <v>27727</v>
      </c>
      <c r="F125" s="3" t="s">
        <v>27728</v>
      </c>
      <c r="G125" s="5" t="str">
        <f>D125</f>
        <v>Quaterback</v>
      </c>
      <c r="H125" s="3" t="s">
        <v>27729</v>
      </c>
      <c r="I125" s="5" t="str">
        <f>IFERROR(__xludf.DUMMYFUNCTION("GOOGLETRANSLATE(J125,""zh_HANS"",""zh_HANT"")"),"橄欖球選手")</f>
        <v>橄欖球選手</v>
      </c>
      <c r="J125" s="3" t="s">
        <v>27730</v>
      </c>
    </row>
    <row r="126">
      <c r="A126" s="5" t="str">
        <f t="shared" ref="A126:A129" si="71">CONCATENATE("NAME_TC_", SUBSTITUTE(UPPER(B126), " ", ""))</f>
        <v>NAME_TC_MUSICIAN</v>
      </c>
      <c r="B126" s="3" t="s">
        <v>27731</v>
      </c>
      <c r="C126" s="3" t="s">
        <v>27732</v>
      </c>
      <c r="D126" s="3" t="s">
        <v>27733</v>
      </c>
      <c r="E126" s="3" t="s">
        <v>27734</v>
      </c>
      <c r="F126" s="3" t="s">
        <v>27735</v>
      </c>
      <c r="G126" s="3" t="s">
        <v>27736</v>
      </c>
      <c r="H126" s="3" t="s">
        <v>27737</v>
      </c>
      <c r="I126" s="3" t="s">
        <v>27738</v>
      </c>
      <c r="J126" s="5" t="str">
        <f>IFERROR(__xludf.DUMMYFUNCTION("GOOGLETRANSLATE(I126,""zh_HANT"",""zh_HANS"")"),"音乐家")</f>
        <v>音乐家</v>
      </c>
    </row>
    <row r="127">
      <c r="A127" s="5" t="str">
        <f t="shared" si="71"/>
        <v>NAME_TC_NURSE</v>
      </c>
      <c r="B127" s="3" t="s">
        <v>27739</v>
      </c>
      <c r="C127" s="3" t="s">
        <v>27740</v>
      </c>
      <c r="D127" s="3" t="s">
        <v>27741</v>
      </c>
      <c r="E127" s="3" t="s">
        <v>27742</v>
      </c>
      <c r="F127" s="3" t="s">
        <v>27743</v>
      </c>
      <c r="G127" s="3" t="s">
        <v>27744</v>
      </c>
      <c r="H127" s="3" t="s">
        <v>27745</v>
      </c>
      <c r="I127" s="3" t="str">
        <f>IFERROR(__xludf.DUMMYFUNCTION("GOOGLETRANSLATE(J127,""zh_HANS"",""zh_HANT"")"),"護士")</f>
        <v>護士</v>
      </c>
      <c r="J127" s="7" t="s">
        <v>27746</v>
      </c>
    </row>
    <row r="128">
      <c r="A128" s="5" t="str">
        <f t="shared" si="71"/>
        <v>NAME_TC_NURSERYAIDE</v>
      </c>
      <c r="B128" s="3" t="s">
        <v>27747</v>
      </c>
      <c r="C128" s="3" t="s">
        <v>27748</v>
      </c>
      <c r="D128" s="3" t="s">
        <v>27749</v>
      </c>
      <c r="E128" s="3" t="s">
        <v>27750</v>
      </c>
      <c r="F128" s="3" t="s">
        <v>27751</v>
      </c>
      <c r="G128" s="3" t="s">
        <v>27752</v>
      </c>
      <c r="H128" s="3" t="s">
        <v>27753</v>
      </c>
      <c r="I128" s="3" t="str">
        <f>IFERROR(__xludf.DUMMYFUNCTION("GOOGLETRANSLATE(J128,""zh_HANS"",""zh_HANT"")"),"幼稚園老師")</f>
        <v>幼稚園老師</v>
      </c>
      <c r="J128" s="7" t="s">
        <v>27754</v>
      </c>
    </row>
    <row r="129">
      <c r="A129" s="5" t="str">
        <f t="shared" si="71"/>
        <v>NAME_TC_PILOT</v>
      </c>
      <c r="B129" s="3" t="s">
        <v>27755</v>
      </c>
      <c r="C129" s="3" t="s">
        <v>27756</v>
      </c>
      <c r="D129" s="3" t="s">
        <v>27757</v>
      </c>
      <c r="E129" s="5" t="str">
        <f>B129</f>
        <v>Pilot</v>
      </c>
      <c r="F129" s="3" t="s">
        <v>27758</v>
      </c>
      <c r="G129" s="5" t="str">
        <f>CONCATENATE(B129,"a")</f>
        <v>Pilota</v>
      </c>
      <c r="H129" s="3" t="s">
        <v>27759</v>
      </c>
      <c r="I129" s="3" t="s">
        <v>27760</v>
      </c>
      <c r="J129" s="5" t="str">
        <f>IFERROR(__xludf.DUMMYFUNCTION("GOOGLETRANSLATE(I129,""zh_HANT"",""zh_HANS"")"),"飞行员")</f>
        <v>飞行员</v>
      </c>
    </row>
    <row r="130">
      <c r="A130" s="3" t="s">
        <v>27761</v>
      </c>
      <c r="B130" s="3" t="s">
        <v>27762</v>
      </c>
      <c r="C130" s="3" t="s">
        <v>27763</v>
      </c>
      <c r="D130" s="3" t="s">
        <v>27764</v>
      </c>
      <c r="E130" s="3" t="s">
        <v>27765</v>
      </c>
      <c r="F130" s="3" t="s">
        <v>27766</v>
      </c>
      <c r="G130" s="3" t="s">
        <v>27767</v>
      </c>
      <c r="H130" s="3" t="s">
        <v>27768</v>
      </c>
      <c r="I130" s="3" t="s">
        <v>27769</v>
      </c>
      <c r="J130" s="5" t="str">
        <f>IFERROR(__xludf.DUMMYFUNCTION("GOOGLETRANSLATE(I130,""zh_HANT"",""zh_HANS"")"),"幼稚园小朋友")</f>
        <v>幼稚园小朋友</v>
      </c>
    </row>
    <row r="131">
      <c r="A131" s="3" t="s">
        <v>27770</v>
      </c>
      <c r="B131" s="3" t="str">
        <f t="shared" ref="B131:C131" si="72">B130</f>
        <v>Preschooler</v>
      </c>
      <c r="C131" s="3" t="str">
        <f t="shared" si="72"/>
        <v>えんじ</v>
      </c>
      <c r="D131" s="3" t="s">
        <v>27771</v>
      </c>
      <c r="E131" s="5" t="str">
        <f>CONCATENATE(E130,"in")</f>
        <v>Vorschülerin</v>
      </c>
      <c r="F131" s="3" t="s">
        <v>27766</v>
      </c>
      <c r="G131" s="3" t="s">
        <v>27772</v>
      </c>
      <c r="H131" s="5" t="str">
        <f t="shared" ref="H131:J131" si="73">H130</f>
        <v>보육원아</v>
      </c>
      <c r="I131" s="5" t="str">
        <f t="shared" si="73"/>
        <v>幼稚園小朋友</v>
      </c>
      <c r="J131" s="5" t="str">
        <f t="shared" si="73"/>
        <v>幼稚园小朋友</v>
      </c>
    </row>
    <row r="132">
      <c r="A132" s="5" t="str">
        <f>CONCATENATE("NAME_TC_", SUBSTITUTE(UPPER(B132), " ", ""))</f>
        <v>NAME_TC_RAILSTAFF</v>
      </c>
      <c r="B132" s="3" t="s">
        <v>27773</v>
      </c>
      <c r="C132" s="3" t="s">
        <v>27774</v>
      </c>
      <c r="D132" s="3" t="s">
        <v>27775</v>
      </c>
      <c r="E132" s="3" t="s">
        <v>27776</v>
      </c>
      <c r="F132" s="3" t="s">
        <v>27777</v>
      </c>
      <c r="G132" s="3" t="s">
        <v>27778</v>
      </c>
      <c r="H132" s="3" t="s">
        <v>27779</v>
      </c>
      <c r="I132" s="3" t="s">
        <v>27780</v>
      </c>
      <c r="J132" s="5" t="str">
        <f>IFERROR(__xludf.DUMMYFUNCTION("GOOGLETRANSLATE(I132,""zh_HANT"",""zh_HANS"")"),"铁路员工")</f>
        <v>铁路员工</v>
      </c>
    </row>
    <row r="133">
      <c r="A133" s="3" t="s">
        <v>27781</v>
      </c>
      <c r="B133" s="3" t="s">
        <v>27782</v>
      </c>
      <c r="C133" s="3" t="s">
        <v>27783</v>
      </c>
      <c r="D133" s="3" t="s">
        <v>27784</v>
      </c>
      <c r="E133" s="3" t="s">
        <v>27785</v>
      </c>
      <c r="F133" s="3" t="s">
        <v>27786</v>
      </c>
      <c r="G133" s="3" t="s">
        <v>27787</v>
      </c>
      <c r="H133" s="3" t="s">
        <v>27788</v>
      </c>
      <c r="I133" s="5" t="str">
        <f>IFERROR(__xludf.DUMMYFUNCTION("GOOGLETRANSLATE(J133,""zh_HANS"",""zh_HANT"")"),"網球選手")</f>
        <v>網球選手</v>
      </c>
      <c r="J133" s="3" t="s">
        <v>27789</v>
      </c>
    </row>
    <row r="134">
      <c r="A134" s="3" t="s">
        <v>27790</v>
      </c>
      <c r="B134" s="3" t="s">
        <v>11810</v>
      </c>
      <c r="C134" s="3" t="s">
        <v>27653</v>
      </c>
      <c r="D134" s="3" t="s">
        <v>27791</v>
      </c>
      <c r="E134" s="3" t="s">
        <v>27792</v>
      </c>
      <c r="F134" s="3" t="s">
        <v>11814</v>
      </c>
      <c r="G134" s="3" t="s">
        <v>27793</v>
      </c>
      <c r="H134" s="3" t="s">
        <v>27794</v>
      </c>
      <c r="I134" s="5" t="str">
        <f>IFERROR(__xludf.DUMMYFUNCTION("GOOGLETRANSLATE(J134,""zh_HANS"",""zh_HANT"")"),"足球選手")</f>
        <v>足球選手</v>
      </c>
      <c r="J134" s="3" t="s">
        <v>27795</v>
      </c>
    </row>
    <row r="135">
      <c r="A135" s="5" t="str">
        <f t="shared" ref="A135:A137" si="74">CONCATENATE("NAME_TC_", SUBSTITUTE(UPPER(B135), " ", ""))</f>
        <v>NAME_TC_BRAINS&amp;BRAWN</v>
      </c>
      <c r="B135" s="3" t="s">
        <v>27796</v>
      </c>
      <c r="C135" s="3" t="s">
        <v>27797</v>
      </c>
      <c r="D135" s="3" t="s">
        <v>27798</v>
      </c>
      <c r="E135" s="3" t="s">
        <v>27799</v>
      </c>
      <c r="F135" s="3" t="s">
        <v>27800</v>
      </c>
      <c r="G135" s="3" t="s">
        <v>27801</v>
      </c>
      <c r="H135" s="3" t="s">
        <v>27802</v>
      </c>
      <c r="I135" s="5" t="str">
        <f>J135</f>
        <v>智者＆強者</v>
      </c>
      <c r="J135" s="3" t="s">
        <v>27803</v>
      </c>
    </row>
    <row r="136">
      <c r="A136" s="5" t="str">
        <f t="shared" si="74"/>
        <v>NAME_TC_BUTLER</v>
      </c>
      <c r="B136" s="3" t="s">
        <v>27804</v>
      </c>
      <c r="C136" s="3" t="s">
        <v>27805</v>
      </c>
      <c r="D136" s="3" t="s">
        <v>27806</v>
      </c>
      <c r="E136" s="5" t="str">
        <f>B136</f>
        <v>Butler</v>
      </c>
      <c r="F136" s="3" t="s">
        <v>27807</v>
      </c>
      <c r="G136" s="3" t="s">
        <v>26972</v>
      </c>
      <c r="H136" s="3" t="s">
        <v>27808</v>
      </c>
      <c r="I136" s="5" t="str">
        <f>IFERROR(__xludf.DUMMYFUNCTION("GOOGLETRANSLATE(J136,""zh_HANS"",""zh_HANT"")"),"管家")</f>
        <v>管家</v>
      </c>
      <c r="J136" s="7" t="s">
        <v>27809</v>
      </c>
    </row>
    <row r="137">
      <c r="A137" s="5" t="str">
        <f t="shared" si="74"/>
        <v>NAME_TC_CHEF</v>
      </c>
      <c r="B137" s="3" t="s">
        <v>27810</v>
      </c>
      <c r="C137" s="3" t="s">
        <v>27811</v>
      </c>
      <c r="D137" s="3" t="s">
        <v>27812</v>
      </c>
      <c r="E137" s="3" t="s">
        <v>27813</v>
      </c>
      <c r="F137" s="3" t="s">
        <v>27814</v>
      </c>
      <c r="G137" s="5" t="str">
        <f>B137</f>
        <v>Chef</v>
      </c>
      <c r="H137" s="3" t="s">
        <v>27815</v>
      </c>
      <c r="I137" s="5" t="str">
        <f>IFERROR(__xludf.DUMMYFUNCTION("GOOGLETRANSLATE(J137,""zh_HANS"",""zh_HANT"")"),"主廚")</f>
        <v>主廚</v>
      </c>
      <c r="J137" s="7" t="s">
        <v>27816</v>
      </c>
    </row>
    <row r="138">
      <c r="A138" s="3" t="s">
        <v>27817</v>
      </c>
      <c r="B138" s="3" t="s">
        <v>27818</v>
      </c>
      <c r="C138" s="3" t="s">
        <v>27819</v>
      </c>
      <c r="D138" s="6" t="s">
        <v>27820</v>
      </c>
      <c r="E138" s="6" t="s">
        <v>27821</v>
      </c>
      <c r="F138" s="3" t="s">
        <v>27822</v>
      </c>
      <c r="G138" s="6" t="s">
        <v>27823</v>
      </c>
      <c r="H138" s="6" t="s">
        <v>27824</v>
      </c>
      <c r="I138" s="6" t="s">
        <v>27825</v>
      </c>
      <c r="J138" s="5" t="str">
        <f>IFERROR(__xludf.DUMMYFUNCTION("GOOGLETRANSLATE(I138,""zh_HANT"",""zh_HANS"")"),"大姐头")</f>
        <v>大姐头</v>
      </c>
    </row>
    <row r="139">
      <c r="A139" s="5" t="str">
        <f t="shared" ref="A139:A144" si="75">CONCATENATE("NAME_TC_", SUBSTITUTE(UPPER(B139), " ", ""))</f>
        <v>NAME_TC_DRIVER</v>
      </c>
      <c r="B139" s="3" t="s">
        <v>27826</v>
      </c>
      <c r="C139" s="3" t="s">
        <v>27827</v>
      </c>
      <c r="D139" s="3" t="s">
        <v>27828</v>
      </c>
      <c r="E139" s="3" t="s">
        <v>27829</v>
      </c>
      <c r="F139" s="3" t="s">
        <v>27830</v>
      </c>
      <c r="G139" s="3" t="s">
        <v>27831</v>
      </c>
      <c r="H139" s="3" t="s">
        <v>27832</v>
      </c>
      <c r="I139" s="5" t="str">
        <f>IFERROR(__xludf.DUMMYFUNCTION("GOOGLETRANSLATE(J139,""zh_HANS"",""zh_HANT"")"),"駕駛")</f>
        <v>駕駛</v>
      </c>
      <c r="J139" s="7" t="s">
        <v>27833</v>
      </c>
    </row>
    <row r="140">
      <c r="A140" s="5" t="str">
        <f t="shared" si="75"/>
        <v>NAME_TC_FAIRYTALEGIRL</v>
      </c>
      <c r="B140" s="3" t="s">
        <v>27834</v>
      </c>
      <c r="C140" s="3" t="s">
        <v>27835</v>
      </c>
      <c r="D140" s="3" t="s">
        <v>27836</v>
      </c>
      <c r="E140" s="3" t="s">
        <v>27837</v>
      </c>
      <c r="F140" s="3" t="s">
        <v>27838</v>
      </c>
      <c r="G140" s="3" t="s">
        <v>27839</v>
      </c>
      <c r="H140" s="3" t="s">
        <v>27840</v>
      </c>
      <c r="I140" s="3" t="s">
        <v>27841</v>
      </c>
      <c r="J140" s="5" t="str">
        <f>IFERROR(__xludf.DUMMYFUNCTION("GOOGLETRANSLATE(I140,""zh_HANT"",""zh_HANS"")"),"童话少女")</f>
        <v>童话少女</v>
      </c>
    </row>
    <row r="141">
      <c r="A141" s="5" t="str">
        <f t="shared" si="75"/>
        <v>NAME_TC_FURISODEGIRL</v>
      </c>
      <c r="B141" s="3" t="s">
        <v>27842</v>
      </c>
      <c r="C141" s="3" t="s">
        <v>27843</v>
      </c>
      <c r="D141" s="3" t="s">
        <v>27844</v>
      </c>
      <c r="E141" s="3" t="s">
        <v>27845</v>
      </c>
      <c r="F141" s="3" t="s">
        <v>27846</v>
      </c>
      <c r="G141" s="3" t="s">
        <v>27847</v>
      </c>
      <c r="H141" s="3" t="s">
        <v>27848</v>
      </c>
      <c r="I141" s="29" t="str">
        <f>J141</f>
        <v>和服少女</v>
      </c>
      <c r="J141" s="7" t="s">
        <v>27849</v>
      </c>
    </row>
    <row r="142">
      <c r="A142" s="5" t="str">
        <f t="shared" si="75"/>
        <v>NAME_TC_GARDENER</v>
      </c>
      <c r="B142" s="3" t="s">
        <v>27850</v>
      </c>
      <c r="C142" s="3" t="s">
        <v>27851</v>
      </c>
      <c r="D142" s="3" t="s">
        <v>27852</v>
      </c>
      <c r="E142" s="3" t="s">
        <v>27853</v>
      </c>
      <c r="F142" s="3" t="s">
        <v>27854</v>
      </c>
      <c r="G142" s="3" t="s">
        <v>27855</v>
      </c>
      <c r="H142" s="3" t="s">
        <v>27856</v>
      </c>
      <c r="I142" s="3" t="s">
        <v>27857</v>
      </c>
      <c r="J142" s="5" t="str">
        <f>IFERROR(__xludf.DUMMYFUNCTION("GOOGLETRANSLATE(I142,""zh_HANT"",""zh_HANS"")"),"园艺家")</f>
        <v>园艺家</v>
      </c>
    </row>
    <row r="143">
      <c r="A143" s="5" t="str">
        <f t="shared" si="75"/>
        <v>NAME_TC_HONEYMOONERS</v>
      </c>
      <c r="B143" s="3" t="s">
        <v>27858</v>
      </c>
      <c r="C143" s="3" t="s">
        <v>27859</v>
      </c>
      <c r="D143" s="3" t="s">
        <v>27860</v>
      </c>
      <c r="E143" s="3" t="s">
        <v>27861</v>
      </c>
      <c r="F143" s="3" t="s">
        <v>27862</v>
      </c>
      <c r="G143" s="3" t="s">
        <v>27863</v>
      </c>
      <c r="H143" s="3" t="s">
        <v>27864</v>
      </c>
      <c r="I143" s="3" t="s">
        <v>27865</v>
      </c>
      <c r="J143" s="5" t="str">
        <f>IFERROR(__xludf.DUMMYFUNCTION("GOOGLETRANSLATE(I143,""zh_HANT"",""zh_HANS"")"),"蜜月夫妇")</f>
        <v>蜜月夫妇</v>
      </c>
    </row>
    <row r="144">
      <c r="A144" s="5" t="str">
        <f t="shared" si="75"/>
        <v>NAME_TC_MYSTERIOUSSISTERS</v>
      </c>
      <c r="B144" s="3" t="s">
        <v>27866</v>
      </c>
      <c r="C144" s="3" t="s">
        <v>27867</v>
      </c>
      <c r="D144" s="3" t="s">
        <v>27868</v>
      </c>
      <c r="E144" s="3" t="s">
        <v>27869</v>
      </c>
      <c r="F144" s="3" t="s">
        <v>27870</v>
      </c>
      <c r="G144" s="3" t="s">
        <v>27871</v>
      </c>
      <c r="H144" s="3" t="s">
        <v>27872</v>
      </c>
      <c r="I144" s="5" t="str">
        <f>IFERROR(__xludf.DUMMYFUNCTION("GOOGLETRANSLATE(J144,""zh_HANS"",""zh_HANT"")"),"不可思議姊妹")</f>
        <v>不可思議姊妹</v>
      </c>
      <c r="J144" s="7" t="s">
        <v>27873</v>
      </c>
    </row>
    <row r="145">
      <c r="A145" s="3" t="s">
        <v>27874</v>
      </c>
      <c r="B145" s="3" t="s">
        <v>27875</v>
      </c>
      <c r="C145" s="3" t="s">
        <v>27876</v>
      </c>
      <c r="D145" s="6" t="s">
        <v>27877</v>
      </c>
      <c r="E145" s="6" t="s">
        <v>27878</v>
      </c>
      <c r="F145" s="3" t="s">
        <v>27879</v>
      </c>
      <c r="G145" s="6" t="s">
        <v>27879</v>
      </c>
      <c r="H145" s="6" t="s">
        <v>27880</v>
      </c>
      <c r="I145" s="7" t="s">
        <v>27881</v>
      </c>
      <c r="J145" s="7" t="str">
        <f>I145</f>
        <v>店主</v>
      </c>
    </row>
    <row r="146">
      <c r="A146" s="3" t="s">
        <v>27882</v>
      </c>
      <c r="B146" s="5" t="str">
        <f>CONCATENATE(B46, " Family")</f>
        <v>Pokefan Family</v>
      </c>
      <c r="C146" s="3" t="s">
        <v>27883</v>
      </c>
      <c r="D146" s="3" t="s">
        <v>27884</v>
      </c>
      <c r="E146" s="3" t="s">
        <v>27885</v>
      </c>
      <c r="F146" s="3" t="s">
        <v>27886</v>
      </c>
      <c r="G146" s="5" t="str">
        <f>CONCATENATE("Coppia ",G46)</f>
        <v>Coppia Pokefan</v>
      </c>
      <c r="H146" s="3" t="s">
        <v>27887</v>
      </c>
      <c r="I146" s="5" t="str">
        <f>IFERROR(__xludf.DUMMYFUNCTION("GOOGLETRANSLATE(J146,""zh_HANS"",""zh_HANT"")"),"同好夫婦")</f>
        <v>同好夫婦</v>
      </c>
      <c r="J146" s="7" t="s">
        <v>27888</v>
      </c>
    </row>
    <row r="147">
      <c r="A147" s="3" t="s">
        <v>27889</v>
      </c>
      <c r="B147" s="3" t="s">
        <v>27890</v>
      </c>
      <c r="C147" s="3" t="s">
        <v>27891</v>
      </c>
      <c r="D147" s="3" t="s">
        <v>27892</v>
      </c>
      <c r="E147" s="3" t="s">
        <v>27893</v>
      </c>
      <c r="F147" s="3" t="s">
        <v>27894</v>
      </c>
      <c r="G147" s="3" t="s">
        <v>27895</v>
      </c>
      <c r="H147" s="3" t="s">
        <v>27896</v>
      </c>
      <c r="I147" s="3" t="s">
        <v>27897</v>
      </c>
      <c r="J147" s="5" t="str">
        <f>IFERROR(__xludf.DUMMYFUNCTION("GOOGLETRANSLATE(I147,""zh_HANT"",""zh_HANS"")"),"宝可梦博士")</f>
        <v>宝可梦博士</v>
      </c>
    </row>
    <row r="148">
      <c r="A148" s="5" t="str">
        <f t="shared" ref="A148:A150" si="76">CONCATENATE("NAME_TC_", SUBSTITUTE(UPPER(B148), " ", ""))</f>
        <v>NAME_TC_PUNKGIRL</v>
      </c>
      <c r="B148" s="3" t="s">
        <v>27898</v>
      </c>
      <c r="C148" s="3" t="s">
        <v>27899</v>
      </c>
      <c r="D148" s="3" t="s">
        <v>27900</v>
      </c>
      <c r="E148" s="3" t="str">
        <f>CONCATENATE(E149,"in")</f>
        <v>Punkerin</v>
      </c>
      <c r="F148" s="3" t="s">
        <v>27901</v>
      </c>
      <c r="G148" s="3" t="s">
        <v>9943</v>
      </c>
      <c r="H148" s="3" t="s">
        <v>27902</v>
      </c>
      <c r="I148" s="3" t="s">
        <v>27903</v>
      </c>
      <c r="J148" s="5" t="str">
        <f>IFERROR(__xludf.DUMMYFUNCTION("GOOGLETRANSLATE(I148,""zh_HANT"",""zh_HANS"")"),"坏女孩")</f>
        <v>坏女孩</v>
      </c>
    </row>
    <row r="149">
      <c r="A149" s="5" t="str">
        <f t="shared" si="76"/>
        <v>NAME_TC_PUNKGUY</v>
      </c>
      <c r="B149" s="3" t="s">
        <v>27904</v>
      </c>
      <c r="C149" s="3" t="s">
        <v>27905</v>
      </c>
      <c r="D149" s="3" t="s">
        <v>27906</v>
      </c>
      <c r="E149" s="3" t="s">
        <v>27907</v>
      </c>
      <c r="F149" s="3" t="s">
        <v>27908</v>
      </c>
      <c r="G149" s="5" t="str">
        <f>G148</f>
        <v>Ribelle</v>
      </c>
      <c r="H149" s="3" t="s">
        <v>27909</v>
      </c>
      <c r="I149" s="3" t="s">
        <v>27910</v>
      </c>
      <c r="J149" s="5" t="str">
        <f>IFERROR(__xludf.DUMMYFUNCTION("GOOGLETRANSLATE(I149,""zh_HANT"",""zh_HANS"")"),"坏男孩")</f>
        <v>坏男孩</v>
      </c>
    </row>
    <row r="150">
      <c r="A150" s="5" t="str">
        <f t="shared" si="76"/>
        <v>NAME_TC_RANGERS</v>
      </c>
      <c r="B150" s="3" t="s">
        <v>27911</v>
      </c>
      <c r="C150" s="3" t="s">
        <v>27912</v>
      </c>
      <c r="D150" s="3" t="s">
        <v>27913</v>
      </c>
      <c r="E150" s="3" t="s">
        <v>27914</v>
      </c>
      <c r="F150" s="3" t="s">
        <v>27911</v>
      </c>
      <c r="G150" s="3" t="str">
        <f>CONCATENATE("Duo ",E150)</f>
        <v>Duo Ranger</v>
      </c>
      <c r="H150" s="3" t="s">
        <v>27915</v>
      </c>
      <c r="I150" s="3" t="s">
        <v>27916</v>
      </c>
      <c r="J150" s="5" t="str">
        <f>IFERROR(__xludf.DUMMYFUNCTION("GOOGLETRANSLATE(I150,""zh_HANT"",""zh_HANS"")"),"双巡护员")</f>
        <v>双巡护员</v>
      </c>
    </row>
    <row r="151">
      <c r="A151" s="3" t="s">
        <v>27917</v>
      </c>
      <c r="B151" s="3" t="s">
        <v>27918</v>
      </c>
      <c r="C151" s="30" t="s">
        <v>27919</v>
      </c>
      <c r="D151" s="4" t="s">
        <v>27920</v>
      </c>
      <c r="E151" s="3" t="s">
        <v>27921</v>
      </c>
      <c r="F151" s="3" t="s">
        <v>27922</v>
      </c>
      <c r="G151" s="3" t="s">
        <v>27923</v>
      </c>
      <c r="H151" s="4" t="s">
        <v>27924</v>
      </c>
      <c r="I151" s="5" t="str">
        <f>IFERROR(__xludf.DUMMYFUNCTION("GOOGLETRANSLATE(J151,""zh_HANS"",""zh_HANT"")"),"溜冰手")</f>
        <v>溜冰手</v>
      </c>
      <c r="J151" s="3" t="s">
        <v>27925</v>
      </c>
    </row>
    <row r="152">
      <c r="A152" s="3" t="s">
        <v>27926</v>
      </c>
      <c r="B152" s="3" t="s">
        <v>27918</v>
      </c>
      <c r="C152" s="30" t="s">
        <v>27919</v>
      </c>
      <c r="D152" s="4" t="s">
        <v>27927</v>
      </c>
      <c r="E152" s="5" t="str">
        <f>CONCATENATE(E151,"in")</f>
        <v>Rollerskaterin</v>
      </c>
      <c r="F152" s="3" t="s">
        <v>27928</v>
      </c>
      <c r="G152" s="3" t="s">
        <v>27929</v>
      </c>
      <c r="H152" s="6" t="str">
        <f t="shared" ref="H152:J152" si="77">H151</f>
        <v>롤러스케이트</v>
      </c>
      <c r="I152" s="6" t="str">
        <f t="shared" si="77"/>
        <v>溜冰手</v>
      </c>
      <c r="J152" s="6" t="str">
        <f t="shared" si="77"/>
        <v>溜冰手</v>
      </c>
    </row>
    <row r="153">
      <c r="A153" s="3" t="s">
        <v>27930</v>
      </c>
      <c r="B153" s="3" t="s">
        <v>27931</v>
      </c>
      <c r="C153" s="3" t="s">
        <v>27932</v>
      </c>
      <c r="D153" s="4" t="s">
        <v>27933</v>
      </c>
      <c r="E153" s="6" t="s">
        <v>27934</v>
      </c>
      <c r="F153" s="3" t="s">
        <v>27935</v>
      </c>
      <c r="G153" s="3" t="s">
        <v>27936</v>
      </c>
      <c r="H153" s="4" t="s">
        <v>27937</v>
      </c>
      <c r="I153" s="4" t="s">
        <v>27938</v>
      </c>
      <c r="J153" s="5" t="str">
        <f>IFERROR(__xludf.DUMMYFUNCTION("GOOGLETRANSLATE(I153,""zh_HANT"",""zh_HANS"")"),"新星训练家")</f>
        <v>新星训练家</v>
      </c>
    </row>
    <row r="154">
      <c r="A154" s="3" t="s">
        <v>27939</v>
      </c>
      <c r="B154" s="3" t="str">
        <f t="shared" ref="B154:C154" si="78">B153</f>
        <v>Rising Star</v>
      </c>
      <c r="C154" s="3" t="str">
        <f t="shared" si="78"/>
        <v>ホープトレーナー</v>
      </c>
      <c r="D154" s="6" t="s">
        <v>27940</v>
      </c>
      <c r="E154" s="5" t="str">
        <f>E153</f>
        <v>Trainerhoffnung</v>
      </c>
      <c r="F154" s="3" t="s">
        <v>27941</v>
      </c>
      <c r="G154" s="5" t="str">
        <f t="shared" ref="G154:J154" si="79">G153</f>
        <v>Giovane speranza</v>
      </c>
      <c r="H154" s="5" t="str">
        <f t="shared" si="79"/>
        <v>호프 트레이너</v>
      </c>
      <c r="I154" s="5" t="str">
        <f t="shared" si="79"/>
        <v>新星訓練家</v>
      </c>
      <c r="J154" s="5" t="str">
        <f t="shared" si="79"/>
        <v>新星训练家</v>
      </c>
    </row>
    <row r="155">
      <c r="A155" s="5" t="str">
        <f>CONCATENATE("NAME_TC_", SUBSTITUTE(UPPER(B155), " ", ""))</f>
        <v>NAME_TC_SCHOOLGIRL</v>
      </c>
      <c r="B155" s="3" t="s">
        <v>27942</v>
      </c>
      <c r="C155" s="3" t="s">
        <v>27943</v>
      </c>
      <c r="D155" s="3" t="s">
        <v>27944</v>
      </c>
      <c r="E155" s="5" t="str">
        <f>CONCATENATE(E51,"in")</f>
        <v>Schülerin</v>
      </c>
      <c r="F155" s="3" t="s">
        <v>27232</v>
      </c>
      <c r="G155" s="5" t="str">
        <f>CONCATENATE(G51,"ssa")</f>
        <v>Studendessa</v>
      </c>
      <c r="H155" s="6" t="s">
        <v>27945</v>
      </c>
      <c r="I155" s="6" t="s">
        <v>27946</v>
      </c>
      <c r="J155" s="5" t="str">
        <f>IFERROR(__xludf.DUMMYFUNCTION("GOOGLETRANSLATE(I155,""zh_HANT"",""zh_HANS"")"),"女学生")</f>
        <v>女学生</v>
      </c>
    </row>
    <row r="156">
      <c r="A156" s="3" t="s">
        <v>27947</v>
      </c>
      <c r="B156" s="3" t="s">
        <v>27948</v>
      </c>
      <c r="C156" s="3" t="s">
        <v>27949</v>
      </c>
      <c r="D156" s="3" t="s">
        <v>27950</v>
      </c>
      <c r="E156" s="6" t="s">
        <v>27951</v>
      </c>
      <c r="F156" s="3" t="s">
        <v>27952</v>
      </c>
      <c r="G156" s="4" t="s">
        <v>27953</v>
      </c>
      <c r="H156" s="6" t="s">
        <v>27954</v>
      </c>
      <c r="I156" s="6" t="s">
        <v>27955</v>
      </c>
      <c r="J156" s="5" t="str">
        <f>IFERROR(__xludf.DUMMYFUNCTION("GOOGLETRANSLATE(I156,""zh_HANT"",""zh_HANS"")"),"空中训练员")</f>
        <v>空中训练员</v>
      </c>
    </row>
    <row r="157">
      <c r="A157" s="3" t="s">
        <v>27956</v>
      </c>
      <c r="B157" s="3" t="str">
        <f t="shared" ref="B157:E157" si="80">B156</f>
        <v>Sky Trainer</v>
      </c>
      <c r="C157" s="3" t="str">
        <f t="shared" si="80"/>
        <v>スカイトレーナー</v>
      </c>
      <c r="D157" s="3" t="str">
        <f t="shared" si="80"/>
        <v>Dresseur Aérien</v>
      </c>
      <c r="E157" s="3" t="str">
        <f t="shared" si="80"/>
        <v>Himmelstrainer</v>
      </c>
      <c r="F157" s="3" t="s">
        <v>27957</v>
      </c>
      <c r="G157" s="3" t="s">
        <v>27958</v>
      </c>
      <c r="H157" s="3" t="str">
        <f t="shared" ref="H157:J157" si="81">H156</f>
        <v>스카이 트레이너</v>
      </c>
      <c r="I157" s="3" t="str">
        <f t="shared" si="81"/>
        <v>空中訓練員</v>
      </c>
      <c r="J157" s="3" t="str">
        <f t="shared" si="81"/>
        <v>空中训练员</v>
      </c>
    </row>
    <row r="158">
      <c r="A158" s="3" t="s">
        <v>27959</v>
      </c>
      <c r="B158" s="3" t="s">
        <v>27960</v>
      </c>
      <c r="C158" s="3" t="s">
        <v>27961</v>
      </c>
      <c r="D158" s="6" t="s">
        <v>27820</v>
      </c>
      <c r="E158" s="6" t="s">
        <v>27962</v>
      </c>
      <c r="F158" s="3" t="s">
        <v>27822</v>
      </c>
      <c r="G158" s="6" t="s">
        <v>27963</v>
      </c>
      <c r="H158" s="6" t="s">
        <v>27964</v>
      </c>
      <c r="I158" s="6" t="s">
        <v>27965</v>
      </c>
      <c r="J158" s="7" t="str">
        <f>I158</f>
        <v>可怕的大叔</v>
      </c>
    </row>
    <row r="159">
      <c r="A159" s="3" t="s">
        <v>27966</v>
      </c>
      <c r="B159" s="3" t="s">
        <v>27967</v>
      </c>
      <c r="C159" s="3" t="s">
        <v>27968</v>
      </c>
      <c r="D159" s="3" t="s">
        <v>27969</v>
      </c>
      <c r="E159" s="5" t="str">
        <f>B159</f>
        <v>Tourist</v>
      </c>
      <c r="F159" s="3" t="s">
        <v>27970</v>
      </c>
      <c r="G159" s="3" t="s">
        <v>27970</v>
      </c>
      <c r="H159" s="6" t="s">
        <v>27971</v>
      </c>
      <c r="I159" s="5" t="str">
        <f>IFERROR(__xludf.DUMMYFUNCTION("GOOGLETRANSLATE(J159,""zh_HANS"",""zh_HANT"")"),"旅遊者")</f>
        <v>旅遊者</v>
      </c>
      <c r="J159" s="7" t="s">
        <v>27972</v>
      </c>
    </row>
    <row r="160">
      <c r="A160" s="3" t="s">
        <v>27973</v>
      </c>
      <c r="B160" s="3" t="str">
        <f t="shared" ref="B160:D160" si="82">B159</f>
        <v>Tourist</v>
      </c>
      <c r="C160" s="3" t="str">
        <f t="shared" si="82"/>
        <v>ツアーきゃく</v>
      </c>
      <c r="D160" s="3" t="str">
        <f t="shared" si="82"/>
        <v>Touriste</v>
      </c>
      <c r="E160" s="5" t="str">
        <f>CONCATENATE(E159,"in")</f>
        <v>Touristin</v>
      </c>
      <c r="F160" s="3" t="s">
        <v>27970</v>
      </c>
      <c r="G160" s="3" t="str">
        <f t="shared" ref="G160:J160" si="83">G159</f>
        <v>Turista</v>
      </c>
      <c r="H160" s="3" t="str">
        <f t="shared" si="83"/>
        <v>투어객</v>
      </c>
      <c r="I160" s="3" t="str">
        <f t="shared" si="83"/>
        <v>旅遊者</v>
      </c>
      <c r="J160" s="3" t="str">
        <f t="shared" si="83"/>
        <v>旅游者</v>
      </c>
    </row>
    <row r="161">
      <c r="A161" s="5" t="str">
        <f>CONCATENATE("NAME_TC_", SUBSTITUTE(UPPER(B161), " ", ""))</f>
        <v>NAME_TC_FREEDIVER</v>
      </c>
      <c r="B161" s="3" t="s">
        <v>27974</v>
      </c>
      <c r="C161" s="3" t="s">
        <v>27975</v>
      </c>
      <c r="D161" s="3" t="s">
        <v>27976</v>
      </c>
      <c r="E161" s="3" t="s">
        <v>27977</v>
      </c>
      <c r="F161" s="3" t="s">
        <v>27978</v>
      </c>
      <c r="G161" s="3" t="s">
        <v>27979</v>
      </c>
      <c r="H161" s="3" t="s">
        <v>27980</v>
      </c>
      <c r="I161" s="5" t="str">
        <f>IFERROR(__xludf.DUMMYFUNCTION("GOOGLETRANSLATE(J161,""zh_HANS"",""zh_HANT"")"),"海女")</f>
        <v>海女</v>
      </c>
      <c r="J161" s="7" t="s">
        <v>27981</v>
      </c>
    </row>
    <row r="162">
      <c r="A162" s="3" t="s">
        <v>27982</v>
      </c>
      <c r="B162" s="3" t="s">
        <v>27983</v>
      </c>
      <c r="C162" s="3" t="s">
        <v>27984</v>
      </c>
      <c r="D162" s="3" t="s">
        <v>27985</v>
      </c>
      <c r="E162" s="3" t="s">
        <v>8570</v>
      </c>
      <c r="F162" s="3" t="s">
        <v>27986</v>
      </c>
      <c r="G162" s="3" t="s">
        <v>15043</v>
      </c>
      <c r="H162" s="3" t="s">
        <v>27987</v>
      </c>
      <c r="I162" s="5" t="str">
        <f>IFERROR(__xludf.DUMMYFUNCTION("GOOGLETRANSLATE(J162,""zh_HANS"",""zh_HANT"")"),"潛水員")</f>
        <v>潛水員</v>
      </c>
      <c r="J162" s="7" t="s">
        <v>27988</v>
      </c>
    </row>
    <row r="163">
      <c r="A163" s="5" t="str">
        <f t="shared" ref="A163:A165" si="84">CONCATENATE("NAME_TC_", SUBSTITUTE(UPPER(B163), " ", ""))</f>
        <v>NAME_TC_BELLHOP</v>
      </c>
      <c r="B163" s="3" t="s">
        <v>27989</v>
      </c>
      <c r="C163" s="3" t="s">
        <v>27990</v>
      </c>
      <c r="D163" s="3" t="s">
        <v>27991</v>
      </c>
      <c r="E163" s="3" t="s">
        <v>27992</v>
      </c>
      <c r="F163" s="3" t="s">
        <v>27993</v>
      </c>
      <c r="G163" s="3" t="s">
        <v>27994</v>
      </c>
      <c r="H163" s="3" t="s">
        <v>27995</v>
      </c>
      <c r="I163" s="3" t="s">
        <v>27996</v>
      </c>
      <c r="J163" s="5" t="str">
        <f>IFERROR(__xludf.DUMMYFUNCTION("GOOGLETRANSLATE(I163,""zh_HANT"",""zh_HANS"")"),"行李员")</f>
        <v>行李员</v>
      </c>
    </row>
    <row r="164">
      <c r="A164" s="5" t="str">
        <f t="shared" si="84"/>
        <v>NAME_TC_COOK</v>
      </c>
      <c r="B164" s="3" t="s">
        <v>27997</v>
      </c>
      <c r="C164" s="3" t="s">
        <v>27998</v>
      </c>
      <c r="D164" s="3" t="s">
        <v>27812</v>
      </c>
      <c r="E164" s="3" t="s">
        <v>27999</v>
      </c>
      <c r="F164" s="3" t="s">
        <v>27810</v>
      </c>
      <c r="G164" s="3" t="s">
        <v>28000</v>
      </c>
      <c r="H164" s="3" t="s">
        <v>28001</v>
      </c>
      <c r="I164" s="3" t="s">
        <v>28002</v>
      </c>
      <c r="J164" s="5" t="str">
        <f>IFERROR(__xludf.DUMMYFUNCTION("GOOGLETRANSLATE(I164,""zh_HANT"",""zh_HANS"")"),"西餐厨师")</f>
        <v>西餐厨师</v>
      </c>
    </row>
    <row r="165">
      <c r="A165" s="5" t="str">
        <f t="shared" si="84"/>
        <v>NAME_TC_FIREFIGHTER</v>
      </c>
      <c r="B165" s="3" t="s">
        <v>28003</v>
      </c>
      <c r="C165" s="3" t="s">
        <v>28004</v>
      </c>
      <c r="D165" s="3" t="s">
        <v>28005</v>
      </c>
      <c r="E165" s="3" t="s">
        <v>28006</v>
      </c>
      <c r="F165" s="3" t="s">
        <v>28007</v>
      </c>
      <c r="G165" s="3" t="s">
        <v>28008</v>
      </c>
      <c r="H165" s="3" t="s">
        <v>28009</v>
      </c>
      <c r="I165" s="3" t="s">
        <v>28010</v>
      </c>
      <c r="J165" s="5" t="str">
        <f>IFERROR(__xludf.DUMMYFUNCTION("GOOGLETRANSLATE(I165,""zh_HANT"",""zh_HANS"")"),"消防员")</f>
        <v>消防员</v>
      </c>
    </row>
    <row r="166">
      <c r="A166" s="3" t="s">
        <v>28011</v>
      </c>
      <c r="B166" s="3" t="s">
        <v>28012</v>
      </c>
      <c r="C166" s="3" t="s">
        <v>28013</v>
      </c>
      <c r="D166" s="4" t="s">
        <v>28014</v>
      </c>
      <c r="E166" s="4" t="s">
        <v>28015</v>
      </c>
      <c r="F166" s="3" t="s">
        <v>28016</v>
      </c>
      <c r="G166" s="6" t="str">
        <f>F166</f>
        <v>Kahuna</v>
      </c>
      <c r="H166" s="4" t="s">
        <v>28017</v>
      </c>
      <c r="I166" s="4" t="s">
        <v>28018</v>
      </c>
      <c r="J166" s="5" t="str">
        <f>IFERROR(__xludf.DUMMYFUNCTION("GOOGLETRANSLATE(I166,""zh_HANT"",""zh_HANS"")"),"岛屿之王")</f>
        <v>岛屿之王</v>
      </c>
    </row>
    <row r="167">
      <c r="A167" s="3" t="s">
        <v>28019</v>
      </c>
      <c r="B167" s="3" t="str">
        <f>B166</f>
        <v>Island Kahuna</v>
      </c>
      <c r="C167" s="3" t="s">
        <v>28020</v>
      </c>
      <c r="D167" s="4" t="str">
        <f>CONCATENATE(D166,"ne")</f>
        <v>Doyenne</v>
      </c>
      <c r="E167" s="4" t="str">
        <f>CONCATENATE(E166,"in")</f>
        <v>Inselkönigin</v>
      </c>
      <c r="F167" s="3" t="str">
        <f t="shared" ref="F167:G167" si="85">F166</f>
        <v>Kahuna</v>
      </c>
      <c r="G167" s="3" t="str">
        <f t="shared" si="85"/>
        <v>Kahuna</v>
      </c>
      <c r="H167" s="4" t="s">
        <v>28021</v>
      </c>
      <c r="I167" s="4" t="s">
        <v>28022</v>
      </c>
      <c r="J167" s="5" t="str">
        <f>IFERROR(__xludf.DUMMYFUNCTION("GOOGLETRANSLATE(I167,""zh_HANT"",""zh_HANS"")"),"岛屿女王")</f>
        <v>岛屿女王</v>
      </c>
    </row>
    <row r="168">
      <c r="A168" s="3" t="s">
        <v>28023</v>
      </c>
      <c r="B168" s="3" t="s">
        <v>28024</v>
      </c>
      <c r="C168" s="3" t="s">
        <v>28025</v>
      </c>
      <c r="D168" s="4" t="s">
        <v>28026</v>
      </c>
      <c r="E168" s="6" t="s">
        <v>28027</v>
      </c>
      <c r="F168" s="3" t="s">
        <v>28028</v>
      </c>
      <c r="G168" s="6" t="s">
        <v>28029</v>
      </c>
      <c r="H168" s="6" t="s">
        <v>28030</v>
      </c>
      <c r="I168" s="6" t="s">
        <v>28031</v>
      </c>
      <c r="J168" s="5" t="str">
        <f>IFERROR(__xludf.DUMMYFUNCTION("GOOGLETRANSLATE(I168,""zh_HANT"",""zh_HANS"")"),"神纸使")</f>
        <v>神纸使</v>
      </c>
    </row>
    <row r="169">
      <c r="A169" s="3" t="s">
        <v>28032</v>
      </c>
      <c r="B169" s="3" t="s">
        <v>28033</v>
      </c>
      <c r="C169" s="3" t="s">
        <v>28034</v>
      </c>
      <c r="D169" s="6" t="s">
        <v>28035</v>
      </c>
      <c r="E169" s="6" t="s">
        <v>28036</v>
      </c>
      <c r="F169" s="6" t="s">
        <v>28037</v>
      </c>
      <c r="G169" s="6" t="s">
        <v>28038</v>
      </c>
      <c r="H169" s="6" t="s">
        <v>28039</v>
      </c>
      <c r="I169" s="6" t="s">
        <v>28040</v>
      </c>
      <c r="J169" s="5" t="str">
        <f>IFERROR(__xludf.DUMMYFUNCTION("GOOGLETRANSLATE(I169,""zh_HANT"",""zh_HANS"")"),"对战师徒")</f>
        <v>对战师徒</v>
      </c>
    </row>
    <row r="170">
      <c r="A170" s="5" t="str">
        <f t="shared" ref="A170:A172" si="86">CONCATENATE("NAME_TC_", SUBSTITUTE(UPPER(B170), " ", ""))</f>
        <v>NAME_TC_PUNKPAIR</v>
      </c>
      <c r="B170" s="3" t="s">
        <v>28041</v>
      </c>
      <c r="C170" s="3" t="s">
        <v>28042</v>
      </c>
      <c r="D170" s="3" t="s">
        <v>28043</v>
      </c>
      <c r="E170" s="3" t="s">
        <v>28044</v>
      </c>
      <c r="F170" s="3" t="s">
        <v>28045</v>
      </c>
      <c r="G170" s="3" t="s">
        <v>28046</v>
      </c>
      <c r="H170" s="3" t="s">
        <v>28047</v>
      </c>
      <c r="I170" s="3" t="s">
        <v>28048</v>
      </c>
      <c r="J170" s="5" t="str">
        <f>IFERROR(__xludf.DUMMYFUNCTION("GOOGLETRANSLATE(I170,""zh_HANT"",""zh_HANS"")"),"坏情侣")</f>
        <v>坏情侣</v>
      </c>
    </row>
    <row r="171">
      <c r="A171" s="5" t="str">
        <f t="shared" si="86"/>
        <v>NAME_TC_SWIMMERS</v>
      </c>
      <c r="B171" s="3" t="s">
        <v>28049</v>
      </c>
      <c r="C171" s="3" t="s">
        <v>28050</v>
      </c>
      <c r="D171" s="3" t="s">
        <v>28051</v>
      </c>
      <c r="E171" s="3" t="s">
        <v>28052</v>
      </c>
      <c r="F171" s="3" t="s">
        <v>28053</v>
      </c>
      <c r="G171" s="3" t="s">
        <v>28054</v>
      </c>
      <c r="H171" s="3" t="s">
        <v>28055</v>
      </c>
      <c r="I171" s="3" t="s">
        <v>28056</v>
      </c>
      <c r="J171" s="5" t="str">
        <f>IFERROR(__xludf.DUMMYFUNCTION("GOOGLETRANSLATE(I171,""zh_HANT"",""zh_HANS"")"),"泳装情侣")</f>
        <v>泳装情侣</v>
      </c>
    </row>
    <row r="172">
      <c r="A172" s="5" t="str">
        <f t="shared" si="86"/>
        <v>NAME_TC_SWIMMERGIRLS</v>
      </c>
      <c r="B172" s="3" t="s">
        <v>28057</v>
      </c>
      <c r="C172" s="3" t="s">
        <v>28058</v>
      </c>
      <c r="D172" s="3" t="s">
        <v>28059</v>
      </c>
      <c r="E172" s="3" t="s">
        <v>28060</v>
      </c>
      <c r="F172" s="3" t="str">
        <f>F171</f>
        <v>Nadadores</v>
      </c>
      <c r="G172" s="3" t="s">
        <v>28061</v>
      </c>
      <c r="H172" s="3" t="s">
        <v>28062</v>
      </c>
      <c r="I172" s="3" t="s">
        <v>28063</v>
      </c>
      <c r="J172" s="5" t="str">
        <f>IFERROR(__xludf.DUMMYFUNCTION("GOOGLETRANSLATE(I172,""zh_HANT"",""zh_HANS"")"),"比基尼辣妹组合")</f>
        <v>比基尼辣妹组合</v>
      </c>
    </row>
    <row r="173">
      <c r="A173" s="3" t="s">
        <v>28064</v>
      </c>
      <c r="B173" s="3" t="s">
        <v>28065</v>
      </c>
      <c r="C173" s="3" t="s">
        <v>28066</v>
      </c>
      <c r="D173" s="3" t="s">
        <v>28067</v>
      </c>
      <c r="E173" s="3" t="s">
        <v>28068</v>
      </c>
      <c r="F173" s="3" t="s">
        <v>28069</v>
      </c>
      <c r="G173" s="3" t="s">
        <v>28070</v>
      </c>
      <c r="H173" s="6" t="s">
        <v>28071</v>
      </c>
      <c r="I173" s="6" t="s">
        <v>28072</v>
      </c>
      <c r="J173" s="5" t="str">
        <f>IFERROR(__xludf.DUMMYFUNCTION("GOOGLETRANSLATE(I173,""zh_HANT"",""zh_HANS"")"),"队长")</f>
        <v>队长</v>
      </c>
    </row>
    <row r="174">
      <c r="A174" s="3" t="s">
        <v>28073</v>
      </c>
      <c r="B174" s="3" t="str">
        <f t="shared" ref="B174:E174" si="87">B173</f>
        <v>Trial Captain</v>
      </c>
      <c r="C174" s="3" t="str">
        <f t="shared" si="87"/>
        <v>キャプテン</v>
      </c>
      <c r="D174" s="3" t="str">
        <f t="shared" si="87"/>
        <v>Capitaine d'Épreuve</v>
      </c>
      <c r="E174" s="3" t="str">
        <f t="shared" si="87"/>
        <v>Captain</v>
      </c>
      <c r="F174" s="3" t="s">
        <v>28074</v>
      </c>
      <c r="G174" s="3" t="str">
        <f t="shared" ref="G174:J174" si="88">G173</f>
        <v>Capitano</v>
      </c>
      <c r="H174" s="3" t="str">
        <f t="shared" si="88"/>
        <v>캡틴</v>
      </c>
      <c r="I174" s="3" t="str">
        <f t="shared" si="88"/>
        <v>隊長</v>
      </c>
      <c r="J174" s="3" t="str">
        <f t="shared" si="88"/>
        <v>队长</v>
      </c>
    </row>
    <row r="175">
      <c r="A175" s="5" t="str">
        <f>CONCATENATE("NAME_TC_", SUBSTITUTE(UPPER(B175), " ", ""))</f>
        <v>NAME_TC_VETERANDUO</v>
      </c>
      <c r="B175" s="3" t="s">
        <v>28075</v>
      </c>
      <c r="C175" s="3" t="s">
        <v>28076</v>
      </c>
      <c r="D175" s="3" t="s">
        <v>28077</v>
      </c>
      <c r="E175" s="3" t="s">
        <v>28078</v>
      </c>
      <c r="F175" s="3" t="s">
        <v>28079</v>
      </c>
      <c r="G175" s="3" t="s">
        <v>28080</v>
      </c>
      <c r="H175" s="6" t="s">
        <v>28081</v>
      </c>
      <c r="I175" s="6" t="s">
        <v>28082</v>
      </c>
      <c r="J175" s="5" t="str">
        <f>IFERROR(__xludf.DUMMYFUNCTION("GOOGLETRANSLATE(I175,""zh_HANT"",""zh_HANS"")"),"资深组合")</f>
        <v>资深组合</v>
      </c>
    </row>
    <row r="176">
      <c r="A176" s="3" t="s">
        <v>28083</v>
      </c>
      <c r="B176" s="3" t="s">
        <v>28084</v>
      </c>
      <c r="C176" s="3" t="s">
        <v>28085</v>
      </c>
      <c r="D176" s="4" t="s">
        <v>28086</v>
      </c>
      <c r="E176" s="4" t="s">
        <v>28087</v>
      </c>
      <c r="F176" s="3" t="s">
        <v>28088</v>
      </c>
      <c r="G176" s="4" t="s">
        <v>28089</v>
      </c>
      <c r="H176" s="6" t="s">
        <v>28090</v>
      </c>
      <c r="I176" s="6" t="s">
        <v>28091</v>
      </c>
      <c r="J176" s="5" t="str">
        <f>IFERROR(__xludf.DUMMYFUNCTION("GOOGLETRANSLATE(I176,""zh_HANT"",""zh_HANS"")"),"运动少年")</f>
        <v>运动少年</v>
      </c>
    </row>
    <row r="177">
      <c r="A177" s="3" t="s">
        <v>28092</v>
      </c>
      <c r="B177" s="5" t="str">
        <f t="shared" ref="B177:C177" si="89">B176</f>
        <v>Youth Athlete</v>
      </c>
      <c r="C177" s="5" t="str">
        <f t="shared" si="89"/>
        <v>スポーツしょうねん</v>
      </c>
      <c r="D177" s="6" t="s">
        <v>28093</v>
      </c>
      <c r="E177" s="5" t="str">
        <f t="shared" ref="E177:F177" si="90">E176</f>
        <v>Sportskanone</v>
      </c>
      <c r="F177" s="5" t="str">
        <f t="shared" si="90"/>
        <v>Alevín</v>
      </c>
      <c r="G177" s="3" t="s">
        <v>28094</v>
      </c>
      <c r="H177" s="6" t="s">
        <v>28095</v>
      </c>
      <c r="I177" s="6" t="s">
        <v>28096</v>
      </c>
      <c r="J177" s="5" t="str">
        <f>IFERROR(__xludf.DUMMYFUNCTION("GOOGLETRANSLATE(I177,""zh_HANT"",""zh_HANS"")"),"运动少女")</f>
        <v>运动少女</v>
      </c>
    </row>
    <row r="178">
      <c r="A178" s="5" t="str">
        <f>CONCATENATE("NAME_TC_", SUBSTITUTE(UPPER(B178), " ", ""))</f>
        <v>NAME_TC_CABBIE</v>
      </c>
      <c r="B178" s="3" t="s">
        <v>28097</v>
      </c>
      <c r="C178" s="3" t="s">
        <v>28098</v>
      </c>
      <c r="D178" s="3" t="s">
        <v>28099</v>
      </c>
      <c r="E178" s="3" t="s">
        <v>28100</v>
      </c>
      <c r="F178" s="3" t="s">
        <v>28101</v>
      </c>
      <c r="G178" s="3" t="s">
        <v>28102</v>
      </c>
      <c r="H178" s="6" t="s">
        <v>28103</v>
      </c>
      <c r="I178" s="6" t="s">
        <v>28104</v>
      </c>
      <c r="J178" s="6" t="s">
        <v>28105</v>
      </c>
    </row>
    <row r="179">
      <c r="A179" s="3" t="s">
        <v>28106</v>
      </c>
      <c r="B179" s="3" t="s">
        <v>28107</v>
      </c>
      <c r="C179" s="3" t="s">
        <v>28108</v>
      </c>
      <c r="D179" s="3" t="s">
        <v>28109</v>
      </c>
      <c r="E179" s="5" t="str">
        <f>D179</f>
        <v>Barista</v>
      </c>
      <c r="F179" s="3" t="str">
        <f>D179</f>
        <v>Barista</v>
      </c>
      <c r="G179" s="5" t="str">
        <f>D179</f>
        <v>Barista</v>
      </c>
      <c r="H179" s="6" t="s">
        <v>28110</v>
      </c>
      <c r="I179" s="6" t="s">
        <v>28111</v>
      </c>
      <c r="J179" s="5" t="str">
        <f>IFERROR(__xludf.DUMMYFUNCTION("GOOGLETRANSLATE(I179,""zh_HANT"",""zh_HANS"")"),"老板")</f>
        <v>老板</v>
      </c>
    </row>
    <row r="180">
      <c r="A180" s="5" t="str">
        <f t="shared" ref="A180:A183" si="91">CONCATENATE("NAME_TC_", SUBSTITUTE(UPPER(B180), " ", ""))</f>
        <v>NAME_TC_DARINGCOUPLE</v>
      </c>
      <c r="B180" s="3" t="s">
        <v>28112</v>
      </c>
      <c r="C180" s="3" t="s">
        <v>28113</v>
      </c>
      <c r="D180" s="3" t="s">
        <v>28114</v>
      </c>
      <c r="E180" s="3" t="s">
        <v>28115</v>
      </c>
      <c r="F180" s="3" t="s">
        <v>28116</v>
      </c>
      <c r="G180" s="3" t="s">
        <v>28117</v>
      </c>
      <c r="H180" s="6" t="s">
        <v>28118</v>
      </c>
      <c r="I180" s="6" t="s">
        <v>28119</v>
      </c>
      <c r="J180" s="5" t="str">
        <f>IFERROR(__xludf.DUMMYFUNCTION("GOOGLETRANSLATE(I180,""zh_HANT"",""zh_HANS"")"),"试胆情侣")</f>
        <v>试胆情侣</v>
      </c>
    </row>
    <row r="181">
      <c r="A181" s="5" t="str">
        <f t="shared" si="91"/>
        <v>NAME_TC_MEDICALTEAM</v>
      </c>
      <c r="B181" s="3" t="s">
        <v>28120</v>
      </c>
      <c r="C181" s="3" t="s">
        <v>28121</v>
      </c>
      <c r="D181" s="3" t="s">
        <v>28122</v>
      </c>
      <c r="E181" s="3" t="s">
        <v>28123</v>
      </c>
      <c r="F181" s="3" t="s">
        <v>28124</v>
      </c>
      <c r="G181" s="3" t="s">
        <v>28125</v>
      </c>
      <c r="H181" s="6" t="s">
        <v>28126</v>
      </c>
      <c r="I181" s="6" t="s">
        <v>28127</v>
      </c>
      <c r="J181" s="5" t="str">
        <f>IFERROR(__xludf.DUMMYFUNCTION("GOOGLETRANSLATE(I181,""zh_HANT"",""zh_HANS"")"),"医疗团队")</f>
        <v>医疗团队</v>
      </c>
    </row>
    <row r="182">
      <c r="A182" s="5" t="str">
        <f t="shared" si="91"/>
        <v>NAME_TC_MODEL</v>
      </c>
      <c r="B182" s="3" t="s">
        <v>28128</v>
      </c>
      <c r="C182" s="3" t="s">
        <v>28129</v>
      </c>
      <c r="D182" s="3" t="s">
        <v>28130</v>
      </c>
      <c r="E182" s="5" t="str">
        <f>B182</f>
        <v>Model</v>
      </c>
      <c r="F182" s="3" t="s">
        <v>28131</v>
      </c>
      <c r="G182" s="3" t="s">
        <v>28132</v>
      </c>
      <c r="H182" s="6" t="s">
        <v>28133</v>
      </c>
      <c r="I182" s="6" t="s">
        <v>28134</v>
      </c>
      <c r="J182" s="6" t="s">
        <v>28135</v>
      </c>
    </row>
    <row r="183">
      <c r="A183" s="5" t="str">
        <f t="shared" si="91"/>
        <v>NAME_TC_POSTMAN</v>
      </c>
      <c r="B183" s="3" t="s">
        <v>28136</v>
      </c>
      <c r="C183" s="3" t="s">
        <v>28137</v>
      </c>
      <c r="D183" s="3" t="s">
        <v>28138</v>
      </c>
      <c r="E183" s="3" t="s">
        <v>28139</v>
      </c>
      <c r="F183" s="3" t="s">
        <v>28140</v>
      </c>
      <c r="G183" s="3" t="s">
        <v>28141</v>
      </c>
      <c r="H183" s="4" t="s">
        <v>28142</v>
      </c>
      <c r="I183" s="4" t="s">
        <v>28143</v>
      </c>
      <c r="J183" s="4" t="s">
        <v>28144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2.75"/>
    <col customWidth="1" min="2" max="2" width="18.63"/>
    <col customWidth="1" min="3" max="3" width="18.25"/>
    <col customWidth="1" min="4" max="4" width="17.13"/>
    <col customWidth="1" min="5" max="5" width="16.38"/>
    <col customWidth="1" min="6" max="6" width="17.38"/>
    <col customWidth="1" min="7" max="7" width="17.63"/>
    <col customWidth="1" min="8" max="8" width="15.75"/>
    <col customWidth="1" min="9" max="10" width="14.63"/>
  </cols>
  <sheetData>
    <row r="1">
      <c r="A1" s="2" t="str">
        <f>Pokemon!A1</f>
        <v>keys</v>
      </c>
      <c r="B1" s="2" t="str">
        <f>Pokemon!B1</f>
        <v>en</v>
      </c>
      <c r="C1" s="2" t="str">
        <f>Pokemon!C1</f>
        <v>ja</v>
      </c>
      <c r="D1" s="2" t="str">
        <f>Pokemon!D1</f>
        <v>fr</v>
      </c>
      <c r="E1" s="2" t="str">
        <f>Pokemon!E1</f>
        <v>de</v>
      </c>
      <c r="F1" s="2" t="str">
        <f>Pokemon!F1</f>
        <v>es</v>
      </c>
      <c r="G1" s="2" t="str">
        <f>Pokemon!G1</f>
        <v>it</v>
      </c>
      <c r="H1" s="2" t="str">
        <f>Pokemon!H1</f>
        <v>ko</v>
      </c>
      <c r="I1" s="2" t="str">
        <f>Pokemon!I1</f>
        <v>zh_HK</v>
      </c>
      <c r="J1" s="2" t="str">
        <f>Pokemon!J1</f>
        <v>zh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 t="shared" ref="A2:A28" si="1">CONCATENATE("NAME_FORM_", SUBSTITUTE(UPPER(B2), " ", ""))</f>
        <v>NAME_FORM_MALE</v>
      </c>
      <c r="B2" s="3" t="s">
        <v>5822</v>
      </c>
      <c r="C2" s="3" t="s">
        <v>5823</v>
      </c>
      <c r="D2" s="3" t="s">
        <v>5824</v>
      </c>
      <c r="E2" s="3" t="s">
        <v>5825</v>
      </c>
      <c r="F2" s="3" t="s">
        <v>5826</v>
      </c>
      <c r="G2" s="3" t="s">
        <v>5827</v>
      </c>
      <c r="H2" s="3" t="s">
        <v>5828</v>
      </c>
      <c r="I2" s="3" t="s">
        <v>5829</v>
      </c>
      <c r="J2" s="5" t="str">
        <f t="shared" ref="J2:J3" si="2">I2</f>
        <v>雄性</v>
      </c>
    </row>
    <row r="3">
      <c r="A3" s="5" t="str">
        <f t="shared" si="1"/>
        <v>NAME_FORM_FEMALE</v>
      </c>
      <c r="B3" s="3" t="s">
        <v>5830</v>
      </c>
      <c r="C3" s="3" t="s">
        <v>5831</v>
      </c>
      <c r="D3" s="3" t="s">
        <v>5832</v>
      </c>
      <c r="E3" s="3" t="s">
        <v>5833</v>
      </c>
      <c r="F3" s="3" t="s">
        <v>5834</v>
      </c>
      <c r="G3" s="3" t="s">
        <v>5835</v>
      </c>
      <c r="H3" s="3" t="s">
        <v>5836</v>
      </c>
      <c r="I3" s="3" t="s">
        <v>5837</v>
      </c>
      <c r="J3" s="5" t="str">
        <f t="shared" si="2"/>
        <v>雌性</v>
      </c>
    </row>
    <row r="4">
      <c r="A4" s="5" t="str">
        <f t="shared" si="1"/>
        <v>NAME_FORM_SHINY</v>
      </c>
      <c r="B4" s="3" t="s">
        <v>5838</v>
      </c>
      <c r="C4" s="3" t="s">
        <v>5839</v>
      </c>
      <c r="D4" s="3" t="s">
        <v>5840</v>
      </c>
      <c r="E4" s="3" t="s">
        <v>5841</v>
      </c>
      <c r="F4" s="3" t="s">
        <v>5842</v>
      </c>
      <c r="G4" s="3" t="s">
        <v>5843</v>
      </c>
      <c r="H4" s="3" t="s">
        <v>5844</v>
      </c>
      <c r="I4" s="3" t="s">
        <v>5845</v>
      </c>
      <c r="J4" s="5" t="str">
        <f>IFERROR(__xludf.DUMMYFUNCTION("GOOGLETRANSLATE(I4,""zh_HANT"",""zh_HANS"")"),"发光")</f>
        <v>发光</v>
      </c>
    </row>
    <row r="5">
      <c r="A5" s="5" t="str">
        <f t="shared" si="1"/>
        <v>NAME_FORM_NORMALFORM</v>
      </c>
      <c r="B5" s="3" t="s">
        <v>5846</v>
      </c>
      <c r="C5" s="3" t="s">
        <v>5847</v>
      </c>
      <c r="D5" s="3" t="s">
        <v>5848</v>
      </c>
      <c r="E5" s="3" t="s">
        <v>5849</v>
      </c>
      <c r="F5" s="5" t="str">
        <f>CONCATENATE("Forma ",Types!F2)</f>
        <v>Forma Normal</v>
      </c>
      <c r="G5" s="3" t="s">
        <v>5850</v>
      </c>
      <c r="H5" s="3" t="s">
        <v>5851</v>
      </c>
      <c r="I5" s="3" t="s">
        <v>5852</v>
      </c>
      <c r="J5" s="5" t="str">
        <f>IFERROR(__xludf.DUMMYFUNCTION("GOOGLETRANSLATE(I5,""zh_HANT"",""zh_HANS"")"),"飘浮泡泡的样子")</f>
        <v>飘浮泡泡的样子</v>
      </c>
    </row>
    <row r="6">
      <c r="A6" s="5" t="str">
        <f t="shared" si="1"/>
        <v>NAME_FORM_SUNNYFORM</v>
      </c>
      <c r="B6" s="3" t="s">
        <v>5853</v>
      </c>
      <c r="C6" s="3" t="s">
        <v>5854</v>
      </c>
      <c r="D6" s="3" t="s">
        <v>5855</v>
      </c>
      <c r="E6" s="3" t="s">
        <v>5856</v>
      </c>
      <c r="F6" s="3" t="s">
        <v>5857</v>
      </c>
      <c r="G6" s="3" t="s">
        <v>5858</v>
      </c>
      <c r="H6" s="3" t="s">
        <v>5859</v>
      </c>
      <c r="I6" s="3" t="s">
        <v>5860</v>
      </c>
      <c r="J6" s="5" t="str">
        <f>IFERROR(__xludf.DUMMYFUNCTION("GOOGLETRANSLATE(I6,""zh_HANT"",""zh_HANS"")"),"太阳的样子")</f>
        <v>太阳的样子</v>
      </c>
    </row>
    <row r="7">
      <c r="A7" s="5" t="str">
        <f t="shared" si="1"/>
        <v>NAME_FORM_RAINYFORM</v>
      </c>
      <c r="B7" s="3" t="s">
        <v>5861</v>
      </c>
      <c r="C7" s="3" t="s">
        <v>5862</v>
      </c>
      <c r="D7" s="3" t="s">
        <v>5863</v>
      </c>
      <c r="E7" s="3" t="s">
        <v>5864</v>
      </c>
      <c r="F7" s="3" t="s">
        <v>5865</v>
      </c>
      <c r="G7" s="3" t="s">
        <v>5866</v>
      </c>
      <c r="H7" s="3" t="s">
        <v>5867</v>
      </c>
      <c r="I7" s="3" t="s">
        <v>5868</v>
      </c>
      <c r="J7" s="5" t="str">
        <f>IFERROR(__xludf.DUMMYFUNCTION("GOOGLETRANSLATE(I7,""zh_HANT"",""zh_HANS"")"),"雨水的样子")</f>
        <v>雨水的样子</v>
      </c>
    </row>
    <row r="8">
      <c r="A8" s="5" t="str">
        <f t="shared" si="1"/>
        <v>NAME_FORM_SNOWYFORM</v>
      </c>
      <c r="B8" s="3" t="s">
        <v>5869</v>
      </c>
      <c r="C8" s="3" t="s">
        <v>5870</v>
      </c>
      <c r="D8" s="3" t="s">
        <v>5871</v>
      </c>
      <c r="E8" s="3" t="s">
        <v>5872</v>
      </c>
      <c r="F8" s="3" t="s">
        <v>5873</v>
      </c>
      <c r="G8" s="3" t="s">
        <v>5874</v>
      </c>
      <c r="H8" s="3" t="s">
        <v>5875</v>
      </c>
      <c r="I8" s="3" t="s">
        <v>5876</v>
      </c>
      <c r="J8" s="5" t="str">
        <f>IFERROR(__xludf.DUMMYFUNCTION("GOOGLETRANSLATE(I8,""zh_HANT"",""zh_HANS"")"),"雪云的样子")</f>
        <v>雪云的样子</v>
      </c>
    </row>
    <row r="9">
      <c r="A9" s="5" t="str">
        <f t="shared" si="1"/>
        <v>NAME_FORM_NORMALFORME</v>
      </c>
      <c r="B9" s="5" t="str">
        <f>CONCATENATE(B5, "e")</f>
        <v>Normal Forme</v>
      </c>
      <c r="C9" s="3" t="s">
        <v>5877</v>
      </c>
      <c r="D9" s="3" t="str">
        <f t="shared" ref="D9:F9" si="3">D5</f>
        <v>Forme Normale</v>
      </c>
      <c r="E9" s="5" t="str">
        <f t="shared" si="3"/>
        <v>Normalform</v>
      </c>
      <c r="F9" s="5" t="str">
        <f t="shared" si="3"/>
        <v>Forma Normal</v>
      </c>
      <c r="G9" s="3" t="s">
        <v>5878</v>
      </c>
      <c r="H9" s="3" t="s">
        <v>5879</v>
      </c>
      <c r="I9" s="3" t="s">
        <v>5880</v>
      </c>
      <c r="J9" s="5" t="str">
        <f>IFERROR(__xludf.DUMMYFUNCTION("GOOGLETRANSLATE(I9,""zh_HANT"",""zh_HANS"")"),"普通形态")</f>
        <v>普通形态</v>
      </c>
    </row>
    <row r="10">
      <c r="A10" s="5" t="str">
        <f t="shared" si="1"/>
        <v>NAME_FORM_ATTACKFORME</v>
      </c>
      <c r="B10" s="3" t="s">
        <v>5881</v>
      </c>
      <c r="C10" s="3" t="s">
        <v>5882</v>
      </c>
      <c r="D10" s="3" t="s">
        <v>5883</v>
      </c>
      <c r="E10" s="3" t="s">
        <v>5884</v>
      </c>
      <c r="F10" s="3" t="s">
        <v>5885</v>
      </c>
      <c r="G10" s="3" t="s">
        <v>5886</v>
      </c>
      <c r="H10" s="3" t="s">
        <v>5887</v>
      </c>
      <c r="I10" s="3" t="s">
        <v>5888</v>
      </c>
      <c r="J10" s="5" t="str">
        <f>IFERROR(__xludf.DUMMYFUNCTION("GOOGLETRANSLATE(I10,""zh_HANT"",""zh_HANS"")"),"攻击形态")</f>
        <v>攻击形态</v>
      </c>
    </row>
    <row r="11">
      <c r="A11" s="5" t="str">
        <f t="shared" si="1"/>
        <v>NAME_FORM_DEFENCEFORME</v>
      </c>
      <c r="B11" s="3" t="s">
        <v>5889</v>
      </c>
      <c r="C11" s="3" t="s">
        <v>5890</v>
      </c>
      <c r="D11" s="3" t="s">
        <v>5891</v>
      </c>
      <c r="E11" s="3" t="s">
        <v>5892</v>
      </c>
      <c r="F11" s="3" t="s">
        <v>5893</v>
      </c>
      <c r="G11" s="3" t="s">
        <v>5894</v>
      </c>
      <c r="H11" s="3" t="s">
        <v>5895</v>
      </c>
      <c r="I11" s="3" t="s">
        <v>5896</v>
      </c>
      <c r="J11" s="5" t="str">
        <f>IFERROR(__xludf.DUMMYFUNCTION("GOOGLETRANSLATE(I11,""zh_HANT"",""zh_HANS"")"),"防御形态")</f>
        <v>防御形态</v>
      </c>
    </row>
    <row r="12">
      <c r="A12" s="5" t="str">
        <f t="shared" si="1"/>
        <v>NAME_FORM_SPEEDFORME</v>
      </c>
      <c r="B12" s="3" t="s">
        <v>5897</v>
      </c>
      <c r="C12" s="3" t="s">
        <v>5898</v>
      </c>
      <c r="D12" s="3" t="s">
        <v>5899</v>
      </c>
      <c r="E12" s="3" t="s">
        <v>5900</v>
      </c>
      <c r="F12" s="3" t="s">
        <v>5901</v>
      </c>
      <c r="G12" s="3" t="s">
        <v>5902</v>
      </c>
      <c r="H12" s="3" t="s">
        <v>5903</v>
      </c>
      <c r="I12" s="3" t="s">
        <v>5904</v>
      </c>
      <c r="J12" s="5" t="str">
        <f>IFERROR(__xludf.DUMMYFUNCTION("GOOGLETRANSLATE(I12,""zh_HANT"",""zh_HANS"")"),"速度形态")</f>
        <v>速度形态</v>
      </c>
    </row>
    <row r="13">
      <c r="A13" s="5" t="str">
        <f t="shared" si="1"/>
        <v>NAME_FORM_PLANTCLOAK</v>
      </c>
      <c r="B13" s="3" t="s">
        <v>5905</v>
      </c>
      <c r="C13" s="3" t="s">
        <v>5906</v>
      </c>
      <c r="D13" s="3" t="s">
        <v>5907</v>
      </c>
      <c r="E13" s="3" t="s">
        <v>5908</v>
      </c>
      <c r="F13" s="3" t="s">
        <v>5909</v>
      </c>
      <c r="G13" s="3" t="s">
        <v>5910</v>
      </c>
      <c r="H13" s="3" t="s">
        <v>5911</v>
      </c>
      <c r="I13" s="3" t="s">
        <v>5912</v>
      </c>
      <c r="J13" s="5" t="str">
        <f t="shared" ref="J13:J15" si="4">I13</f>
        <v>草木蓑衣</v>
      </c>
    </row>
    <row r="14">
      <c r="A14" s="5" t="str">
        <f t="shared" si="1"/>
        <v>NAME_FORM_SANDYCLOAK</v>
      </c>
      <c r="B14" s="3" t="s">
        <v>5913</v>
      </c>
      <c r="C14" s="3" t="s">
        <v>5914</v>
      </c>
      <c r="D14" s="3" t="s">
        <v>5915</v>
      </c>
      <c r="E14" s="3" t="s">
        <v>5916</v>
      </c>
      <c r="F14" s="3" t="s">
        <v>5917</v>
      </c>
      <c r="G14" s="3" t="s">
        <v>5918</v>
      </c>
      <c r="H14" s="3" t="s">
        <v>5919</v>
      </c>
      <c r="I14" s="3" t="s">
        <v>5920</v>
      </c>
      <c r="J14" s="5" t="str">
        <f t="shared" si="4"/>
        <v>砂土蓑衣</v>
      </c>
    </row>
    <row r="15">
      <c r="A15" s="5" t="str">
        <f t="shared" si="1"/>
        <v>NAME_FORM_TRASHCLOAK</v>
      </c>
      <c r="B15" s="3" t="s">
        <v>5921</v>
      </c>
      <c r="C15" s="3" t="s">
        <v>5922</v>
      </c>
      <c r="D15" s="3" t="s">
        <v>5923</v>
      </c>
      <c r="E15" s="3" t="s">
        <v>5924</v>
      </c>
      <c r="F15" s="3" t="s">
        <v>5925</v>
      </c>
      <c r="G15" s="3" t="s">
        <v>5926</v>
      </c>
      <c r="H15" s="3" t="s">
        <v>5927</v>
      </c>
      <c r="I15" s="3" t="s">
        <v>5928</v>
      </c>
      <c r="J15" s="5" t="str">
        <f t="shared" si="4"/>
        <v>垃圾蓑衣</v>
      </c>
    </row>
    <row r="16">
      <c r="A16" s="5" t="str">
        <f t="shared" si="1"/>
        <v>NAME_FORM_OVERCASTFORM</v>
      </c>
      <c r="B16" s="3" t="s">
        <v>5929</v>
      </c>
      <c r="C16" s="3" t="s">
        <v>5930</v>
      </c>
      <c r="D16" s="3" t="s">
        <v>5931</v>
      </c>
      <c r="E16" s="3" t="s">
        <v>5932</v>
      </c>
      <c r="F16" s="3" t="s">
        <v>5933</v>
      </c>
      <c r="G16" s="3" t="s">
        <v>5934</v>
      </c>
      <c r="H16" s="3" t="s">
        <v>5935</v>
      </c>
      <c r="I16" s="3" t="s">
        <v>5936</v>
      </c>
      <c r="J16" s="5" t="str">
        <f>IFERROR(__xludf.DUMMYFUNCTION("GOOGLETRANSLATE(I16,""zh_HANT"",""zh_HANS"")"),"阴天形态")</f>
        <v>阴天形态</v>
      </c>
    </row>
    <row r="17">
      <c r="A17" s="5" t="str">
        <f t="shared" si="1"/>
        <v>NAME_FORM_SUNSHINEFORM</v>
      </c>
      <c r="B17" s="3" t="s">
        <v>5937</v>
      </c>
      <c r="C17" s="3" t="s">
        <v>5938</v>
      </c>
      <c r="D17" s="3" t="s">
        <v>5939</v>
      </c>
      <c r="E17" s="5" t="str">
        <f>E6</f>
        <v>Sonnenform</v>
      </c>
      <c r="F17" s="3" t="s">
        <v>5940</v>
      </c>
      <c r="G17" s="3" t="s">
        <v>5941</v>
      </c>
      <c r="H17" s="3" t="s">
        <v>5942</v>
      </c>
      <c r="I17" s="3" t="s">
        <v>5943</v>
      </c>
      <c r="J17" s="5" t="str">
        <f>IFERROR(__xludf.DUMMYFUNCTION("GOOGLETRANSLATE(I17,""zh_HANT"",""zh_HANS"")"),"晴天形态")</f>
        <v>晴天形态</v>
      </c>
    </row>
    <row r="18">
      <c r="A18" s="5" t="str">
        <f t="shared" si="1"/>
        <v>NAME_FORM_WESTSEA</v>
      </c>
      <c r="B18" s="3" t="s">
        <v>5944</v>
      </c>
      <c r="C18" s="3" t="s">
        <v>5945</v>
      </c>
      <c r="D18" s="3" t="s">
        <v>5946</v>
      </c>
      <c r="E18" s="3" t="s">
        <v>5947</v>
      </c>
      <c r="F18" s="3" t="s">
        <v>5948</v>
      </c>
      <c r="G18" s="3" t="s">
        <v>5949</v>
      </c>
      <c r="H18" s="3" t="s">
        <v>5950</v>
      </c>
      <c r="I18" s="3" t="s">
        <v>5951</v>
      </c>
      <c r="J18" s="5" t="str">
        <f t="shared" ref="J18:J19" si="5">I18</f>
        <v>西海</v>
      </c>
    </row>
    <row r="19">
      <c r="A19" s="5" t="str">
        <f t="shared" si="1"/>
        <v>NAME_FORM_EASTSEA</v>
      </c>
      <c r="B19" s="3" t="s">
        <v>5952</v>
      </c>
      <c r="C19" s="3" t="s">
        <v>5953</v>
      </c>
      <c r="D19" s="3" t="s">
        <v>5954</v>
      </c>
      <c r="E19" s="3" t="s">
        <v>5955</v>
      </c>
      <c r="F19" s="3" t="s">
        <v>5956</v>
      </c>
      <c r="G19" s="3" t="s">
        <v>5957</v>
      </c>
      <c r="H19" s="3" t="s">
        <v>5958</v>
      </c>
      <c r="I19" s="3" t="s">
        <v>5959</v>
      </c>
      <c r="J19" s="5" t="str">
        <f t="shared" si="5"/>
        <v>東海</v>
      </c>
    </row>
    <row r="20">
      <c r="A20" s="5" t="str">
        <f t="shared" si="1"/>
        <v>NAME_FORM_HEATROTOM</v>
      </c>
      <c r="B20" s="3" t="s">
        <v>5960</v>
      </c>
      <c r="C20" s="5" t="str">
        <f>CONCATENATE("ヒート", Pokemon!C480)</f>
        <v>ヒートロトム</v>
      </c>
      <c r="D20" s="3" t="s">
        <v>5961</v>
      </c>
      <c r="E20" s="3" t="s">
        <v>5962</v>
      </c>
      <c r="F20" s="3" t="s">
        <v>5963</v>
      </c>
      <c r="G20" s="3" t="str">
        <f>CONCATENATE(F20, "e")</f>
        <v>Rotom Claore</v>
      </c>
      <c r="H20" s="3" t="s">
        <v>5964</v>
      </c>
      <c r="I20" s="3" t="s">
        <v>5965</v>
      </c>
      <c r="J20" s="5" t="str">
        <f>IFERROR(__xludf.DUMMYFUNCTION("GOOGLETRANSLATE(I20,""zh_HANT"",""zh_HANS"")"),"加热洛托姆")</f>
        <v>加热洛托姆</v>
      </c>
    </row>
    <row r="21">
      <c r="A21" s="5" t="str">
        <f t="shared" si="1"/>
        <v>NAME_FORM_WASHROTOM</v>
      </c>
      <c r="B21" s="3" t="s">
        <v>5966</v>
      </c>
      <c r="C21" s="5" t="str">
        <f>CONCATENATE("ウォッシュ", Pokemon!C480)</f>
        <v>ウォッシュロトム</v>
      </c>
      <c r="D21" s="3" t="s">
        <v>5967</v>
      </c>
      <c r="E21" s="3" t="s">
        <v>5968</v>
      </c>
      <c r="F21" s="3" t="s">
        <v>5969</v>
      </c>
      <c r="G21" s="3" t="s">
        <v>5970</v>
      </c>
      <c r="H21" s="3" t="s">
        <v>5971</v>
      </c>
      <c r="I21" s="3" t="s">
        <v>5972</v>
      </c>
      <c r="J21" s="5" t="str">
        <f>I21</f>
        <v>清洗洛托姆</v>
      </c>
    </row>
    <row r="22">
      <c r="A22" s="5" t="str">
        <f t="shared" si="1"/>
        <v>NAME_FORM_FROSTROTOM</v>
      </c>
      <c r="B22" s="3" t="s">
        <v>5973</v>
      </c>
      <c r="C22" s="5" t="str">
        <f>CONCATENATE("フロスト", Pokemon!C480)</f>
        <v>フロストロトム</v>
      </c>
      <c r="D22" s="3" t="s">
        <v>5974</v>
      </c>
      <c r="E22" s="3" t="s">
        <v>5975</v>
      </c>
      <c r="F22" s="3" t="s">
        <v>5976</v>
      </c>
      <c r="G22" s="11" t="s">
        <v>5977</v>
      </c>
      <c r="H22" s="3" t="s">
        <v>5978</v>
      </c>
      <c r="I22" s="3" t="s">
        <v>5979</v>
      </c>
      <c r="J22" s="5" t="str">
        <f>IFERROR(__xludf.DUMMYFUNCTION("GOOGLETRANSLATE(I22,""zh_HANT"",""zh_HANS"")"),"结冰洛托姆")</f>
        <v>结冰洛托姆</v>
      </c>
    </row>
    <row r="23">
      <c r="A23" s="5" t="str">
        <f t="shared" si="1"/>
        <v>NAME_FORM_FANROTOM</v>
      </c>
      <c r="B23" s="3" t="s">
        <v>5980</v>
      </c>
      <c r="C23" s="5" t="str">
        <f>CONCATENATE("スピン", Pokemon!C480)</f>
        <v>スピンロトム</v>
      </c>
      <c r="D23" s="3" t="s">
        <v>5981</v>
      </c>
      <c r="E23" s="3" t="s">
        <v>5982</v>
      </c>
      <c r="F23" s="3" t="s">
        <v>5983</v>
      </c>
      <c r="G23" s="3" t="s">
        <v>5984</v>
      </c>
      <c r="H23" s="3" t="s">
        <v>5985</v>
      </c>
      <c r="I23" s="3" t="s">
        <v>5986</v>
      </c>
      <c r="J23" s="5" t="str">
        <f>IFERROR(__xludf.DUMMYFUNCTION("GOOGLETRANSLATE(I23,""zh_HANT"",""zh_HANS"")"),"旋转洛托姆")</f>
        <v>旋转洛托姆</v>
      </c>
    </row>
    <row r="24">
      <c r="A24" s="5" t="str">
        <f t="shared" si="1"/>
        <v>NAME_FORM_MOWROTOM</v>
      </c>
      <c r="B24" s="3" t="s">
        <v>5987</v>
      </c>
      <c r="C24" s="5" t="str">
        <f>CONCATENATE("カット", Pokemon!C480)</f>
        <v>カットロトム</v>
      </c>
      <c r="D24" s="3" t="s">
        <v>5988</v>
      </c>
      <c r="E24" s="3" t="s">
        <v>5989</v>
      </c>
      <c r="F24" s="3" t="s">
        <v>5990</v>
      </c>
      <c r="G24" s="3" t="s">
        <v>5991</v>
      </c>
      <c r="H24" s="3" t="s">
        <v>5992</v>
      </c>
      <c r="I24" s="3" t="s">
        <v>5993</v>
      </c>
      <c r="J24" s="5" t="str">
        <f>I24</f>
        <v>切割洛托姆</v>
      </c>
    </row>
    <row r="25">
      <c r="A25" s="5" t="str">
        <f t="shared" si="1"/>
        <v>NAME_FORM_ALTEREDFORME</v>
      </c>
      <c r="B25" s="3" t="s">
        <v>5994</v>
      </c>
      <c r="C25" s="3" t="s">
        <v>5995</v>
      </c>
      <c r="D25" s="3" t="s">
        <v>5996</v>
      </c>
      <c r="E25" s="3" t="s">
        <v>5997</v>
      </c>
      <c r="F25" s="3" t="s">
        <v>5998</v>
      </c>
      <c r="G25" s="11" t="s">
        <v>5999</v>
      </c>
      <c r="H25" s="3" t="s">
        <v>6000</v>
      </c>
      <c r="I25" s="3" t="s">
        <v>6001</v>
      </c>
      <c r="J25" s="5" t="str">
        <f>IFERROR(__xludf.DUMMYFUNCTION("GOOGLETRANSLATE(I25,""zh_HANT"",""zh_HANS"")"),"别种形态")</f>
        <v>别种形态</v>
      </c>
    </row>
    <row r="26">
      <c r="A26" s="5" t="str">
        <f t="shared" si="1"/>
        <v>NAME_FORM_ORIGINFORME</v>
      </c>
      <c r="B26" s="3" t="s">
        <v>6002</v>
      </c>
      <c r="C26" s="3" t="s">
        <v>6003</v>
      </c>
      <c r="D26" s="3" t="s">
        <v>6004</v>
      </c>
      <c r="E26" s="3" t="s">
        <v>6005</v>
      </c>
      <c r="F26" s="3" t="s">
        <v>6006</v>
      </c>
      <c r="G26" s="3" t="s">
        <v>6007</v>
      </c>
      <c r="H26" s="3" t="s">
        <v>6008</v>
      </c>
      <c r="I26" s="3" t="s">
        <v>6009</v>
      </c>
      <c r="J26" s="5" t="str">
        <f>IFERROR(__xludf.DUMMYFUNCTION("GOOGLETRANSLATE(I26,""zh_HANT"",""zh_HANS"")"),"起源形态")</f>
        <v>起源形态</v>
      </c>
    </row>
    <row r="27">
      <c r="A27" s="5" t="str">
        <f t="shared" si="1"/>
        <v>NAME_FORM_LANDFORME</v>
      </c>
      <c r="B27" s="3" t="s">
        <v>6010</v>
      </c>
      <c r="C27" s="3" t="s">
        <v>6011</v>
      </c>
      <c r="D27" s="3" t="s">
        <v>6012</v>
      </c>
      <c r="E27" s="3" t="s">
        <v>6013</v>
      </c>
      <c r="F27" s="3" t="s">
        <v>6014</v>
      </c>
      <c r="G27" s="3" t="s">
        <v>6015</v>
      </c>
      <c r="H27" s="3" t="s">
        <v>6016</v>
      </c>
      <c r="I27" s="3" t="s">
        <v>6017</v>
      </c>
      <c r="J27" s="5" t="str">
        <f>IFERROR(__xludf.DUMMYFUNCTION("GOOGLETRANSLATE(I27,""zh_HANT"",""zh_HANS"")"),"陆上形态")</f>
        <v>陆上形态</v>
      </c>
    </row>
    <row r="28">
      <c r="A28" s="5" t="str">
        <f t="shared" si="1"/>
        <v>NAME_FORM_SKYFORME</v>
      </c>
      <c r="B28" s="3" t="s">
        <v>6018</v>
      </c>
      <c r="C28" s="3" t="s">
        <v>6019</v>
      </c>
      <c r="D28" s="3" t="s">
        <v>6020</v>
      </c>
      <c r="E28" s="3" t="s">
        <v>6021</v>
      </c>
      <c r="F28" s="5" t="str">
        <f>G28</f>
        <v>Forma Cielo</v>
      </c>
      <c r="G28" s="3" t="s">
        <v>6022</v>
      </c>
      <c r="H28" s="3" t="s">
        <v>6023</v>
      </c>
      <c r="I28" s="3" t="s">
        <v>6024</v>
      </c>
      <c r="J28" s="5" t="str">
        <f>IFERROR(__xludf.DUMMYFUNCTION("GOOGLETRANSLATE(I28,""zh_HANT"",""zh_HANS"")"),"天空形态")</f>
        <v>天空形态</v>
      </c>
    </row>
    <row r="29">
      <c r="A29" s="5" t="s">
        <v>6025</v>
      </c>
      <c r="B29" s="5" t="str">
        <f>CONCATENATE(Types!B2,"-type")</f>
        <v>Normal-type</v>
      </c>
      <c r="C29" s="5" t="str">
        <f>CONCATENATE(Types!C2,"タイプ")</f>
        <v>ノーマルタイプ</v>
      </c>
      <c r="D29" s="3" t="s">
        <v>6026</v>
      </c>
      <c r="E29" s="5" t="str">
        <f>CONCATENATE("Typen ",Types!E2)</f>
        <v>Typen Normal</v>
      </c>
      <c r="F29" s="5" t="str">
        <f>CONCATENATE("Tipo ",Types!F2)</f>
        <v>Tipo Normal</v>
      </c>
      <c r="G29" s="5" t="str">
        <f>CONCATENATE("Tipo ",Types!G2)</f>
        <v>Tipo Normale</v>
      </c>
      <c r="H29" s="5" t="str">
        <f>CONCATENATE(Types!H2,"타입")</f>
        <v>노말타입</v>
      </c>
      <c r="I29" s="5" t="str">
        <f>IFERROR(__xludf.DUMMYFUNCTION("GOOGLETRANSLATE(J29,""zh_HANS"",""zh_HANT"")"),"一般屬性")</f>
        <v>一般屬性</v>
      </c>
      <c r="J29" s="5" t="str">
        <f>CONCATENATE(Types!J2,"属性")</f>
        <v>一般属性</v>
      </c>
    </row>
    <row r="30">
      <c r="A30" s="5" t="s">
        <v>6027</v>
      </c>
      <c r="B30" s="5" t="str">
        <f>CONCATENATE(Types!B3,"-type")</f>
        <v>Fighting-type</v>
      </c>
      <c r="C30" s="5" t="str">
        <f>CONCATENATE(Types!C3,"タイプ")</f>
        <v>かくとうタイプ</v>
      </c>
      <c r="D30" s="3" t="s">
        <v>6028</v>
      </c>
      <c r="E30" s="5" t="str">
        <f>CONCATENATE("Typen ",Types!E3)</f>
        <v>Typen Kampf</v>
      </c>
      <c r="F30" s="5" t="str">
        <f>CONCATENATE("Tipo ",Types!F3)</f>
        <v>Tipo Lucha</v>
      </c>
      <c r="G30" s="5" t="str">
        <f>CONCATENATE("Tipo ",Types!G3)</f>
        <v>Tipo Lotta</v>
      </c>
      <c r="H30" s="5" t="str">
        <f>CONCATENATE(Types!H3,"타입")</f>
        <v>격투타입</v>
      </c>
      <c r="I30" s="5" t="str">
        <f>IFERROR(__xludf.DUMMYFUNCTION("GOOGLETRANSLATE(J30,""zh_HANS"",""zh_HANT"")"),"格鬥屬性")</f>
        <v>格鬥屬性</v>
      </c>
      <c r="J30" s="5" t="str">
        <f>CONCATENATE(Types!J3,"属性")</f>
        <v>格斗属性</v>
      </c>
    </row>
    <row r="31">
      <c r="A31" s="5" t="s">
        <v>6029</v>
      </c>
      <c r="B31" s="5" t="str">
        <f>CONCATENATE(Types!B4,"-type")</f>
        <v>Flying-type</v>
      </c>
      <c r="C31" s="5" t="str">
        <f>CONCATENATE(Types!C4,"タイプ")</f>
        <v>ひこうタイプ</v>
      </c>
      <c r="D31" s="3" t="s">
        <v>6030</v>
      </c>
      <c r="E31" s="5" t="str">
        <f>CONCATENATE("Typen ",Types!E4)</f>
        <v>Typen Flug</v>
      </c>
      <c r="F31" s="5" t="str">
        <f>CONCATENATE("Tipo ",Types!F4)</f>
        <v>Tipo Volador</v>
      </c>
      <c r="G31" s="5" t="str">
        <f>CONCATENATE("Tipo ",Types!G4)</f>
        <v>Tipo Volante</v>
      </c>
      <c r="H31" s="5" t="str">
        <f>CONCATENATE(Types!H4,"타입")</f>
        <v>비행타입</v>
      </c>
      <c r="I31" s="5" t="str">
        <f>IFERROR(__xludf.DUMMYFUNCTION("GOOGLETRANSLATE(J31,""zh_HANS"",""zh_HANT"")"),"飛行屬性")</f>
        <v>飛行屬性</v>
      </c>
      <c r="J31" s="5" t="str">
        <f>CONCATENATE(Types!J4,"属性")</f>
        <v>飞行属性</v>
      </c>
    </row>
    <row r="32">
      <c r="A32" s="5" t="s">
        <v>6031</v>
      </c>
      <c r="B32" s="5" t="str">
        <f>CONCATENATE(Types!B5,"-type")</f>
        <v>Poison-type</v>
      </c>
      <c r="C32" s="5" t="str">
        <f>CONCATENATE(Types!C5,"タイプ")</f>
        <v>どくタイプ</v>
      </c>
      <c r="D32" s="3" t="s">
        <v>6032</v>
      </c>
      <c r="E32" s="5" t="str">
        <f>CONCATENATE("Typen ",Types!E5)</f>
        <v>Typen Gift</v>
      </c>
      <c r="F32" s="5" t="str">
        <f>CONCATENATE("Tipo ",Types!F5)</f>
        <v>Tipo Veneno</v>
      </c>
      <c r="G32" s="5" t="str">
        <f>CONCATENATE("Tipo ",Types!G5)</f>
        <v>Tipo Veleno</v>
      </c>
      <c r="H32" s="5" t="str">
        <f>CONCATENATE(Types!H5,"타입")</f>
        <v>독타입</v>
      </c>
      <c r="I32" s="5" t="str">
        <f>IFERROR(__xludf.DUMMYFUNCTION("GOOGLETRANSLATE(J32,""zh_HANS"",""zh_HANT"")"),"毒屬性")</f>
        <v>毒屬性</v>
      </c>
      <c r="J32" s="5" t="str">
        <f>CONCATENATE(Types!J5,"属性")</f>
        <v>毒属性</v>
      </c>
    </row>
    <row r="33">
      <c r="A33" s="5" t="s">
        <v>6033</v>
      </c>
      <c r="B33" s="5" t="str">
        <f>CONCATENATE(Types!B6,"-type")</f>
        <v>Ground-type</v>
      </c>
      <c r="C33" s="5" t="str">
        <f>CONCATENATE(Types!C6,"タイプ")</f>
        <v>じめんタイプ</v>
      </c>
      <c r="D33" s="3" t="s">
        <v>6034</v>
      </c>
      <c r="E33" s="5" t="str">
        <f>CONCATENATE("Typen ",Types!E6)</f>
        <v>Typen Boden</v>
      </c>
      <c r="F33" s="5" t="str">
        <f>CONCATENATE("Tipo ",Types!F6)</f>
        <v>Tipo Tierra</v>
      </c>
      <c r="G33" s="5" t="str">
        <f>CONCATENATE("Tipo ",Types!G6)</f>
        <v>Tipo Terra</v>
      </c>
      <c r="H33" s="5" t="str">
        <f>CONCATENATE(Types!H6,"타입")</f>
        <v>땅타입</v>
      </c>
      <c r="I33" s="5" t="str">
        <f>IFERROR(__xludf.DUMMYFUNCTION("GOOGLETRANSLATE(J33,""zh_HANS"",""zh_HANT"")"),"地面屬性")</f>
        <v>地面屬性</v>
      </c>
      <c r="J33" s="5" t="str">
        <f>CONCATENATE(Types!J6,"属性")</f>
        <v>地面属性</v>
      </c>
    </row>
    <row r="34">
      <c r="A34" s="5" t="s">
        <v>6035</v>
      </c>
      <c r="B34" s="5" t="str">
        <f>CONCATENATE(Types!B7,"-type")</f>
        <v>Rock-type</v>
      </c>
      <c r="C34" s="5" t="str">
        <f>CONCATENATE(Types!C7,"タイプ")</f>
        <v>いわタイプ</v>
      </c>
      <c r="D34" s="3" t="s">
        <v>6036</v>
      </c>
      <c r="E34" s="5" t="str">
        <f>CONCATENATE("Typen ",Types!E7)</f>
        <v>Typen Gestein</v>
      </c>
      <c r="F34" s="5" t="str">
        <f>CONCATENATE("Tipo ",Types!F7)</f>
        <v>Tipo Roca</v>
      </c>
      <c r="G34" s="5" t="str">
        <f>CONCATENATE("Tipo ",Types!G7)</f>
        <v>Tipo Roccia</v>
      </c>
      <c r="H34" s="5" t="str">
        <f>CONCATENATE(Types!H7,"타입")</f>
        <v>바위타입</v>
      </c>
      <c r="I34" s="5" t="str">
        <f>IFERROR(__xludf.DUMMYFUNCTION("GOOGLETRANSLATE(J34,""zh_HANS"",""zh_HANT"")"),"岩石屬性")</f>
        <v>岩石屬性</v>
      </c>
      <c r="J34" s="5" t="str">
        <f>CONCATENATE(Types!J7,"属性")</f>
        <v>岩石属性</v>
      </c>
    </row>
    <row r="35">
      <c r="A35" s="5" t="s">
        <v>6037</v>
      </c>
      <c r="B35" s="5" t="str">
        <f>CONCATENATE(Types!B8,"-type")</f>
        <v>Bug-type</v>
      </c>
      <c r="C35" s="5" t="str">
        <f>CONCATENATE(Types!C8,"タイプ")</f>
        <v>むしタイプ</v>
      </c>
      <c r="D35" s="3" t="s">
        <v>6038</v>
      </c>
      <c r="E35" s="5" t="str">
        <f>CONCATENATE("Typen ",Types!E8)</f>
        <v>Typen Käfer</v>
      </c>
      <c r="F35" s="5" t="str">
        <f>CONCATENATE("Tipo ",Types!F8)</f>
        <v>Tipo Bicho</v>
      </c>
      <c r="G35" s="5" t="str">
        <f>CONCATENATE("Tipo ",Types!G8)</f>
        <v>Tipo Coleottero</v>
      </c>
      <c r="H35" s="5" t="str">
        <f>CONCATENATE(Types!H8,"타입")</f>
        <v>벌레타입</v>
      </c>
      <c r="I35" s="5" t="str">
        <f>IFERROR(__xludf.DUMMYFUNCTION("GOOGLETRANSLATE(J35,""zh_HANS"",""zh_HANT"")"),"蟲屬性")</f>
        <v>蟲屬性</v>
      </c>
      <c r="J35" s="5" t="str">
        <f>CONCATENATE(Types!J8,"属性")</f>
        <v>虫属性</v>
      </c>
    </row>
    <row r="36">
      <c r="A36" s="5" t="s">
        <v>6039</v>
      </c>
      <c r="B36" s="5" t="str">
        <f>CONCATENATE(Types!B9,"-type")</f>
        <v>Ghost-type</v>
      </c>
      <c r="C36" s="5" t="str">
        <f>CONCATENATE(Types!C9,"タイプ")</f>
        <v>ゴーストタイプ</v>
      </c>
      <c r="D36" s="3" t="s">
        <v>6040</v>
      </c>
      <c r="E36" s="5" t="str">
        <f>CONCATENATE("Typen ",Types!E9)</f>
        <v>Typen Geist</v>
      </c>
      <c r="F36" s="5" t="str">
        <f>CONCATENATE("Tipo ",Types!F9)</f>
        <v>Tipo Fantasma</v>
      </c>
      <c r="G36" s="5" t="str">
        <f>CONCATENATE("Tipo ",Types!G9)</f>
        <v>Tipo Spettro</v>
      </c>
      <c r="H36" s="5" t="str">
        <f>CONCATENATE(Types!H9,"타입")</f>
        <v>고스트타입</v>
      </c>
      <c r="I36" s="5" t="str">
        <f>IFERROR(__xludf.DUMMYFUNCTION("GOOGLETRANSLATE(J36,""zh_HANS"",""zh_HANT"")"),"幽靈屬性")</f>
        <v>幽靈屬性</v>
      </c>
      <c r="J36" s="5" t="str">
        <f>CONCATENATE(Types!J9,"属性")</f>
        <v>幽灵属性</v>
      </c>
    </row>
    <row r="37">
      <c r="A37" s="5" t="s">
        <v>6041</v>
      </c>
      <c r="B37" s="5" t="str">
        <f>CONCATENATE(Types!B10,"-type")</f>
        <v>Steel-type</v>
      </c>
      <c r="C37" s="5" t="str">
        <f>CONCATENATE(Types!C10,"タイプ")</f>
        <v>はがねタイプ</v>
      </c>
      <c r="D37" s="3" t="s">
        <v>6042</v>
      </c>
      <c r="E37" s="5" t="str">
        <f>CONCATENATE("Typen ",Types!E10)</f>
        <v>Typen Stahl</v>
      </c>
      <c r="F37" s="5" t="str">
        <f>CONCATENATE("Tipo ",Types!F10)</f>
        <v>Tipo Acero</v>
      </c>
      <c r="G37" s="5" t="str">
        <f>CONCATENATE("Tipo ",Types!G10)</f>
        <v>Tipo Acciaio</v>
      </c>
      <c r="H37" s="5" t="str">
        <f>CONCATENATE(Types!H10,"타입")</f>
        <v>강철타입</v>
      </c>
      <c r="I37" s="5" t="str">
        <f>IFERROR(__xludf.DUMMYFUNCTION("GOOGLETRANSLATE(J37,""zh_HANS"",""zh_HANT"")"),"鋼屬性")</f>
        <v>鋼屬性</v>
      </c>
      <c r="J37" s="5" t="str">
        <f>CONCATENATE(Types!J10,"属性")</f>
        <v>钢属性</v>
      </c>
    </row>
    <row r="38">
      <c r="A38" s="5" t="s">
        <v>6043</v>
      </c>
      <c r="B38" s="5" t="str">
        <f>CONCATENATE(Types!B11,"-type")</f>
        <v>Fire-type</v>
      </c>
      <c r="C38" s="5" t="str">
        <f>CONCATENATE(Types!C11,"タイプ")</f>
        <v>ほのおタイプ</v>
      </c>
      <c r="D38" s="3" t="s">
        <v>6044</v>
      </c>
      <c r="E38" s="5" t="str">
        <f>CONCATENATE("Typen ",Types!E11)</f>
        <v>Typen Feuer</v>
      </c>
      <c r="F38" s="5" t="str">
        <f>CONCATENATE("Tipo ",Types!F11)</f>
        <v>Tipo Fuego</v>
      </c>
      <c r="G38" s="5" t="str">
        <f>CONCATENATE("Tipo ",Types!G11)</f>
        <v>Tipo Fuoco</v>
      </c>
      <c r="H38" s="5" t="str">
        <f>CONCATENATE(Types!H11,"타입")</f>
        <v>불꽃타입</v>
      </c>
      <c r="I38" s="5" t="str">
        <f>IFERROR(__xludf.DUMMYFUNCTION("GOOGLETRANSLATE(J38,""zh_HANS"",""zh_HANT"")"),"火屬性")</f>
        <v>火屬性</v>
      </c>
      <c r="J38" s="5" t="str">
        <f>CONCATENATE(Types!J11,"属性")</f>
        <v>火属性</v>
      </c>
    </row>
    <row r="39">
      <c r="A39" s="5" t="s">
        <v>6045</v>
      </c>
      <c r="B39" s="5" t="str">
        <f>CONCATENATE(Types!B12,"-type")</f>
        <v>Water-type</v>
      </c>
      <c r="C39" s="5" t="str">
        <f>CONCATENATE(Types!C12,"タイプ")</f>
        <v>みずタイプ</v>
      </c>
      <c r="D39" s="3" t="s">
        <v>6046</v>
      </c>
      <c r="E39" s="5" t="str">
        <f>CONCATENATE("Typen ",Types!E12)</f>
        <v>Typen Wasser</v>
      </c>
      <c r="F39" s="5" t="str">
        <f>CONCATENATE("Tipo ",Types!F12)</f>
        <v>Tipo Agua</v>
      </c>
      <c r="G39" s="5" t="str">
        <f>CONCATENATE("Tipo ",Types!G12)</f>
        <v>Tipo Acqua</v>
      </c>
      <c r="H39" s="5" t="str">
        <f>CONCATENATE(Types!H12,"타입")</f>
        <v>물타입</v>
      </c>
      <c r="I39" s="5" t="str">
        <f>IFERROR(__xludf.DUMMYFUNCTION("GOOGLETRANSLATE(J39,""zh_HANS"",""zh_HANT"")"),"水屬性")</f>
        <v>水屬性</v>
      </c>
      <c r="J39" s="5" t="str">
        <f>CONCATENATE(Types!J12,"属性")</f>
        <v>水属性</v>
      </c>
    </row>
    <row r="40">
      <c r="A40" s="5" t="s">
        <v>6047</v>
      </c>
      <c r="B40" s="5" t="str">
        <f>CONCATENATE(Types!B13,"-type")</f>
        <v>Grass-type</v>
      </c>
      <c r="C40" s="5" t="str">
        <f>CONCATENATE(Types!C13,"タイプ")</f>
        <v>くさタイプ</v>
      </c>
      <c r="D40" s="3" t="s">
        <v>6048</v>
      </c>
      <c r="E40" s="5" t="str">
        <f>CONCATENATE("Typen ",Types!E13)</f>
        <v>Typen Pflanze</v>
      </c>
      <c r="F40" s="5" t="str">
        <f>CONCATENATE("Tipo ",Types!F13)</f>
        <v>Tipo Planta</v>
      </c>
      <c r="G40" s="5" t="str">
        <f>CONCATENATE("Tipo ",Types!G13)</f>
        <v>Tipo Erba</v>
      </c>
      <c r="H40" s="5" t="str">
        <f>CONCATENATE(Types!H13,"타입")</f>
        <v>풀타입</v>
      </c>
      <c r="I40" s="5" t="str">
        <f>IFERROR(__xludf.DUMMYFUNCTION("GOOGLETRANSLATE(J40,""zh_HANS"",""zh_HANT"")"),"草屬性")</f>
        <v>草屬性</v>
      </c>
      <c r="J40" s="5" t="str">
        <f>CONCATENATE(Types!J13,"属性")</f>
        <v>草属性</v>
      </c>
    </row>
    <row r="41">
      <c r="A41" s="5" t="s">
        <v>6049</v>
      </c>
      <c r="B41" s="5" t="str">
        <f>CONCATENATE(Types!B14,"-type")</f>
        <v>Electric-type</v>
      </c>
      <c r="C41" s="5" t="str">
        <f>CONCATENATE(Types!C14,"タイプ")</f>
        <v>でんきタイプ</v>
      </c>
      <c r="D41" s="3" t="s">
        <v>6050</v>
      </c>
      <c r="E41" s="5" t="str">
        <f>CONCATENATE("Typen ",Types!E14)</f>
        <v>Typen Elektro</v>
      </c>
      <c r="F41" s="5" t="str">
        <f>CONCATENATE("Tipo ",Types!F14)</f>
        <v>Tipo Eléctrico</v>
      </c>
      <c r="G41" s="5" t="str">
        <f>CONCATENATE("Tipo ",Types!G14)</f>
        <v>Tipo Elettro</v>
      </c>
      <c r="H41" s="5" t="str">
        <f>CONCATENATE(Types!H14,"타입")</f>
        <v>전기타입</v>
      </c>
      <c r="I41" s="5" t="str">
        <f>IFERROR(__xludf.DUMMYFUNCTION("GOOGLETRANSLATE(J41,""zh_HANS"",""zh_HANT"")"),"電屬性")</f>
        <v>電屬性</v>
      </c>
      <c r="J41" s="5" t="str">
        <f>CONCATENATE(Types!J14,"属性")</f>
        <v>电属性</v>
      </c>
    </row>
    <row r="42">
      <c r="A42" s="5" t="s">
        <v>6051</v>
      </c>
      <c r="B42" s="5" t="str">
        <f>CONCATENATE(Types!B15,"-type")</f>
        <v>Psychic-type</v>
      </c>
      <c r="C42" s="5" t="str">
        <f>CONCATENATE(Types!C15,"タイプ")</f>
        <v>エスパータイプ</v>
      </c>
      <c r="D42" s="3" t="s">
        <v>6052</v>
      </c>
      <c r="E42" s="5" t="str">
        <f>CONCATENATE("Typen ",Types!E15)</f>
        <v>Typen Psyscho</v>
      </c>
      <c r="F42" s="5" t="str">
        <f>CONCATENATE("Tipo ",Types!F15)</f>
        <v>Tipo Psíquico</v>
      </c>
      <c r="G42" s="5" t="str">
        <f>CONCATENATE("Tipo ",Types!G15)</f>
        <v>Tipo Psico</v>
      </c>
      <c r="H42" s="5" t="str">
        <f>CONCATENATE(Types!H15,"타입")</f>
        <v>에스퍼타입</v>
      </c>
      <c r="I42" s="5" t="str">
        <f>IFERROR(__xludf.DUMMYFUNCTION("GOOGLETRANSLATE(J42,""zh_HANS"",""zh_HANT"")"),"超能力屬性")</f>
        <v>超能力屬性</v>
      </c>
      <c r="J42" s="5" t="str">
        <f>CONCATENATE(Types!J15,"属性")</f>
        <v>超能力属性</v>
      </c>
    </row>
    <row r="43">
      <c r="A43" s="5" t="s">
        <v>6053</v>
      </c>
      <c r="B43" s="5" t="str">
        <f>CONCATENATE(Types!B16,"-type")</f>
        <v>Ice-type</v>
      </c>
      <c r="C43" s="5" t="str">
        <f>CONCATENATE(Types!C16,"タイプ")</f>
        <v>こおりタイプ</v>
      </c>
      <c r="D43" s="3" t="s">
        <v>6054</v>
      </c>
      <c r="E43" s="5" t="str">
        <f>CONCATENATE("Typen ",Types!E16)</f>
        <v>Typen Eis</v>
      </c>
      <c r="F43" s="5" t="str">
        <f>CONCATENATE("Tipo ",Types!F16)</f>
        <v>Tipo Hielo</v>
      </c>
      <c r="G43" s="5" t="str">
        <f>CONCATENATE("Tipo ",Types!G16)</f>
        <v>Tipo Ghiaccio</v>
      </c>
      <c r="H43" s="5" t="str">
        <f>CONCATENATE(Types!H16,"타입")</f>
        <v>얼음타입</v>
      </c>
      <c r="I43" s="5" t="str">
        <f>IFERROR(__xludf.DUMMYFUNCTION("GOOGLETRANSLATE(J43,""zh_HANS"",""zh_HANT"")"),"冰屬性")</f>
        <v>冰屬性</v>
      </c>
      <c r="J43" s="5" t="str">
        <f>CONCATENATE(Types!J16,"属性")</f>
        <v>冰属性</v>
      </c>
    </row>
    <row r="44">
      <c r="A44" s="5" t="s">
        <v>6055</v>
      </c>
      <c r="B44" s="5" t="str">
        <f>CONCATENATE(Types!B17,"-type")</f>
        <v>Dragon-type</v>
      </c>
      <c r="C44" s="5" t="str">
        <f>CONCATENATE(Types!C17,"タイプ")</f>
        <v>ドラゴンタイプ</v>
      </c>
      <c r="D44" s="3" t="s">
        <v>6056</v>
      </c>
      <c r="E44" s="5" t="str">
        <f>CONCATENATE("Typen ",Types!E17)</f>
        <v>Typen Drache</v>
      </c>
      <c r="F44" s="5" t="str">
        <f>CONCATENATE("Tipo ",Types!F17)</f>
        <v>Tipo Dragón</v>
      </c>
      <c r="G44" s="5" t="str">
        <f>CONCATENATE("Tipo ",Types!G17)</f>
        <v>Tipo Drago</v>
      </c>
      <c r="H44" s="5" t="str">
        <f>CONCATENATE(Types!H17,"타입")</f>
        <v>드개곤타입</v>
      </c>
      <c r="I44" s="5" t="str">
        <f>IFERROR(__xludf.DUMMYFUNCTION("GOOGLETRANSLATE(J44,""zh_HANS"",""zh_HANT"")"),"龍屬性")</f>
        <v>龍屬性</v>
      </c>
      <c r="J44" s="5" t="str">
        <f>CONCATENATE(Types!J17,"属性")</f>
        <v>龙属性</v>
      </c>
    </row>
    <row r="45">
      <c r="A45" s="5" t="s">
        <v>6057</v>
      </c>
      <c r="B45" s="5" t="str">
        <f>CONCATENATE(Types!B18,"-type")</f>
        <v>Dark-type</v>
      </c>
      <c r="C45" s="5" t="str">
        <f>CONCATENATE(Types!C18,"タイプ")</f>
        <v>あくタイプ</v>
      </c>
      <c r="D45" s="3" t="s">
        <v>6058</v>
      </c>
      <c r="E45" s="5" t="str">
        <f>CONCATENATE("Typen ",Types!E18)</f>
        <v>Typen Unlicht</v>
      </c>
      <c r="F45" s="5" t="str">
        <f>CONCATENATE("Tipo ",Types!F18)</f>
        <v>Tipo Siniestro</v>
      </c>
      <c r="G45" s="5" t="str">
        <f>CONCATENATE("Tipo ",Types!G18)</f>
        <v>Tipo Buio</v>
      </c>
      <c r="H45" s="5" t="str">
        <f>CONCATENATE(Types!H18,"타입")</f>
        <v>악타입</v>
      </c>
      <c r="I45" s="5" t="str">
        <f>IFERROR(__xludf.DUMMYFUNCTION("GOOGLETRANSLATE(J45,""zh_HANS"",""zh_HANT"")"),"惡屬性")</f>
        <v>惡屬性</v>
      </c>
      <c r="J45" s="5" t="str">
        <f>CONCATENATE(Types!J18,"属性")</f>
        <v>恶属性</v>
      </c>
    </row>
    <row r="46">
      <c r="A46" s="5" t="s">
        <v>6059</v>
      </c>
      <c r="B46" s="5" t="str">
        <f>CONCATENATE(Types!B19,"-type")</f>
        <v>Fairy-type</v>
      </c>
      <c r="C46" s="5" t="str">
        <f>CONCATENATE(Types!C19,"タイプ")</f>
        <v>フェアリタイプ</v>
      </c>
      <c r="D46" s="3" t="s">
        <v>6060</v>
      </c>
      <c r="E46" s="5" t="str">
        <f>CONCATENATE("Typen ",Types!E19)</f>
        <v>Typen Fee</v>
      </c>
      <c r="F46" s="5" t="str">
        <f>CONCATENATE("Tipo ",Types!F19)</f>
        <v>Tipo Hada</v>
      </c>
      <c r="G46" s="5" t="str">
        <f>CONCATENATE("Tipo ",Types!G19)</f>
        <v>Tipo Folletto</v>
      </c>
      <c r="H46" s="5" t="str">
        <f>CONCATENATE(Types!H19,"타입")</f>
        <v>페어리타입</v>
      </c>
      <c r="I46" s="5" t="str">
        <f>IFERROR(__xludf.DUMMYFUNCTION("GOOGLETRANSLATE(J46,""zh_HANS"",""zh_HANT"")"),"妖精屬性")</f>
        <v>妖精屬性</v>
      </c>
      <c r="J46" s="5" t="str">
        <f>CONCATENATE(Types!J19,"属性")</f>
        <v>妖精属性</v>
      </c>
    </row>
    <row r="47">
      <c r="A47" s="5" t="str">
        <f t="shared" ref="A47:A81" si="6">CONCATENATE("NAME_FORM_", SUBSTITUTE(UPPER(B47), " ", ""))</f>
        <v>NAME_FORM_RED-STRIPEDFORM</v>
      </c>
      <c r="B47" s="3" t="s">
        <v>6061</v>
      </c>
      <c r="C47" s="3" t="s">
        <v>6062</v>
      </c>
      <c r="D47" s="3" t="s">
        <v>6063</v>
      </c>
      <c r="E47" s="3" t="s">
        <v>6064</v>
      </c>
      <c r="F47" s="3" t="s">
        <v>6065</v>
      </c>
      <c r="G47" s="3" t="s">
        <v>6066</v>
      </c>
      <c r="H47" s="3" t="s">
        <v>6067</v>
      </c>
      <c r="I47" s="3" t="s">
        <v>6068</v>
      </c>
      <c r="J47" s="5" t="str">
        <f>IFERROR(__xludf.DUMMYFUNCTION("GOOGLETRANSLATE(I47,""zh_HANT"",""zh_HANS"")"),"红条纹的样子")</f>
        <v>红条纹的样子</v>
      </c>
    </row>
    <row r="48">
      <c r="A48" s="5" t="str">
        <f t="shared" si="6"/>
        <v>NAME_FORM_BLUE-STRIPEDFORM</v>
      </c>
      <c r="B48" s="3" t="s">
        <v>6069</v>
      </c>
      <c r="C48" s="3" t="s">
        <v>6070</v>
      </c>
      <c r="D48" s="3" t="s">
        <v>6071</v>
      </c>
      <c r="E48" s="3" t="s">
        <v>6072</v>
      </c>
      <c r="F48" s="3" t="s">
        <v>6073</v>
      </c>
      <c r="G48" s="3" t="s">
        <v>6074</v>
      </c>
      <c r="H48" s="3" t="s">
        <v>6075</v>
      </c>
      <c r="I48" s="3" t="s">
        <v>6076</v>
      </c>
      <c r="J48" s="5" t="str">
        <f>IFERROR(__xludf.DUMMYFUNCTION("GOOGLETRANSLATE(I48,""zh_HANT"",""zh_HANS"")"),"蓝条纹的样子")</f>
        <v>蓝条纹的样子</v>
      </c>
    </row>
    <row r="49">
      <c r="A49" s="5" t="str">
        <f t="shared" si="6"/>
        <v>NAME_FORM_STANDARDMODE</v>
      </c>
      <c r="B49" s="3" t="s">
        <v>6077</v>
      </c>
      <c r="C49" s="9" t="s">
        <v>6078</v>
      </c>
      <c r="D49" s="3" t="s">
        <v>6079</v>
      </c>
      <c r="E49" s="3" t="s">
        <v>6080</v>
      </c>
      <c r="F49" s="3" t="s">
        <v>6081</v>
      </c>
      <c r="G49" s="3" t="s">
        <v>6082</v>
      </c>
      <c r="H49" s="3" t="s">
        <v>6083</v>
      </c>
      <c r="I49" s="3" t="s">
        <v>6084</v>
      </c>
      <c r="J49" s="5" t="str">
        <f>I49</f>
        <v>普通模式</v>
      </c>
    </row>
    <row r="50">
      <c r="A50" s="5" t="str">
        <f t="shared" si="6"/>
        <v>NAME_FORM_ZENMODE</v>
      </c>
      <c r="B50" s="3" t="str">
        <f>Abilities!B162</f>
        <v>Zen Mode</v>
      </c>
      <c r="C50" s="3" t="str">
        <f>Abilities!C162</f>
        <v>ダルマモード</v>
      </c>
      <c r="D50" s="3" t="str">
        <f>Abilities!D162</f>
        <v>Mode Transe</v>
      </c>
      <c r="E50" s="3" t="str">
        <f>Abilities!E162</f>
        <v>Trance-Modus</v>
      </c>
      <c r="F50" s="3" t="str">
        <f>Abilities!F162</f>
        <v>Modo Daruma</v>
      </c>
      <c r="G50" s="3" t="str">
        <f>Abilities!G162</f>
        <v>Stato Zen</v>
      </c>
      <c r="H50" s="3" t="str">
        <f>Abilities!H162</f>
        <v>달마모드</v>
      </c>
      <c r="I50" s="3" t="str">
        <f>Abilities!I162</f>
        <v>達摩模式</v>
      </c>
      <c r="J50" s="3" t="str">
        <f>Abilities!J162</f>
        <v>达摩模式</v>
      </c>
    </row>
    <row r="51">
      <c r="A51" s="5" t="str">
        <f t="shared" si="6"/>
        <v>NAME_FORM_SPRINGFORM</v>
      </c>
      <c r="B51" s="3" t="s">
        <v>6085</v>
      </c>
      <c r="C51" s="3" t="s">
        <v>6086</v>
      </c>
      <c r="D51" s="3" t="s">
        <v>6087</v>
      </c>
      <c r="E51" s="3" t="s">
        <v>6088</v>
      </c>
      <c r="F51" s="5" t="str">
        <f>G51</f>
        <v>Forma Primavera</v>
      </c>
      <c r="G51" s="3" t="s">
        <v>6089</v>
      </c>
      <c r="H51" s="3" t="s">
        <v>6090</v>
      </c>
      <c r="I51" s="3" t="s">
        <v>6091</v>
      </c>
      <c r="J51" s="5" t="str">
        <f>IFERROR(__xludf.DUMMYFUNCTION("GOOGLETRANSLATE(I51,""zh_HANT"",""zh_HANS"")"),"春天的样子")</f>
        <v>春天的样子</v>
      </c>
    </row>
    <row r="52">
      <c r="A52" s="5" t="str">
        <f t="shared" si="6"/>
        <v>NAME_FORM_SUMMERFORM</v>
      </c>
      <c r="B52" s="3" t="s">
        <v>6092</v>
      </c>
      <c r="C52" s="3" t="s">
        <v>6093</v>
      </c>
      <c r="D52" s="3" t="s">
        <v>6094</v>
      </c>
      <c r="E52" s="3" t="s">
        <v>6095</v>
      </c>
      <c r="F52" s="3" t="s">
        <v>6096</v>
      </c>
      <c r="G52" s="3" t="s">
        <v>6097</v>
      </c>
      <c r="H52" s="3" t="s">
        <v>6098</v>
      </c>
      <c r="I52" s="3" t="s">
        <v>6099</v>
      </c>
      <c r="J52" s="5" t="str">
        <f>IFERROR(__xludf.DUMMYFUNCTION("GOOGLETRANSLATE(I52,""zh_HANT"",""zh_HANS"")"),"夏天的样子")</f>
        <v>夏天的样子</v>
      </c>
    </row>
    <row r="53">
      <c r="A53" s="5" t="str">
        <f t="shared" si="6"/>
        <v>NAME_FORM_AUTUMNFORM</v>
      </c>
      <c r="B53" s="3" t="s">
        <v>6100</v>
      </c>
      <c r="C53" s="3" t="s">
        <v>6101</v>
      </c>
      <c r="D53" s="3" t="s">
        <v>6102</v>
      </c>
      <c r="E53" s="3" t="s">
        <v>6103</v>
      </c>
      <c r="F53" s="3" t="s">
        <v>6104</v>
      </c>
      <c r="G53" s="3" t="s">
        <v>6105</v>
      </c>
      <c r="H53" s="3" t="s">
        <v>6106</v>
      </c>
      <c r="I53" s="3" t="s">
        <v>6107</v>
      </c>
      <c r="J53" s="5" t="str">
        <f>IFERROR(__xludf.DUMMYFUNCTION("GOOGLETRANSLATE(I53,""zh_HANT"",""zh_HANS"")"),"秋天的样子")</f>
        <v>秋天的样子</v>
      </c>
    </row>
    <row r="54">
      <c r="A54" s="5" t="str">
        <f t="shared" si="6"/>
        <v>NAME_FORM_WINTERFORM</v>
      </c>
      <c r="B54" s="3" t="s">
        <v>6108</v>
      </c>
      <c r="C54" s="3" t="s">
        <v>6109</v>
      </c>
      <c r="D54" s="3" t="s">
        <v>6110</v>
      </c>
      <c r="E54" s="3" t="s">
        <v>6111</v>
      </c>
      <c r="F54" s="3" t="s">
        <v>6112</v>
      </c>
      <c r="G54" s="3" t="s">
        <v>6113</v>
      </c>
      <c r="H54" s="3" t="s">
        <v>6114</v>
      </c>
      <c r="I54" s="3" t="s">
        <v>6115</v>
      </c>
      <c r="J54" s="5" t="str">
        <f>IFERROR(__xludf.DUMMYFUNCTION("GOOGLETRANSLATE(I54,""zh_HANT"",""zh_HANS"")"),"冬天的样子")</f>
        <v>冬天的样子</v>
      </c>
    </row>
    <row r="55">
      <c r="A55" s="5" t="str">
        <f t="shared" si="6"/>
        <v>NAME_FORM_INCARNATEFORME</v>
      </c>
      <c r="B55" s="3" t="s">
        <v>6116</v>
      </c>
      <c r="C55" s="3" t="s">
        <v>6117</v>
      </c>
      <c r="D55" s="3" t="s">
        <v>6118</v>
      </c>
      <c r="E55" s="3" t="s">
        <v>6119</v>
      </c>
      <c r="F55" s="3" t="s">
        <v>6120</v>
      </c>
      <c r="G55" s="3" t="s">
        <v>6121</v>
      </c>
      <c r="H55" s="3" t="s">
        <v>6122</v>
      </c>
      <c r="I55" s="3" t="s">
        <v>6123</v>
      </c>
      <c r="J55" s="5" t="str">
        <f>IFERROR(__xludf.DUMMYFUNCTION("GOOGLETRANSLATE(I55,""zh_HANT"",""zh_HANS"")"),"化身形态")</f>
        <v>化身形态</v>
      </c>
    </row>
    <row r="56">
      <c r="A56" s="5" t="str">
        <f t="shared" si="6"/>
        <v>NAME_FORM_THERIANFORME</v>
      </c>
      <c r="B56" s="3" t="s">
        <v>6124</v>
      </c>
      <c r="C56" s="3" t="s">
        <v>6125</v>
      </c>
      <c r="D56" s="3" t="s">
        <v>6126</v>
      </c>
      <c r="E56" s="3" t="s">
        <v>6127</v>
      </c>
      <c r="F56" s="3" t="s">
        <v>6128</v>
      </c>
      <c r="G56" s="3" t="s">
        <v>6129</v>
      </c>
      <c r="H56" s="3" t="s">
        <v>6130</v>
      </c>
      <c r="I56" s="3" t="s">
        <v>6131</v>
      </c>
      <c r="J56" s="5" t="str">
        <f>IFERROR(__xludf.DUMMYFUNCTION("GOOGLETRANSLATE(I56,""zh_HANT"",""zh_HANS"")"),"灵兽形态")</f>
        <v>灵兽形态</v>
      </c>
    </row>
    <row r="57">
      <c r="A57" s="5" t="str">
        <f t="shared" si="6"/>
        <v>NAME_FORM_BLACKKYUREM</v>
      </c>
      <c r="B57" s="3" t="s">
        <v>6132</v>
      </c>
      <c r="C57" s="3" t="s">
        <v>6133</v>
      </c>
      <c r="D57" s="3" t="s">
        <v>6134</v>
      </c>
      <c r="E57" s="3" t="s">
        <v>6135</v>
      </c>
      <c r="F57" s="3" t="s">
        <v>6136</v>
      </c>
      <c r="G57" s="3" t="s">
        <v>6137</v>
      </c>
      <c r="H57" s="3" t="s">
        <v>6138</v>
      </c>
      <c r="I57" s="3" t="s">
        <v>6139</v>
      </c>
      <c r="J57" s="5" t="str">
        <f>IFERROR(__xludf.DUMMYFUNCTION("GOOGLETRANSLATE(I57,""zh_HANT"",""zh_HANS"")"),"暗黑酋雷姆")</f>
        <v>暗黑酋雷姆</v>
      </c>
    </row>
    <row r="58">
      <c r="A58" s="5" t="str">
        <f t="shared" si="6"/>
        <v>NAME_FORM_WHITEKYUREM</v>
      </c>
      <c r="B58" s="3" t="s">
        <v>6140</v>
      </c>
      <c r="C58" s="3" t="s">
        <v>6141</v>
      </c>
      <c r="D58" s="3" t="s">
        <v>6142</v>
      </c>
      <c r="E58" s="3" t="s">
        <v>6143</v>
      </c>
      <c r="F58" s="3" t="s">
        <v>6144</v>
      </c>
      <c r="G58" s="3" t="s">
        <v>6145</v>
      </c>
      <c r="H58" s="3" t="s">
        <v>6146</v>
      </c>
      <c r="I58" s="3" t="s">
        <v>6147</v>
      </c>
      <c r="J58" s="5" t="str">
        <f>I58</f>
        <v>焰白酋雷姆</v>
      </c>
    </row>
    <row r="59">
      <c r="A59" s="5" t="str">
        <f t="shared" si="6"/>
        <v>NAME_FORM_ORDINARYFORM</v>
      </c>
      <c r="B59" s="3" t="s">
        <v>6148</v>
      </c>
      <c r="C59" s="3" t="s">
        <v>6149</v>
      </c>
      <c r="D59" s="3" t="s">
        <v>6150</v>
      </c>
      <c r="E59" s="3" t="s">
        <v>6151</v>
      </c>
      <c r="F59" s="3" t="s">
        <v>6152</v>
      </c>
      <c r="G59" s="3" t="s">
        <v>5878</v>
      </c>
      <c r="H59" s="3" t="s">
        <v>6153</v>
      </c>
      <c r="I59" s="3" t="s">
        <v>6154</v>
      </c>
      <c r="J59" s="5" t="str">
        <f>IFERROR(__xludf.DUMMYFUNCTION("GOOGLETRANSLATE(I59,""zh_HANT"",""zh_HANS"")"),"平常的样子")</f>
        <v>平常的样子</v>
      </c>
    </row>
    <row r="60">
      <c r="A60" s="5" t="str">
        <f t="shared" si="6"/>
        <v>NAME_FORM_RESOLUTEFORM</v>
      </c>
      <c r="B60" s="3" t="s">
        <v>6155</v>
      </c>
      <c r="C60" s="3" t="s">
        <v>6156</v>
      </c>
      <c r="D60" s="3" t="s">
        <v>6157</v>
      </c>
      <c r="E60" s="3" t="s">
        <v>6158</v>
      </c>
      <c r="F60" s="3" t="s">
        <v>6159</v>
      </c>
      <c r="G60" s="3" t="s">
        <v>6160</v>
      </c>
      <c r="H60" s="3" t="s">
        <v>6161</v>
      </c>
      <c r="I60" s="3" t="s">
        <v>6162</v>
      </c>
      <c r="J60" s="5" t="str">
        <f>IFERROR(__xludf.DUMMYFUNCTION("GOOGLETRANSLATE(I60,""zh_HANT"",""zh_HANS"")"),"觉悟的样子")</f>
        <v>觉悟的样子</v>
      </c>
    </row>
    <row r="61">
      <c r="A61" s="5" t="str">
        <f t="shared" si="6"/>
        <v>NAME_FORM_ARIAFORME</v>
      </c>
      <c r="B61" s="3" t="s">
        <v>6163</v>
      </c>
      <c r="C61" s="3" t="s">
        <v>6164</v>
      </c>
      <c r="D61" s="3" t="s">
        <v>6165</v>
      </c>
      <c r="E61" s="3" t="s">
        <v>6166</v>
      </c>
      <c r="F61" s="3" t="s">
        <v>6167</v>
      </c>
      <c r="G61" s="11" t="s">
        <v>6168</v>
      </c>
      <c r="H61" s="3" t="s">
        <v>6169</v>
      </c>
      <c r="I61" s="3" t="s">
        <v>6170</v>
      </c>
      <c r="J61" s="5" t="str">
        <f>IFERROR(__xludf.DUMMYFUNCTION("GOOGLETRANSLATE(I61,""zh_HANT"",""zh_HANS"")"),"歌声形态")</f>
        <v>歌声形态</v>
      </c>
    </row>
    <row r="62">
      <c r="A62" s="5" t="str">
        <f t="shared" si="6"/>
        <v>NAME_FORM_PIROUETTEFORME</v>
      </c>
      <c r="B62" s="3" t="s">
        <v>6171</v>
      </c>
      <c r="C62" s="3" t="s">
        <v>6172</v>
      </c>
      <c r="D62" s="3" t="s">
        <v>6173</v>
      </c>
      <c r="E62" s="3" t="s">
        <v>6174</v>
      </c>
      <c r="F62" s="5" t="str">
        <f>G62</f>
        <v>Forma Danza</v>
      </c>
      <c r="G62" s="3" t="s">
        <v>6175</v>
      </c>
      <c r="H62" s="3" t="s">
        <v>6176</v>
      </c>
      <c r="I62" s="3" t="s">
        <v>6177</v>
      </c>
      <c r="J62" s="5" t="str">
        <f>IFERROR(__xludf.DUMMYFUNCTION("GOOGLETRANSLATE(I62,""zh_HANT"",""zh_HANS"")"),"舞步形态")</f>
        <v>舞步形态</v>
      </c>
    </row>
    <row r="63">
      <c r="A63" s="5" t="str">
        <f t="shared" si="6"/>
        <v>NAME_FORM_ASHGRENINJA</v>
      </c>
      <c r="B63" s="3" t="s">
        <v>6178</v>
      </c>
      <c r="C63" s="3" t="s">
        <v>6179</v>
      </c>
      <c r="D63" s="3" t="s">
        <v>6180</v>
      </c>
      <c r="E63" s="3" t="s">
        <v>6181</v>
      </c>
      <c r="F63" s="3" t="s">
        <v>6182</v>
      </c>
      <c r="G63" s="3" t="s">
        <v>6183</v>
      </c>
      <c r="H63" s="5" t="str">
        <f>CONCATENATE("지우",Pokemon!H659)</f>
        <v>지우개굴닌자</v>
      </c>
      <c r="I63" s="5" t="str">
        <f>CONCATENATE("小智版",Pokemon!I659)</f>
        <v>小智版甲賀忍蛙</v>
      </c>
      <c r="J63" s="5" t="str">
        <f>CONCATENATE("小智版",Pokemon!J659)</f>
        <v>小智版甲贺忍蛙</v>
      </c>
    </row>
    <row r="64">
      <c r="A64" s="5" t="str">
        <f t="shared" si="6"/>
        <v>NAME_FORM_ARCHIPELAGOPATTERN</v>
      </c>
      <c r="B64" s="3" t="s">
        <v>6184</v>
      </c>
      <c r="C64" s="3" t="s">
        <v>6185</v>
      </c>
      <c r="D64" s="3" t="s">
        <v>6186</v>
      </c>
      <c r="E64" s="3" t="s">
        <v>6187</v>
      </c>
      <c r="F64" s="3" t="s">
        <v>6188</v>
      </c>
      <c r="G64" s="3" t="s">
        <v>6189</v>
      </c>
      <c r="H64" s="3" t="s">
        <v>6190</v>
      </c>
      <c r="I64" s="3" t="s">
        <v>6191</v>
      </c>
      <c r="J64" s="5" t="str">
        <f>IFERROR(__xludf.DUMMYFUNCTION("GOOGLETRANSLATE(I64,""zh_HANT"",""zh_HANS"")"),"群岛花纹")</f>
        <v>群岛花纹</v>
      </c>
    </row>
    <row r="65">
      <c r="A65" s="5" t="str">
        <f t="shared" si="6"/>
        <v>NAME_FORM_CONTINENTALPATTERN</v>
      </c>
      <c r="B65" s="3" t="s">
        <v>6192</v>
      </c>
      <c r="C65" s="3" t="s">
        <v>6193</v>
      </c>
      <c r="D65" s="3" t="s">
        <v>6194</v>
      </c>
      <c r="E65" s="3" t="s">
        <v>6195</v>
      </c>
      <c r="F65" s="3" t="s">
        <v>6196</v>
      </c>
      <c r="G65" s="3" t="str">
        <f>CONCATENATE(F65, "e")</f>
        <v>Motivo Continentale</v>
      </c>
      <c r="H65" s="3" t="s">
        <v>6197</v>
      </c>
      <c r="I65" s="3" t="s">
        <v>6198</v>
      </c>
      <c r="J65" s="5" t="str">
        <f>IFERROR(__xludf.DUMMYFUNCTION("GOOGLETRANSLATE(I65,""zh_HANT"",""zh_HANS"")"),"大陆花纹")</f>
        <v>大陆花纹</v>
      </c>
    </row>
    <row r="66">
      <c r="A66" s="5" t="str">
        <f t="shared" si="6"/>
        <v>NAME_FORM_ELEGANTPATTERN</v>
      </c>
      <c r="B66" s="3" t="s">
        <v>6199</v>
      </c>
      <c r="C66" s="3" t="s">
        <v>6200</v>
      </c>
      <c r="D66" s="3" t="s">
        <v>6201</v>
      </c>
      <c r="E66" s="3" t="s">
        <v>6202</v>
      </c>
      <c r="F66" s="3" t="s">
        <v>6203</v>
      </c>
      <c r="G66" s="3" t="s">
        <v>6204</v>
      </c>
      <c r="H66" s="3" t="s">
        <v>6205</v>
      </c>
      <c r="I66" s="3" t="s">
        <v>6206</v>
      </c>
      <c r="J66" s="5" t="str">
        <f>IFERROR(__xludf.DUMMYFUNCTION("GOOGLETRANSLATE(I66,""zh_HANT"",""zh_HANS"")"),"高雅花纹")</f>
        <v>高雅花纹</v>
      </c>
    </row>
    <row r="67">
      <c r="A67" s="5" t="str">
        <f t="shared" si="6"/>
        <v>NAME_FORM_GARDENPATTERN</v>
      </c>
      <c r="B67" s="3" t="s">
        <v>6207</v>
      </c>
      <c r="C67" s="3" t="s">
        <v>6208</v>
      </c>
      <c r="D67" s="3" t="s">
        <v>6209</v>
      </c>
      <c r="E67" s="3" t="s">
        <v>6210</v>
      </c>
      <c r="F67" s="3" t="s">
        <v>6211</v>
      </c>
      <c r="G67" s="3" t="s">
        <v>6212</v>
      </c>
      <c r="H67" s="3" t="s">
        <v>6213</v>
      </c>
      <c r="I67" s="3" t="s">
        <v>6214</v>
      </c>
      <c r="J67" s="5" t="str">
        <f>IFERROR(__xludf.DUMMYFUNCTION("GOOGLETRANSLATE(I67,""zh_HANT"",""zh_HANS"")"),"庭园花纹")</f>
        <v>庭园花纹</v>
      </c>
    </row>
    <row r="68">
      <c r="A68" s="5" t="str">
        <f t="shared" si="6"/>
        <v>NAME_FORM_HIGHPLAINSPATTERN</v>
      </c>
      <c r="B68" s="3" t="s">
        <v>6215</v>
      </c>
      <c r="C68" s="3" t="s">
        <v>6216</v>
      </c>
      <c r="D68" s="3" t="s">
        <v>6217</v>
      </c>
      <c r="E68" s="3" t="s">
        <v>6218</v>
      </c>
      <c r="F68" s="3" t="s">
        <v>6219</v>
      </c>
      <c r="G68" s="3" t="s">
        <v>6220</v>
      </c>
      <c r="H68" s="3" t="s">
        <v>6221</v>
      </c>
      <c r="I68" s="3" t="s">
        <v>6222</v>
      </c>
      <c r="J68" s="5" t="str">
        <f>IFERROR(__xludf.DUMMYFUNCTION("GOOGLETRANSLATE(I68,""zh_HANT"",""zh_HANS"")"),"荒野花纹")</f>
        <v>荒野花纹</v>
      </c>
    </row>
    <row r="69">
      <c r="A69" s="5" t="str">
        <f t="shared" si="6"/>
        <v>NAME_FORM_ICYSNOWPATTERN</v>
      </c>
      <c r="B69" s="3" t="s">
        <v>6223</v>
      </c>
      <c r="C69" s="3" t="s">
        <v>6224</v>
      </c>
      <c r="D69" s="3" t="s">
        <v>6225</v>
      </c>
      <c r="E69" s="3" t="s">
        <v>6226</v>
      </c>
      <c r="F69" s="3" t="s">
        <v>6227</v>
      </c>
      <c r="G69" s="3" t="s">
        <v>6228</v>
      </c>
      <c r="H69" s="3" t="s">
        <v>6229</v>
      </c>
      <c r="I69" s="3" t="s">
        <v>6230</v>
      </c>
      <c r="J69" s="5" t="str">
        <f>IFERROR(__xludf.DUMMYFUNCTION("GOOGLETRANSLATE(I69,""zh_HANT"",""zh_HANS"")"),"冰雪花纹")</f>
        <v>冰雪花纹</v>
      </c>
    </row>
    <row r="70">
      <c r="A70" s="5" t="str">
        <f t="shared" si="6"/>
        <v>NAME_FORM_JUNGLEPATTERN</v>
      </c>
      <c r="B70" s="3" t="s">
        <v>6231</v>
      </c>
      <c r="C70" s="3" t="s">
        <v>6232</v>
      </c>
      <c r="D70" s="3" t="s">
        <v>6233</v>
      </c>
      <c r="E70" s="3" t="s">
        <v>6234</v>
      </c>
      <c r="F70" s="3" t="s">
        <v>6235</v>
      </c>
      <c r="G70" s="3" t="s">
        <v>6236</v>
      </c>
      <c r="H70" s="3" t="s">
        <v>6237</v>
      </c>
      <c r="I70" s="3" t="s">
        <v>6238</v>
      </c>
      <c r="J70" s="5" t="str">
        <f>IFERROR(__xludf.DUMMYFUNCTION("GOOGLETRANSLATE(I70,""zh_HANT"",""zh_HANS"")"),"热带雨林花纹")</f>
        <v>热带雨林花纹</v>
      </c>
    </row>
    <row r="71">
      <c r="A71" s="5" t="str">
        <f t="shared" si="6"/>
        <v>NAME_FORM_MARINEPATTERN</v>
      </c>
      <c r="B71" s="3" t="s">
        <v>6239</v>
      </c>
      <c r="C71" s="3" t="s">
        <v>6240</v>
      </c>
      <c r="D71" s="3" t="s">
        <v>6241</v>
      </c>
      <c r="E71" s="3" t="s">
        <v>6242</v>
      </c>
      <c r="F71" s="5" t="str">
        <f>G71</f>
        <v>Motivo Marino</v>
      </c>
      <c r="G71" s="3" t="s">
        <v>6243</v>
      </c>
      <c r="H71" s="3" t="s">
        <v>6244</v>
      </c>
      <c r="I71" s="3" t="s">
        <v>6245</v>
      </c>
      <c r="J71" s="5" t="str">
        <f>IFERROR(__xludf.DUMMYFUNCTION("GOOGLETRANSLATE(I71,""zh_HANT"",""zh_HANS"")"),"大海花纹")</f>
        <v>大海花纹</v>
      </c>
    </row>
    <row r="72">
      <c r="A72" s="5" t="str">
        <f t="shared" si="6"/>
        <v>NAME_FORM_MEADOWPATTERN</v>
      </c>
      <c r="B72" s="3" t="s">
        <v>6246</v>
      </c>
      <c r="C72" s="3" t="s">
        <v>6247</v>
      </c>
      <c r="D72" s="3" t="s">
        <v>6248</v>
      </c>
      <c r="E72" s="3" t="s">
        <v>6249</v>
      </c>
      <c r="F72" s="3" t="s">
        <v>6250</v>
      </c>
      <c r="G72" s="3" t="s">
        <v>6251</v>
      </c>
      <c r="H72" s="3" t="s">
        <v>6252</v>
      </c>
      <c r="I72" s="3" t="s">
        <v>6253</v>
      </c>
      <c r="J72" s="5" t="str">
        <f>IFERROR(__xludf.DUMMYFUNCTION("GOOGLETRANSLATE(I72,""zh_HANT"",""zh_HANS"")"),"花园花纹")</f>
        <v>花园花纹</v>
      </c>
    </row>
    <row r="73">
      <c r="A73" s="5" t="str">
        <f t="shared" si="6"/>
        <v>NAME_FORM_MODERNPATTERN</v>
      </c>
      <c r="B73" s="3" t="s">
        <v>6254</v>
      </c>
      <c r="C73" s="3" t="s">
        <v>6255</v>
      </c>
      <c r="D73" s="3" t="s">
        <v>6256</v>
      </c>
      <c r="E73" s="3" t="s">
        <v>6257</v>
      </c>
      <c r="F73" s="3" t="s">
        <v>6258</v>
      </c>
      <c r="G73" s="3" t="s">
        <v>6259</v>
      </c>
      <c r="H73" s="3" t="s">
        <v>6260</v>
      </c>
      <c r="I73" s="3" t="s">
        <v>6261</v>
      </c>
      <c r="J73" s="5" t="str">
        <f>IFERROR(__xludf.DUMMYFUNCTION("GOOGLETRANSLATE(I73,""zh_HANT"",""zh_HANS"")"),"摩登花纹")</f>
        <v>摩登花纹</v>
      </c>
    </row>
    <row r="74">
      <c r="A74" s="5" t="str">
        <f t="shared" si="6"/>
        <v>NAME_FORM_MONSOONPATTERN</v>
      </c>
      <c r="B74" s="3" t="s">
        <v>6262</v>
      </c>
      <c r="C74" s="3" t="s">
        <v>6263</v>
      </c>
      <c r="D74" s="3" t="s">
        <v>6264</v>
      </c>
      <c r="E74" s="3" t="s">
        <v>6265</v>
      </c>
      <c r="F74" s="3" t="s">
        <v>6266</v>
      </c>
      <c r="G74" s="3" t="s">
        <v>6267</v>
      </c>
      <c r="H74" s="3" t="s">
        <v>6268</v>
      </c>
      <c r="I74" s="3" t="s">
        <v>6269</v>
      </c>
      <c r="J74" s="5" t="str">
        <f>IFERROR(__xludf.DUMMYFUNCTION("GOOGLETRANSLATE(I74,""zh_HANT"",""zh_HANS"")"),"骤雨花纹")</f>
        <v>骤雨花纹</v>
      </c>
    </row>
    <row r="75">
      <c r="A75" s="5" t="str">
        <f t="shared" si="6"/>
        <v>NAME_FORM_OCEANPATTERN</v>
      </c>
      <c r="B75" s="3" t="s">
        <v>6270</v>
      </c>
      <c r="C75" s="3" t="s">
        <v>6271</v>
      </c>
      <c r="D75" s="3" t="s">
        <v>6272</v>
      </c>
      <c r="E75" s="3" t="s">
        <v>6273</v>
      </c>
      <c r="F75" s="3" t="s">
        <v>6274</v>
      </c>
      <c r="G75" s="3" t="s">
        <v>6275</v>
      </c>
      <c r="H75" s="3" t="s">
        <v>6276</v>
      </c>
      <c r="I75" s="3" t="s">
        <v>6277</v>
      </c>
      <c r="J75" s="5" t="str">
        <f>IFERROR(__xludf.DUMMYFUNCTION("GOOGLETRANSLATE(I75,""zh_HANT"",""zh_HANS"")"),"大洋花纹")</f>
        <v>大洋花纹</v>
      </c>
    </row>
    <row r="76">
      <c r="A76" s="5" t="str">
        <f t="shared" si="6"/>
        <v>NAME_FORM_POLARPATTERN</v>
      </c>
      <c r="B76" s="3" t="s">
        <v>6278</v>
      </c>
      <c r="C76" s="3" t="s">
        <v>6279</v>
      </c>
      <c r="D76" s="3" t="s">
        <v>6280</v>
      </c>
      <c r="E76" s="3" t="s">
        <v>6281</v>
      </c>
      <c r="F76" s="3" t="s">
        <v>6282</v>
      </c>
      <c r="G76" s="3" t="s">
        <v>6283</v>
      </c>
      <c r="H76" s="3" t="s">
        <v>6284</v>
      </c>
      <c r="I76" s="3" t="s">
        <v>6285</v>
      </c>
      <c r="J76" s="5" t="str">
        <f>IFERROR(__xludf.DUMMYFUNCTION("GOOGLETRANSLATE(I76,""zh_HANT"",""zh_HANS"")"),"雪国花纹")</f>
        <v>雪国花纹</v>
      </c>
    </row>
    <row r="77">
      <c r="A77" s="5" t="str">
        <f t="shared" si="6"/>
        <v>NAME_FORM_RIVERPATTERN</v>
      </c>
      <c r="B77" s="3" t="s">
        <v>6286</v>
      </c>
      <c r="C77" s="3" t="s">
        <v>6287</v>
      </c>
      <c r="D77" s="3" t="s">
        <v>6288</v>
      </c>
      <c r="E77" s="3" t="s">
        <v>6289</v>
      </c>
      <c r="F77" s="3" t="s">
        <v>6290</v>
      </c>
      <c r="G77" s="3" t="s">
        <v>6291</v>
      </c>
      <c r="H77" s="3" t="s">
        <v>6292</v>
      </c>
      <c r="I77" s="3" t="s">
        <v>6293</v>
      </c>
      <c r="J77" s="5" t="str">
        <f>IFERROR(__xludf.DUMMYFUNCTION("GOOGLETRANSLATE(I77,""zh_HANT"",""zh_HANS"")"),"大河花纹")</f>
        <v>大河花纹</v>
      </c>
    </row>
    <row r="78">
      <c r="A78" s="5" t="str">
        <f t="shared" si="6"/>
        <v>NAME_FORM_SANDSTORMPATTERN</v>
      </c>
      <c r="B78" s="3" t="s">
        <v>6294</v>
      </c>
      <c r="C78" s="3" t="s">
        <v>6295</v>
      </c>
      <c r="D78" s="3" t="s">
        <v>6296</v>
      </c>
      <c r="E78" s="3" t="s">
        <v>6297</v>
      </c>
      <c r="F78" s="3" t="s">
        <v>6298</v>
      </c>
      <c r="G78" s="3" t="s">
        <v>6299</v>
      </c>
      <c r="H78" s="3" t="s">
        <v>6300</v>
      </c>
      <c r="I78" s="3" t="s">
        <v>6301</v>
      </c>
      <c r="J78" s="5" t="str">
        <f>IFERROR(__xludf.DUMMYFUNCTION("GOOGLETRANSLATE(I78,""zh_HANT"",""zh_HANS"")"),"沙尘花纹")</f>
        <v>沙尘花纹</v>
      </c>
    </row>
    <row r="79">
      <c r="A79" s="5" t="str">
        <f t="shared" si="6"/>
        <v>NAME_FORM_SAVANNAPATTERN</v>
      </c>
      <c r="B79" s="3" t="s">
        <v>6302</v>
      </c>
      <c r="C79" s="3" t="s">
        <v>6303</v>
      </c>
      <c r="D79" s="3" t="s">
        <v>6304</v>
      </c>
      <c r="E79" s="3" t="s">
        <v>6305</v>
      </c>
      <c r="F79" s="3" t="s">
        <v>6306</v>
      </c>
      <c r="G79" s="3" t="s">
        <v>6307</v>
      </c>
      <c r="H79" s="3" t="s">
        <v>6308</v>
      </c>
      <c r="I79" s="3" t="s">
        <v>6309</v>
      </c>
      <c r="J79" s="5" t="str">
        <f>IFERROR(__xludf.DUMMYFUNCTION("GOOGLETRANSLATE(I79,""zh_HANT"",""zh_HANS"")"),"热带草原花纹")</f>
        <v>热带草原花纹</v>
      </c>
    </row>
    <row r="80">
      <c r="A80" s="5" t="str">
        <f t="shared" si="6"/>
        <v>NAME_FORM_SUNPATTERN</v>
      </c>
      <c r="B80" s="3" t="s">
        <v>6310</v>
      </c>
      <c r="C80" s="3" t="s">
        <v>6311</v>
      </c>
      <c r="D80" s="3" t="s">
        <v>6312</v>
      </c>
      <c r="E80" s="3" t="s">
        <v>6313</v>
      </c>
      <c r="F80" s="3" t="s">
        <v>6314</v>
      </c>
      <c r="G80" s="3" t="s">
        <v>6315</v>
      </c>
      <c r="H80" s="3" t="s">
        <v>6316</v>
      </c>
      <c r="I80" s="3" t="s">
        <v>6317</v>
      </c>
      <c r="J80" s="5" t="str">
        <f>IFERROR(__xludf.DUMMYFUNCTION("GOOGLETRANSLATE(I80,""zh_HANT"",""zh_HANS"")"),"太阳花纹")</f>
        <v>太阳花纹</v>
      </c>
    </row>
    <row r="81">
      <c r="A81" s="5" t="str">
        <f t="shared" si="6"/>
        <v>NAME_FORM_TUNDRAPATTERN</v>
      </c>
      <c r="B81" s="3" t="s">
        <v>6318</v>
      </c>
      <c r="C81" s="3" t="s">
        <v>6319</v>
      </c>
      <c r="D81" s="3" t="s">
        <v>6320</v>
      </c>
      <c r="E81" s="3" t="s">
        <v>6321</v>
      </c>
      <c r="F81" s="3" t="s">
        <v>6322</v>
      </c>
      <c r="G81" s="3" t="s">
        <v>6323</v>
      </c>
      <c r="H81" s="3" t="s">
        <v>6324</v>
      </c>
      <c r="I81" s="3" t="s">
        <v>6325</v>
      </c>
      <c r="J81" s="5" t="str">
        <f>IFERROR(__xludf.DUMMYFUNCTION("GOOGLETRANSLATE(I81,""zh_HANT"",""zh_HANS"")"),"雪原花纹")</f>
        <v>雪原花纹</v>
      </c>
    </row>
    <row r="82">
      <c r="A82" s="3" t="s">
        <v>6326</v>
      </c>
      <c r="B82" s="3" t="s">
        <v>6327</v>
      </c>
      <c r="C82" s="3" t="s">
        <v>6328</v>
      </c>
      <c r="D82" s="3" t="s">
        <v>6329</v>
      </c>
      <c r="E82" s="5" t="str">
        <f>CONCATENATE(Items!E111,"-Muster")</f>
        <v>Pokeball-Muster</v>
      </c>
      <c r="F82" s="5" t="str">
        <f>G82</f>
        <v>Motivo Poke Ball</v>
      </c>
      <c r="G82" s="3" t="s">
        <v>6330</v>
      </c>
      <c r="H82" s="3" t="s">
        <v>6331</v>
      </c>
      <c r="I82" s="3" t="s">
        <v>6332</v>
      </c>
      <c r="J82" s="5" t="str">
        <f>IFERROR(__xludf.DUMMYFUNCTION("GOOGLETRANSLATE(I82,""zh_HANT"",""zh_HANS"")"),"球球花纹")</f>
        <v>球球花纹</v>
      </c>
    </row>
    <row r="83">
      <c r="A83" s="5" t="str">
        <f t="shared" ref="A83:A114" si="7">CONCATENATE("NAME_FORM_", SUBSTITUTE(UPPER(B83), " ", ""))</f>
        <v>NAME_FORM_FANCYPATTERN</v>
      </c>
      <c r="B83" s="3" t="s">
        <v>6333</v>
      </c>
      <c r="C83" s="3" t="s">
        <v>6334</v>
      </c>
      <c r="D83" s="3" t="s">
        <v>6335</v>
      </c>
      <c r="E83" s="3" t="s">
        <v>6336</v>
      </c>
      <c r="F83" s="3" t="s">
        <v>6337</v>
      </c>
      <c r="G83" s="3" t="s">
        <v>6338</v>
      </c>
      <c r="H83" s="3" t="s">
        <v>6339</v>
      </c>
      <c r="I83" s="3" t="s">
        <v>6340</v>
      </c>
      <c r="J83" s="5" t="str">
        <f>IFERROR(__xludf.DUMMYFUNCTION("GOOGLETRANSLATE(I83,""zh_HANT"",""zh_HANS"")"),"幻彩花纹")</f>
        <v>幻彩花纹</v>
      </c>
    </row>
    <row r="84">
      <c r="A84" s="5" t="str">
        <f t="shared" si="7"/>
        <v>NAME_FORM_REDFLOWER</v>
      </c>
      <c r="B84" s="3" t="s">
        <v>6341</v>
      </c>
      <c r="C84" s="3" t="s">
        <v>6342</v>
      </c>
      <c r="D84" s="3" t="s">
        <v>6343</v>
      </c>
      <c r="E84" s="3" t="s">
        <v>6344</v>
      </c>
      <c r="F84" s="3" t="s">
        <v>6345</v>
      </c>
      <c r="G84" s="3" t="s">
        <v>6346</v>
      </c>
      <c r="H84" s="3" t="s">
        <v>6347</v>
      </c>
      <c r="I84" s="3" t="s">
        <v>6348</v>
      </c>
      <c r="J84" s="5" t="str">
        <f>IFERROR(__xludf.DUMMYFUNCTION("GOOGLETRANSLATE(I84,""zh_HANT"",""zh_HANS"")"),"红花")</f>
        <v>红花</v>
      </c>
    </row>
    <row r="85">
      <c r="A85" s="5" t="str">
        <f t="shared" si="7"/>
        <v>NAME_FORM_YELLOWFLOWER</v>
      </c>
      <c r="B85" s="3" t="s">
        <v>6349</v>
      </c>
      <c r="C85" s="3" t="s">
        <v>6350</v>
      </c>
      <c r="D85" s="3" t="s">
        <v>6351</v>
      </c>
      <c r="E85" s="3" t="s">
        <v>6352</v>
      </c>
      <c r="F85" s="3" t="s">
        <v>6353</v>
      </c>
      <c r="G85" s="3" t="s">
        <v>6354</v>
      </c>
      <c r="H85" s="3" t="s">
        <v>6355</v>
      </c>
      <c r="I85" s="3" t="s">
        <v>6356</v>
      </c>
      <c r="J85" s="5" t="str">
        <f>IFERROR(__xludf.DUMMYFUNCTION("GOOGLETRANSLATE(I85,""zh_HANT"",""zh_HANS"")"),"黄花")</f>
        <v>黄花</v>
      </c>
    </row>
    <row r="86">
      <c r="A86" s="5" t="str">
        <f t="shared" si="7"/>
        <v>NAME_FORM_ORANGEFLOWER</v>
      </c>
      <c r="B86" s="3" t="s">
        <v>6357</v>
      </c>
      <c r="C86" s="3" t="s">
        <v>6358</v>
      </c>
      <c r="D86" s="3" t="s">
        <v>6359</v>
      </c>
      <c r="E86" s="3" t="s">
        <v>6360</v>
      </c>
      <c r="F86" s="3" t="s">
        <v>6361</v>
      </c>
      <c r="G86" s="3" t="s">
        <v>6362</v>
      </c>
      <c r="H86" s="3" t="s">
        <v>6363</v>
      </c>
      <c r="I86" s="3" t="s">
        <v>6364</v>
      </c>
      <c r="J86" s="5" t="str">
        <f>I86</f>
        <v>橙花</v>
      </c>
    </row>
    <row r="87">
      <c r="A87" s="5" t="str">
        <f t="shared" si="7"/>
        <v>NAME_FORM_BLUEFLOWER</v>
      </c>
      <c r="B87" s="3" t="s">
        <v>6365</v>
      </c>
      <c r="C87" s="3" t="s">
        <v>6366</v>
      </c>
      <c r="D87" s="3" t="s">
        <v>6367</v>
      </c>
      <c r="E87" s="3" t="s">
        <v>6368</v>
      </c>
      <c r="F87" s="3" t="s">
        <v>6369</v>
      </c>
      <c r="G87" s="3" t="s">
        <v>6370</v>
      </c>
      <c r="H87" s="3" t="s">
        <v>6371</v>
      </c>
      <c r="I87" s="3" t="s">
        <v>6372</v>
      </c>
      <c r="J87" s="5" t="str">
        <f>IFERROR(__xludf.DUMMYFUNCTION("GOOGLETRANSLATE(I87,""zh_HANT"",""zh_HANS"")"),"蓝花")</f>
        <v>蓝花</v>
      </c>
    </row>
    <row r="88">
      <c r="A88" s="5" t="str">
        <f t="shared" si="7"/>
        <v>NAME_FORM_WHITEFLOWER</v>
      </c>
      <c r="B88" s="3" t="s">
        <v>6373</v>
      </c>
      <c r="C88" s="3" t="s">
        <v>6374</v>
      </c>
      <c r="D88" s="3" t="s">
        <v>6375</v>
      </c>
      <c r="E88" s="3" t="s">
        <v>6376</v>
      </c>
      <c r="F88" s="3" t="s">
        <v>6377</v>
      </c>
      <c r="G88" s="3" t="s">
        <v>6378</v>
      </c>
      <c r="H88" s="3" t="s">
        <v>6379</v>
      </c>
      <c r="I88" s="3" t="s">
        <v>6380</v>
      </c>
      <c r="J88" s="5" t="str">
        <f>I88</f>
        <v>白花</v>
      </c>
    </row>
    <row r="89">
      <c r="A89" s="5" t="str">
        <f t="shared" si="7"/>
        <v>NAME_FORM_ETERNALFLOWER</v>
      </c>
      <c r="B89" s="3" t="s">
        <v>6381</v>
      </c>
      <c r="C89" s="3" t="s">
        <v>6382</v>
      </c>
      <c r="D89" s="3" t="s">
        <v>6383</v>
      </c>
      <c r="E89" s="3" t="s">
        <v>6384</v>
      </c>
      <c r="F89" s="3" t="s">
        <v>6385</v>
      </c>
      <c r="G89" s="3" t="s">
        <v>6386</v>
      </c>
      <c r="H89" s="7" t="s">
        <v>6387</v>
      </c>
      <c r="I89" s="3" t="s">
        <v>6388</v>
      </c>
      <c r="J89" s="5" t="str">
        <f>IFERROR(__xludf.DUMMYFUNCTION("GOOGLETRANSLATE(I89,""zh_HANT"",""zh_HANS"")"),"永恒之花")</f>
        <v>永恒之花</v>
      </c>
    </row>
    <row r="90">
      <c r="A90" s="5" t="str">
        <f t="shared" si="7"/>
        <v>NAME_FORM_NATURALFORM</v>
      </c>
      <c r="B90" s="3" t="s">
        <v>6389</v>
      </c>
      <c r="C90" s="3" t="s">
        <v>6390</v>
      </c>
      <c r="D90" s="3" t="s">
        <v>6391</v>
      </c>
      <c r="E90" s="3" t="s">
        <v>6392</v>
      </c>
      <c r="F90" s="3" t="s">
        <v>6393</v>
      </c>
      <c r="G90" s="3" t="s">
        <v>6394</v>
      </c>
      <c r="H90" s="3" t="s">
        <v>6395</v>
      </c>
      <c r="I90" s="3" t="s">
        <v>6396</v>
      </c>
      <c r="J90" s="5" t="str">
        <f>IFERROR(__xludf.DUMMYFUNCTION("GOOGLETRANSLATE(I90,""zh_HANT"",""zh_HANS"")"),"野生的样子")</f>
        <v>野生的样子</v>
      </c>
    </row>
    <row r="91">
      <c r="A91" s="5" t="str">
        <f t="shared" si="7"/>
        <v>NAME_FORM_HEARTTRIM</v>
      </c>
      <c r="B91" s="3" t="s">
        <v>6397</v>
      </c>
      <c r="C91" s="3" t="s">
        <v>6398</v>
      </c>
      <c r="D91" s="3" t="s">
        <v>6399</v>
      </c>
      <c r="E91" s="3" t="s">
        <v>6400</v>
      </c>
      <c r="F91" s="3" t="s">
        <v>6401</v>
      </c>
      <c r="G91" s="3" t="s">
        <v>6402</v>
      </c>
      <c r="H91" s="3" t="s">
        <v>6403</v>
      </c>
      <c r="I91" s="3" t="s">
        <v>6404</v>
      </c>
      <c r="J91" s="5" t="str">
        <f t="shared" ref="J91:J94" si="8">I91</f>
        <v>心形造型</v>
      </c>
    </row>
    <row r="92">
      <c r="A92" s="5" t="str">
        <f t="shared" si="7"/>
        <v>NAME_FORM_STARTRIM</v>
      </c>
      <c r="B92" s="3" t="s">
        <v>6405</v>
      </c>
      <c r="C92" s="3" t="s">
        <v>6406</v>
      </c>
      <c r="D92" s="3" t="s">
        <v>6399</v>
      </c>
      <c r="E92" s="3" t="s">
        <v>6407</v>
      </c>
      <c r="F92" s="3" t="s">
        <v>6408</v>
      </c>
      <c r="G92" s="3" t="s">
        <v>6409</v>
      </c>
      <c r="H92" s="3" t="s">
        <v>6410</v>
      </c>
      <c r="I92" s="3" t="s">
        <v>6411</v>
      </c>
      <c r="J92" s="5" t="str">
        <f t="shared" si="8"/>
        <v>星形造型</v>
      </c>
    </row>
    <row r="93">
      <c r="A93" s="5" t="str">
        <f t="shared" si="7"/>
        <v>NAME_FORM_DIAMONDTRIM</v>
      </c>
      <c r="B93" s="3" t="s">
        <v>6412</v>
      </c>
      <c r="C93" s="3" t="s">
        <v>6413</v>
      </c>
      <c r="D93" s="3" t="s">
        <v>6414</v>
      </c>
      <c r="E93" s="3" t="s">
        <v>6415</v>
      </c>
      <c r="F93" s="3" t="s">
        <v>6416</v>
      </c>
      <c r="G93" s="3" t="s">
        <v>6417</v>
      </c>
      <c r="H93" s="3" t="s">
        <v>6418</v>
      </c>
      <c r="I93" s="3" t="s">
        <v>6419</v>
      </c>
      <c r="J93" s="5" t="str">
        <f t="shared" si="8"/>
        <v>菱形造型</v>
      </c>
    </row>
    <row r="94">
      <c r="A94" s="5" t="str">
        <f t="shared" si="7"/>
        <v>NAME_FORM_DEBUTANTETRIM</v>
      </c>
      <c r="B94" s="3" t="s">
        <v>6420</v>
      </c>
      <c r="C94" s="3" t="s">
        <v>6421</v>
      </c>
      <c r="D94" s="3" t="s">
        <v>6422</v>
      </c>
      <c r="E94" s="3" t="s">
        <v>6423</v>
      </c>
      <c r="F94" s="3" t="s">
        <v>6424</v>
      </c>
      <c r="G94" s="3" t="s">
        <v>6425</v>
      </c>
      <c r="H94" s="3" t="s">
        <v>6426</v>
      </c>
      <c r="I94" s="3" t="s">
        <v>6427</v>
      </c>
      <c r="J94" s="5" t="str">
        <f t="shared" si="8"/>
        <v>淑女造型</v>
      </c>
    </row>
    <row r="95">
      <c r="A95" s="5" t="str">
        <f t="shared" si="7"/>
        <v>NAME_FORM_MATRONTRIM</v>
      </c>
      <c r="B95" s="3" t="s">
        <v>6428</v>
      </c>
      <c r="C95" s="3" t="s">
        <v>6429</v>
      </c>
      <c r="D95" s="3" t="s">
        <v>6430</v>
      </c>
      <c r="E95" s="3" t="s">
        <v>6431</v>
      </c>
      <c r="F95" s="3" t="s">
        <v>6432</v>
      </c>
      <c r="G95" s="3" t="s">
        <v>6433</v>
      </c>
      <c r="H95" s="3" t="s">
        <v>6434</v>
      </c>
      <c r="I95" s="3" t="s">
        <v>6435</v>
      </c>
      <c r="J95" s="5" t="str">
        <f>IFERROR(__xludf.DUMMYFUNCTION("GOOGLETRANSLATE(I95,""zh_HANT"",""zh_HANS"")"),"贵妇造型")</f>
        <v>贵妇造型</v>
      </c>
    </row>
    <row r="96">
      <c r="A96" s="5" t="str">
        <f t="shared" si="7"/>
        <v>NAME_FORM_DANDYTRIM</v>
      </c>
      <c r="B96" s="3" t="s">
        <v>6436</v>
      </c>
      <c r="C96" s="3" t="s">
        <v>6437</v>
      </c>
      <c r="D96" s="3" t="s">
        <v>6438</v>
      </c>
      <c r="E96" s="3" t="s">
        <v>6439</v>
      </c>
      <c r="F96" s="3" t="s">
        <v>6440</v>
      </c>
      <c r="G96" s="3" t="s">
        <v>6441</v>
      </c>
      <c r="H96" s="3" t="s">
        <v>6442</v>
      </c>
      <c r="I96" s="3" t="s">
        <v>6443</v>
      </c>
      <c r="J96" s="5" t="str">
        <f>IFERROR(__xludf.DUMMYFUNCTION("GOOGLETRANSLATE(I96,""zh_HANT"",""zh_HANS"")"),"绅士造型")</f>
        <v>绅士造型</v>
      </c>
    </row>
    <row r="97">
      <c r="A97" s="5" t="str">
        <f t="shared" si="7"/>
        <v>NAME_FORM_LAREINETRIM</v>
      </c>
      <c r="B97" s="3" t="s">
        <v>6444</v>
      </c>
      <c r="C97" s="3" t="s">
        <v>6445</v>
      </c>
      <c r="D97" s="3" t="s">
        <v>6446</v>
      </c>
      <c r="E97" s="3" t="s">
        <v>6447</v>
      </c>
      <c r="F97" s="3" t="s">
        <v>6448</v>
      </c>
      <c r="G97" s="3" t="s">
        <v>6449</v>
      </c>
      <c r="H97" s="3" t="s">
        <v>6450</v>
      </c>
      <c r="I97" s="3" t="s">
        <v>6451</v>
      </c>
      <c r="J97" s="5" t="str">
        <f t="shared" ref="J97:J98" si="9">I97</f>
        <v>女王造型</v>
      </c>
    </row>
    <row r="98">
      <c r="A98" s="5" t="str">
        <f t="shared" si="7"/>
        <v>NAME_FORM_KABUKITRIM</v>
      </c>
      <c r="B98" s="3" t="s">
        <v>6452</v>
      </c>
      <c r="C98" s="3" t="s">
        <v>6453</v>
      </c>
      <c r="D98" s="3" t="s">
        <v>6454</v>
      </c>
      <c r="E98" s="3" t="s">
        <v>6455</v>
      </c>
      <c r="F98" s="3" t="s">
        <v>6456</v>
      </c>
      <c r="G98" s="3" t="s">
        <v>6457</v>
      </c>
      <c r="H98" s="3" t="s">
        <v>6458</v>
      </c>
      <c r="I98" s="3" t="s">
        <v>6459</v>
      </c>
      <c r="J98" s="5" t="str">
        <f t="shared" si="9"/>
        <v>歌舞伎造型</v>
      </c>
    </row>
    <row r="99">
      <c r="A99" s="5" t="str">
        <f t="shared" si="7"/>
        <v>NAME_FORM_PHARAOHTRIM</v>
      </c>
      <c r="B99" s="3" t="s">
        <v>6460</v>
      </c>
      <c r="C99" s="3" t="s">
        <v>6461</v>
      </c>
      <c r="D99" s="3" t="s">
        <v>6462</v>
      </c>
      <c r="E99" s="3" t="s">
        <v>6463</v>
      </c>
      <c r="F99" s="3" t="s">
        <v>6464</v>
      </c>
      <c r="G99" s="3" t="s">
        <v>6465</v>
      </c>
      <c r="H99" s="3" t="s">
        <v>6466</v>
      </c>
      <c r="I99" s="3" t="s">
        <v>6467</v>
      </c>
      <c r="J99" s="5" t="str">
        <f>IFERROR(__xludf.DUMMYFUNCTION("GOOGLETRANSLATE(I99,""zh_HANT"",""zh_HANS"")"),"国王造型")</f>
        <v>国王造型</v>
      </c>
    </row>
    <row r="100">
      <c r="A100" s="5" t="str">
        <f t="shared" si="7"/>
        <v>NAME_FORM_SHIELDFORME</v>
      </c>
      <c r="B100" s="3" t="s">
        <v>6468</v>
      </c>
      <c r="C100" s="3" t="s">
        <v>6469</v>
      </c>
      <c r="D100" s="3" t="s">
        <v>6470</v>
      </c>
      <c r="E100" s="3" t="s">
        <v>6471</v>
      </c>
      <c r="F100" s="3" t="s">
        <v>6472</v>
      </c>
      <c r="G100" s="3" t="s">
        <v>6473</v>
      </c>
      <c r="H100" s="3" t="s">
        <v>6474</v>
      </c>
      <c r="I100" s="3" t="s">
        <v>6475</v>
      </c>
      <c r="J100" s="5" t="str">
        <f>IFERROR(__xludf.DUMMYFUNCTION("GOOGLETRANSLATE(I100,""zh_HANT"",""zh_HANS"")"),"盾牌形态")</f>
        <v>盾牌形态</v>
      </c>
    </row>
    <row r="101">
      <c r="A101" s="5" t="str">
        <f t="shared" si="7"/>
        <v>NAME_FORM_BLADEFORME</v>
      </c>
      <c r="B101" s="3" t="s">
        <v>6476</v>
      </c>
      <c r="C101" s="3" t="s">
        <v>6477</v>
      </c>
      <c r="D101" s="3" t="s">
        <v>6478</v>
      </c>
      <c r="E101" s="3" t="s">
        <v>6479</v>
      </c>
      <c r="F101" s="3" t="s">
        <v>6480</v>
      </c>
      <c r="G101" s="3" t="s">
        <v>6481</v>
      </c>
      <c r="H101" s="3" t="s">
        <v>6482</v>
      </c>
      <c r="I101" s="3" t="s">
        <v>6483</v>
      </c>
      <c r="J101" s="5" t="str">
        <f>IFERROR(__xludf.DUMMYFUNCTION("GOOGLETRANSLATE(I101,""zh_HANT"",""zh_HANS"")"),"刀剑形态")</f>
        <v>刀剑形态</v>
      </c>
    </row>
    <row r="102">
      <c r="A102" s="5" t="str">
        <f t="shared" si="7"/>
        <v>NAME_FORM_SMALLSIZE</v>
      </c>
      <c r="B102" s="3" t="s">
        <v>6484</v>
      </c>
      <c r="C102" s="3" t="s">
        <v>6485</v>
      </c>
      <c r="D102" s="3" t="s">
        <v>6486</v>
      </c>
      <c r="E102" s="3" t="s">
        <v>6487</v>
      </c>
      <c r="F102" s="3" t="s">
        <v>6488</v>
      </c>
      <c r="G102" s="3" t="s">
        <v>6489</v>
      </c>
      <c r="H102" s="3" t="s">
        <v>6490</v>
      </c>
      <c r="I102" s="3" t="s">
        <v>6491</v>
      </c>
      <c r="J102" s="5" t="str">
        <f t="shared" ref="J102:J105" si="10">I102</f>
        <v>小尺寸</v>
      </c>
    </row>
    <row r="103">
      <c r="A103" s="5" t="str">
        <f t="shared" si="7"/>
        <v>NAME_FORM_AVERAGESIZE</v>
      </c>
      <c r="B103" s="3" t="s">
        <v>6492</v>
      </c>
      <c r="C103" s="3" t="s">
        <v>6493</v>
      </c>
      <c r="D103" s="3" t="s">
        <v>6494</v>
      </c>
      <c r="E103" s="3" t="s">
        <v>6495</v>
      </c>
      <c r="F103" s="3" t="s">
        <v>6496</v>
      </c>
      <c r="G103" s="3" t="s">
        <v>6497</v>
      </c>
      <c r="H103" s="3" t="s">
        <v>6498</v>
      </c>
      <c r="I103" s="3" t="s">
        <v>6499</v>
      </c>
      <c r="J103" s="5" t="str">
        <f t="shared" si="10"/>
        <v>普通尺寸</v>
      </c>
    </row>
    <row r="104">
      <c r="A104" s="5" t="str">
        <f t="shared" si="7"/>
        <v>NAME_FORM_LARGESIZE</v>
      </c>
      <c r="B104" s="3" t="s">
        <v>6500</v>
      </c>
      <c r="C104" s="3" t="s">
        <v>6501</v>
      </c>
      <c r="D104" s="3" t="s">
        <v>6502</v>
      </c>
      <c r="E104" s="3" t="s">
        <v>6503</v>
      </c>
      <c r="F104" s="3" t="s">
        <v>6504</v>
      </c>
      <c r="G104" s="3" t="s">
        <v>6505</v>
      </c>
      <c r="H104" s="3" t="s">
        <v>6506</v>
      </c>
      <c r="I104" s="3" t="s">
        <v>6507</v>
      </c>
      <c r="J104" s="5" t="str">
        <f t="shared" si="10"/>
        <v>大尺寸</v>
      </c>
    </row>
    <row r="105">
      <c r="A105" s="5" t="str">
        <f t="shared" si="7"/>
        <v>NAME_FORM_SUPERSIZE</v>
      </c>
      <c r="B105" s="3" t="s">
        <v>6508</v>
      </c>
      <c r="C105" s="3" t="s">
        <v>6509</v>
      </c>
      <c r="D105" s="3" t="s">
        <v>6510</v>
      </c>
      <c r="E105" s="3" t="s">
        <v>6511</v>
      </c>
      <c r="F105" s="3" t="s">
        <v>6512</v>
      </c>
      <c r="G105" s="3" t="s">
        <v>6513</v>
      </c>
      <c r="H105" s="3" t="s">
        <v>6514</v>
      </c>
      <c r="I105" s="3" t="s">
        <v>6515</v>
      </c>
      <c r="J105" s="5" t="str">
        <f t="shared" si="10"/>
        <v>特大尺寸</v>
      </c>
    </row>
    <row r="106">
      <c r="A106" s="5" t="str">
        <f t="shared" si="7"/>
        <v>NAME_FORM_NEUTRALMODE</v>
      </c>
      <c r="B106" s="3" t="s">
        <v>6516</v>
      </c>
      <c r="C106" s="3" t="s">
        <v>6517</v>
      </c>
      <c r="D106" s="3" t="s">
        <v>6518</v>
      </c>
      <c r="E106" s="3" t="s">
        <v>6519</v>
      </c>
      <c r="F106" s="3" t="s">
        <v>6520</v>
      </c>
      <c r="G106" s="3" t="s">
        <v>6521</v>
      </c>
      <c r="H106" s="3" t="s">
        <v>6522</v>
      </c>
      <c r="I106" s="3" t="s">
        <v>6523</v>
      </c>
      <c r="J106" s="5" t="str">
        <f>IFERROR(__xludf.DUMMYFUNCTION("GOOGLETRANSLATE(I106,""zh_HANT"",""zh_HANS"")"),"放松模式")</f>
        <v>放松模式</v>
      </c>
    </row>
    <row r="107">
      <c r="A107" s="5" t="str">
        <f t="shared" si="7"/>
        <v>NAME_FORM_ACTIVEMODE</v>
      </c>
      <c r="B107" s="3" t="s">
        <v>6524</v>
      </c>
      <c r="C107" s="3" t="s">
        <v>6525</v>
      </c>
      <c r="D107" s="3" t="s">
        <v>6526</v>
      </c>
      <c r="E107" s="3" t="s">
        <v>6527</v>
      </c>
      <c r="F107" s="3" t="s">
        <v>6528</v>
      </c>
      <c r="G107" s="3" t="s">
        <v>6529</v>
      </c>
      <c r="H107" s="3" t="s">
        <v>6530</v>
      </c>
      <c r="I107" s="3" t="s">
        <v>6531</v>
      </c>
      <c r="J107" s="5" t="str">
        <f>IFERROR(__xludf.DUMMYFUNCTION("GOOGLETRANSLATE(I107,""zh_HANT"",""zh_HANS"")"),"活跃模式")</f>
        <v>活跃模式</v>
      </c>
    </row>
    <row r="108">
      <c r="A108" s="5" t="str">
        <f t="shared" si="7"/>
        <v>NAME_FORM_10%FORME</v>
      </c>
      <c r="B108" s="3" t="s">
        <v>6532</v>
      </c>
      <c r="C108" s="3" t="s">
        <v>6533</v>
      </c>
      <c r="D108" s="3" t="s">
        <v>6534</v>
      </c>
      <c r="E108" s="3" t="s">
        <v>6535</v>
      </c>
      <c r="F108" s="3" t="s">
        <v>6536</v>
      </c>
      <c r="G108" s="3" t="s">
        <v>6537</v>
      </c>
      <c r="H108" s="3" t="s">
        <v>6538</v>
      </c>
      <c r="I108" s="3" t="s">
        <v>6539</v>
      </c>
      <c r="J108" s="5" t="str">
        <f>IFERROR(__xludf.DUMMYFUNCTION("GOOGLETRANSLATE(I108,""zh_HANT"",""zh_HANS"")"),"１０％形态")</f>
        <v>１０％形态</v>
      </c>
    </row>
    <row r="109">
      <c r="A109" s="5" t="str">
        <f t="shared" si="7"/>
        <v>NAME_FORM_50%FORME</v>
      </c>
      <c r="B109" s="3" t="s">
        <v>6540</v>
      </c>
      <c r="C109" s="3" t="s">
        <v>6541</v>
      </c>
      <c r="D109" s="3" t="s">
        <v>6542</v>
      </c>
      <c r="E109" s="3" t="s">
        <v>6543</v>
      </c>
      <c r="F109" s="3" t="s">
        <v>6544</v>
      </c>
      <c r="G109" s="3" t="s">
        <v>6545</v>
      </c>
      <c r="H109" s="3" t="s">
        <v>6546</v>
      </c>
      <c r="I109" s="3" t="s">
        <v>6547</v>
      </c>
      <c r="J109" s="5" t="str">
        <f>IFERROR(__xludf.DUMMYFUNCTION("GOOGLETRANSLATE(I109,""zh_HANT"",""zh_HANS"")"),"５０％形态")</f>
        <v>５０％形态</v>
      </c>
    </row>
    <row r="110">
      <c r="A110" s="5" t="str">
        <f t="shared" si="7"/>
        <v>NAME_FORM_COMPLETEFORME</v>
      </c>
      <c r="B110" s="3" t="s">
        <v>6548</v>
      </c>
      <c r="C110" s="3" t="s">
        <v>6549</v>
      </c>
      <c r="D110" s="3" t="s">
        <v>6550</v>
      </c>
      <c r="E110" s="3" t="s">
        <v>6551</v>
      </c>
      <c r="F110" s="3" t="s">
        <v>6552</v>
      </c>
      <c r="G110" s="11" t="s">
        <v>6553</v>
      </c>
      <c r="H110" s="3" t="s">
        <v>6554</v>
      </c>
      <c r="I110" s="3" t="s">
        <v>6555</v>
      </c>
      <c r="J110" s="5" t="str">
        <f>IFERROR(__xludf.DUMMYFUNCTION("GOOGLETRANSLATE(I110,""zh_HANT"",""zh_HANS"")"),"完全体形态")</f>
        <v>完全体形态</v>
      </c>
    </row>
    <row r="111">
      <c r="A111" s="5" t="str">
        <f t="shared" si="7"/>
        <v>NAME_FORM_HOOPACONFINED</v>
      </c>
      <c r="B111" s="3" t="s">
        <v>6556</v>
      </c>
      <c r="C111" s="5" t="str">
        <f>CONCATENATE("いましめられし",Pokemon!C721)</f>
        <v>いましめられしフーパ</v>
      </c>
      <c r="D111" s="3" t="s">
        <v>6557</v>
      </c>
      <c r="E111" s="3" t="s">
        <v>6558</v>
      </c>
      <c r="F111" s="3" t="s">
        <v>6559</v>
      </c>
      <c r="G111" s="3" t="s">
        <v>6560</v>
      </c>
      <c r="H111" s="3" t="s">
        <v>6561</v>
      </c>
      <c r="I111" s="3" t="s">
        <v>6562</v>
      </c>
      <c r="J111" s="5" t="str">
        <f>IFERROR(__xludf.DUMMYFUNCTION("GOOGLETRANSLATE(I111,""zh_HANT"",""zh_HANS"")"),"惩戒胡帕")</f>
        <v>惩戒胡帕</v>
      </c>
    </row>
    <row r="112">
      <c r="A112" s="5" t="str">
        <f t="shared" si="7"/>
        <v>NAME_FORM_HOOPAUNBOUND</v>
      </c>
      <c r="B112" s="3" t="s">
        <v>6563</v>
      </c>
      <c r="C112" s="5" t="str">
        <f>CONCATENATE("ときはなたれし",Pokemon!C721)</f>
        <v>ときはなたれしフーパ</v>
      </c>
      <c r="D112" s="3" t="s">
        <v>6564</v>
      </c>
      <c r="E112" s="3" t="s">
        <v>6565</v>
      </c>
      <c r="F112" s="3" t="s">
        <v>6566</v>
      </c>
      <c r="G112" s="3" t="s">
        <v>6567</v>
      </c>
      <c r="H112" s="3" t="s">
        <v>6568</v>
      </c>
      <c r="I112" s="3" t="s">
        <v>6569</v>
      </c>
      <c r="J112" s="5" t="str">
        <f>I112</f>
        <v>解放胡帕</v>
      </c>
    </row>
    <row r="113">
      <c r="A113" s="5" t="str">
        <f t="shared" si="7"/>
        <v>NAME_FORM_ALOLANFORM</v>
      </c>
      <c r="B113" s="3" t="s">
        <v>6570</v>
      </c>
      <c r="C113" s="3" t="s">
        <v>6571</v>
      </c>
      <c r="D113" s="3" t="s">
        <v>6572</v>
      </c>
      <c r="E113" s="3" t="s">
        <v>6573</v>
      </c>
      <c r="F113" s="3" t="s">
        <v>6574</v>
      </c>
      <c r="G113" s="3" t="s">
        <v>6575</v>
      </c>
      <c r="H113" s="3" t="s">
        <v>6576</v>
      </c>
      <c r="I113" s="3" t="s">
        <v>6577</v>
      </c>
      <c r="J113" s="5" t="str">
        <f>IFERROR(__xludf.DUMMYFUNCTION("GOOGLETRANSLATE(I113,""zh_HANT"",""zh_HANS"")"),"阿罗拉的样子")</f>
        <v>阿罗拉的样子</v>
      </c>
    </row>
    <row r="114">
      <c r="A114" s="5" t="str">
        <f t="shared" si="7"/>
        <v>NAME_FORM_BAILESTYLE</v>
      </c>
      <c r="B114" s="3" t="s">
        <v>6578</v>
      </c>
      <c r="C114" s="3" t="s">
        <v>6579</v>
      </c>
      <c r="D114" s="3" t="s">
        <v>6580</v>
      </c>
      <c r="E114" s="3" t="s">
        <v>6581</v>
      </c>
      <c r="F114" s="3" t="s">
        <v>6582</v>
      </c>
      <c r="G114" s="3" t="s">
        <v>6583</v>
      </c>
      <c r="H114" s="3" t="s">
        <v>6584</v>
      </c>
      <c r="I114" s="3" t="s">
        <v>6585</v>
      </c>
      <c r="J114" s="5" t="str">
        <f>IFERROR(__xludf.DUMMYFUNCTION("GOOGLETRANSLATE(I114,""zh_HANT"",""zh_HANS"")"),"热辣热辣风格")</f>
        <v>热辣热辣风格</v>
      </c>
    </row>
    <row r="115">
      <c r="A115" s="3" t="s">
        <v>6586</v>
      </c>
      <c r="B115" s="3" t="s">
        <v>6587</v>
      </c>
      <c r="C115" s="3" t="s">
        <v>6588</v>
      </c>
      <c r="D115" s="3" t="s">
        <v>6589</v>
      </c>
      <c r="E115" s="3" t="s">
        <v>6590</v>
      </c>
      <c r="F115" s="3" t="s">
        <v>6591</v>
      </c>
      <c r="G115" s="3" t="s">
        <v>6592</v>
      </c>
      <c r="H115" s="3" t="s">
        <v>6593</v>
      </c>
      <c r="I115" s="3" t="s">
        <v>6594</v>
      </c>
      <c r="J115" s="5" t="str">
        <f>IFERROR(__xludf.DUMMYFUNCTION("GOOGLETRANSLATE(I115,""zh_HANT"",""zh_HANS"")"),"啪滋啪滋风格")</f>
        <v>啪滋啪滋风格</v>
      </c>
    </row>
    <row r="116">
      <c r="A116" s="3" t="s">
        <v>6595</v>
      </c>
      <c r="B116" s="3" t="s">
        <v>6596</v>
      </c>
      <c r="C116" s="3" t="s">
        <v>6597</v>
      </c>
      <c r="D116" s="3" t="s">
        <v>6598</v>
      </c>
      <c r="E116" s="3" t="s">
        <v>6599</v>
      </c>
      <c r="F116" s="3" t="s">
        <v>6600</v>
      </c>
      <c r="G116" s="3" t="s">
        <v>6601</v>
      </c>
      <c r="H116" s="3" t="s">
        <v>6602</v>
      </c>
      <c r="I116" s="3" t="s">
        <v>6603</v>
      </c>
      <c r="J116" s="5" t="str">
        <f>IFERROR(__xludf.DUMMYFUNCTION("GOOGLETRANSLATE(I116,""zh_HANT"",""zh_HANS"")"),"呼拉呼拉风格")</f>
        <v>呼拉呼拉风格</v>
      </c>
    </row>
    <row r="117">
      <c r="A117" s="5" t="str">
        <f t="shared" ref="A117:A218" si="11">CONCATENATE("NAME_FORM_", SUBSTITUTE(UPPER(B117), " ", ""))</f>
        <v>NAME_FORM_SENSUSTYLE</v>
      </c>
      <c r="B117" s="3" t="s">
        <v>6604</v>
      </c>
      <c r="C117" s="3" t="s">
        <v>6605</v>
      </c>
      <c r="D117" s="3" t="s">
        <v>6606</v>
      </c>
      <c r="E117" s="3" t="s">
        <v>6607</v>
      </c>
      <c r="F117" s="3" t="s">
        <v>6608</v>
      </c>
      <c r="G117" s="3" t="s">
        <v>6609</v>
      </c>
      <c r="H117" s="3" t="s">
        <v>6610</v>
      </c>
      <c r="I117" s="3" t="s">
        <v>6611</v>
      </c>
      <c r="J117" s="5" t="str">
        <f>IFERROR(__xludf.DUMMYFUNCTION("GOOGLETRANSLATE(I117,""zh_HANT"",""zh_HANS"")"),"轻盈轻盈风格")</f>
        <v>轻盈轻盈风格</v>
      </c>
    </row>
    <row r="118">
      <c r="A118" s="5" t="str">
        <f t="shared" si="11"/>
        <v>NAME_FORM_MIDDAYFORM</v>
      </c>
      <c r="B118" s="3" t="s">
        <v>6612</v>
      </c>
      <c r="C118" s="3" t="s">
        <v>6613</v>
      </c>
      <c r="D118" s="3" t="s">
        <v>6614</v>
      </c>
      <c r="E118" s="3" t="s">
        <v>6615</v>
      </c>
      <c r="F118" s="3" t="s">
        <v>6616</v>
      </c>
      <c r="G118" s="3" t="s">
        <v>6617</v>
      </c>
      <c r="H118" s="3" t="s">
        <v>6618</v>
      </c>
      <c r="I118" s="3" t="s">
        <v>6619</v>
      </c>
      <c r="J118" s="5" t="str">
        <f>IFERROR(__xludf.DUMMYFUNCTION("GOOGLETRANSLATE(I118,""zh_HANT"",""zh_HANS"")"),"白昼的样子")</f>
        <v>白昼的样子</v>
      </c>
    </row>
    <row r="119">
      <c r="A119" s="5" t="str">
        <f t="shared" si="11"/>
        <v>NAME_FORM_MIDNIGHTFORM</v>
      </c>
      <c r="B119" s="3" t="s">
        <v>6620</v>
      </c>
      <c r="C119" s="3" t="s">
        <v>6621</v>
      </c>
      <c r="D119" s="3" t="s">
        <v>6622</v>
      </c>
      <c r="E119" s="3" t="s">
        <v>6623</v>
      </c>
      <c r="F119" s="3" t="s">
        <v>6624</v>
      </c>
      <c r="G119" s="3" t="s">
        <v>6625</v>
      </c>
      <c r="H119" s="3" t="s">
        <v>6626</v>
      </c>
      <c r="I119" s="3" t="s">
        <v>6627</v>
      </c>
      <c r="J119" s="5" t="str">
        <f>IFERROR(__xludf.DUMMYFUNCTION("GOOGLETRANSLATE(I119,""zh_HANT"",""zh_HANS"")"),"黑夜的样子")</f>
        <v>黑夜的样子</v>
      </c>
    </row>
    <row r="120">
      <c r="A120" s="5" t="str">
        <f t="shared" si="11"/>
        <v>NAME_FORM_DUSKFORM</v>
      </c>
      <c r="B120" s="3" t="s">
        <v>6628</v>
      </c>
      <c r="C120" s="3" t="s">
        <v>6629</v>
      </c>
      <c r="D120" s="3" t="s">
        <v>6630</v>
      </c>
      <c r="E120" s="3" t="s">
        <v>6631</v>
      </c>
      <c r="F120" s="3" t="s">
        <v>6632</v>
      </c>
      <c r="G120" s="3" t="s">
        <v>6633</v>
      </c>
      <c r="H120" s="3" t="s">
        <v>6634</v>
      </c>
      <c r="I120" s="3" t="s">
        <v>6635</v>
      </c>
      <c r="J120" s="5" t="str">
        <f>IFERROR(__xludf.DUMMYFUNCTION("GOOGLETRANSLATE(I120,""zh_HANT"",""zh_HANS"")"),"黄昏的样子")</f>
        <v>黄昏的样子</v>
      </c>
    </row>
    <row r="121">
      <c r="A121" s="5" t="str">
        <f t="shared" si="11"/>
        <v>NAME_FORM_SOLOFORM</v>
      </c>
      <c r="B121" s="3" t="s">
        <v>6636</v>
      </c>
      <c r="C121" s="3" t="s">
        <v>6637</v>
      </c>
      <c r="D121" s="3" t="s">
        <v>6638</v>
      </c>
      <c r="E121" s="3" t="s">
        <v>6639</v>
      </c>
      <c r="F121" s="3" t="s">
        <v>6640</v>
      </c>
      <c r="G121" s="3" t="s">
        <v>6641</v>
      </c>
      <c r="H121" s="3" t="s">
        <v>6642</v>
      </c>
      <c r="I121" s="3" t="s">
        <v>6643</v>
      </c>
      <c r="J121" s="5" t="str">
        <f>IFERROR(__xludf.DUMMYFUNCTION("GOOGLETRANSLATE(I121,""zh_HANT"",""zh_HANS"")"),"单独的样子")</f>
        <v>单独的样子</v>
      </c>
    </row>
    <row r="122">
      <c r="A122" s="5" t="str">
        <f t="shared" si="11"/>
        <v>NAME_FORM_SCHOOLFORM</v>
      </c>
      <c r="B122" s="3" t="s">
        <v>6644</v>
      </c>
      <c r="C122" s="3" t="s">
        <v>6645</v>
      </c>
      <c r="D122" s="3" t="s">
        <v>6646</v>
      </c>
      <c r="E122" s="3" t="s">
        <v>6647</v>
      </c>
      <c r="F122" s="5" t="str">
        <f>G122</f>
        <v>Forma Banco</v>
      </c>
      <c r="G122" s="3" t="s">
        <v>6648</v>
      </c>
      <c r="H122" s="3" t="s">
        <v>6649</v>
      </c>
      <c r="I122" s="3" t="s">
        <v>6650</v>
      </c>
      <c r="J122" s="5" t="str">
        <f>IFERROR(__xludf.DUMMYFUNCTION("GOOGLETRANSLATE(I122,""zh_HANT"",""zh_HANS"")"),"鱼群的样子")</f>
        <v>鱼群的样子</v>
      </c>
    </row>
    <row r="123">
      <c r="A123" s="5" t="str">
        <f t="shared" si="11"/>
        <v>NAME_FORM_TYPE:NORMAL</v>
      </c>
      <c r="B123" s="3" t="s">
        <v>6651</v>
      </c>
      <c r="C123" s="5" t="str">
        <f>CONCATENATE("タイプ：", Types!C2)</f>
        <v>タイプ：ノーマル</v>
      </c>
      <c r="D123" s="3" t="s">
        <v>6651</v>
      </c>
      <c r="E123" s="5" t="str">
        <f>CONCATENATE("Typ:",Types!E2)</f>
        <v>Typ:Normal</v>
      </c>
      <c r="F123" s="5" t="str">
        <f>CONCATENATE("Tipo ",Types!F2)</f>
        <v>Tipo Normal</v>
      </c>
      <c r="G123" s="5" t="str">
        <f>CONCATENATE("Tipo ",Types!G2)</f>
        <v>Tipo Normale</v>
      </c>
      <c r="H123" s="5" t="str">
        <f>CONCATENATE("타입：",Types!H2)</f>
        <v>타입：노말</v>
      </c>
      <c r="I123" s="5" t="str">
        <f>IFERROR(__xludf.DUMMYFUNCTION("GOOGLETRANSLATE(J123,""zh_HANS"",""zh_HANT"")"),"屬性：一般")</f>
        <v>屬性：一般</v>
      </c>
      <c r="J123" s="5" t="str">
        <f>CONCATENATE("属性：",Types!J2)</f>
        <v>属性：一般</v>
      </c>
    </row>
    <row r="124">
      <c r="A124" s="5" t="str">
        <f t="shared" si="11"/>
        <v>NAME_FORM_TYPE:FIGHTING</v>
      </c>
      <c r="B124" s="3" t="s">
        <v>6652</v>
      </c>
      <c r="C124" s="5" t="str">
        <f>CONCATENATE("タイプ：", Types!C3)</f>
        <v>タイプ：かくとう</v>
      </c>
      <c r="D124" s="3" t="s">
        <v>6653</v>
      </c>
      <c r="E124" s="5" t="str">
        <f>CONCATENATE("Typ:",Types!E3)</f>
        <v>Typ:Kampf</v>
      </c>
      <c r="F124" s="5" t="str">
        <f>CONCATENATE("Tipo ",Types!F3)</f>
        <v>Tipo Lucha</v>
      </c>
      <c r="G124" s="5" t="str">
        <f>CONCATENATE("Tipo ",Types!G3)</f>
        <v>Tipo Lotta</v>
      </c>
      <c r="H124" s="5" t="str">
        <f>CONCATENATE("타입：",Types!H3)</f>
        <v>타입：격투</v>
      </c>
      <c r="I124" s="5" t="str">
        <f>IFERROR(__xludf.DUMMYFUNCTION("GOOGLETRANSLATE(J124,""zh_HANS"",""zh_HANT"")"),"屬性：格鬥")</f>
        <v>屬性：格鬥</v>
      </c>
      <c r="J124" s="5" t="str">
        <f>CONCATENATE("属性：",Types!J3)</f>
        <v>属性：格斗</v>
      </c>
    </row>
    <row r="125">
      <c r="A125" s="5" t="str">
        <f t="shared" si="11"/>
        <v>NAME_FORM_TYPE:FLYING</v>
      </c>
      <c r="B125" s="3" t="s">
        <v>6654</v>
      </c>
      <c r="C125" s="5" t="str">
        <f>CONCATENATE("タイプ：", Types!C4)</f>
        <v>タイプ：ひこう</v>
      </c>
      <c r="D125" s="3" t="s">
        <v>6655</v>
      </c>
      <c r="E125" s="5" t="str">
        <f>CONCATENATE("Typ:",Types!E4)</f>
        <v>Typ:Flug</v>
      </c>
      <c r="F125" s="5" t="str">
        <f>CONCATENATE("Tipo ",Types!F4)</f>
        <v>Tipo Volador</v>
      </c>
      <c r="G125" s="5" t="str">
        <f>CONCATENATE("Tipo ",Types!G4)</f>
        <v>Tipo Volante</v>
      </c>
      <c r="H125" s="5" t="str">
        <f>CONCATENATE("타입：",Types!H4)</f>
        <v>타입：비행</v>
      </c>
      <c r="I125" s="5" t="str">
        <f>IFERROR(__xludf.DUMMYFUNCTION("GOOGLETRANSLATE(J125,""zh_HANS"",""zh_HANT"")"),"屬性：飛行")</f>
        <v>屬性：飛行</v>
      </c>
      <c r="J125" s="5" t="str">
        <f>CONCATENATE("属性：",Types!J4)</f>
        <v>属性：飞行</v>
      </c>
    </row>
    <row r="126">
      <c r="A126" s="5" t="str">
        <f t="shared" si="11"/>
        <v>NAME_FORM_TYPE:POISON</v>
      </c>
      <c r="B126" s="3" t="s">
        <v>6656</v>
      </c>
      <c r="C126" s="5" t="str">
        <f>CONCATENATE("タイプ：", Types!C5)</f>
        <v>タイプ：どく</v>
      </c>
      <c r="D126" s="3" t="s">
        <v>6656</v>
      </c>
      <c r="E126" s="5" t="str">
        <f>CONCATENATE("Typ:",Types!E5)</f>
        <v>Typ:Gift</v>
      </c>
      <c r="F126" s="5" t="str">
        <f>CONCATENATE("Tipo ",Types!F5)</f>
        <v>Tipo Veneno</v>
      </c>
      <c r="G126" s="5" t="str">
        <f>CONCATENATE("Tipo ",Types!G5)</f>
        <v>Tipo Veleno</v>
      </c>
      <c r="H126" s="5" t="str">
        <f>CONCATENATE("타입：",Types!H5)</f>
        <v>타입：독</v>
      </c>
      <c r="I126" s="5" t="str">
        <f>IFERROR(__xludf.DUMMYFUNCTION("GOOGLETRANSLATE(J126,""zh_HANS"",""zh_HANT"")"),"屬性：毒")</f>
        <v>屬性：毒</v>
      </c>
      <c r="J126" s="5" t="str">
        <f>CONCATENATE("属性：",Types!J5)</f>
        <v>属性：毒</v>
      </c>
    </row>
    <row r="127">
      <c r="A127" s="5" t="str">
        <f t="shared" si="11"/>
        <v>NAME_FORM_TYPE:GROUND</v>
      </c>
      <c r="B127" s="3" t="s">
        <v>6657</v>
      </c>
      <c r="C127" s="5" t="str">
        <f>CONCATENATE("タイプ：", Types!C6)</f>
        <v>タイプ：じめん</v>
      </c>
      <c r="D127" s="3" t="s">
        <v>6658</v>
      </c>
      <c r="E127" s="5" t="str">
        <f>CONCATENATE("Typ:",Types!E6)</f>
        <v>Typ:Boden</v>
      </c>
      <c r="F127" s="5" t="str">
        <f>CONCATENATE("Tipo ",Types!F6)</f>
        <v>Tipo Tierra</v>
      </c>
      <c r="G127" s="5" t="str">
        <f>CONCATENATE("Tipo ",Types!G6)</f>
        <v>Tipo Terra</v>
      </c>
      <c r="H127" s="5" t="str">
        <f>CONCATENATE("타입：",Types!H6)</f>
        <v>타입：땅</v>
      </c>
      <c r="I127" s="5" t="str">
        <f>IFERROR(__xludf.DUMMYFUNCTION("GOOGLETRANSLATE(J127,""zh_HANS"",""zh_HANT"")"),"屬性：地面")</f>
        <v>屬性：地面</v>
      </c>
      <c r="J127" s="5" t="str">
        <f>CONCATENATE("属性：",Types!J6)</f>
        <v>属性：地面</v>
      </c>
    </row>
    <row r="128">
      <c r="A128" s="5" t="str">
        <f t="shared" si="11"/>
        <v>NAME_FORM_TYPE:ROCK</v>
      </c>
      <c r="B128" s="3" t="s">
        <v>6659</v>
      </c>
      <c r="C128" s="5" t="str">
        <f>CONCATENATE("タイプ：", Types!C7)</f>
        <v>タイプ：いわ</v>
      </c>
      <c r="D128" s="3" t="s">
        <v>6660</v>
      </c>
      <c r="E128" s="5" t="str">
        <f>CONCATENATE("Typ:",Types!E7)</f>
        <v>Typ:Gestein</v>
      </c>
      <c r="F128" s="5" t="str">
        <f>CONCATENATE("Tipo ",Types!F7)</f>
        <v>Tipo Roca</v>
      </c>
      <c r="G128" s="5" t="str">
        <f>CONCATENATE("Tipo ",Types!G7)</f>
        <v>Tipo Roccia</v>
      </c>
      <c r="H128" s="5" t="str">
        <f>CONCATENATE("타입：",Types!H7)</f>
        <v>타입：바위</v>
      </c>
      <c r="I128" s="5" t="str">
        <f>IFERROR(__xludf.DUMMYFUNCTION("GOOGLETRANSLATE(J128,""zh_HANS"",""zh_HANT"")"),"屬性：岩石")</f>
        <v>屬性：岩石</v>
      </c>
      <c r="J128" s="5" t="str">
        <f>CONCATENATE("属性：",Types!J7)</f>
        <v>属性：岩石</v>
      </c>
    </row>
    <row r="129">
      <c r="A129" s="5" t="str">
        <f t="shared" si="11"/>
        <v>NAME_FORM_TYPE:BUG</v>
      </c>
      <c r="B129" s="3" t="s">
        <v>6661</v>
      </c>
      <c r="C129" s="5" t="str">
        <f>CONCATENATE("タイプ：", Types!C8)</f>
        <v>タイプ：むし</v>
      </c>
      <c r="D129" s="3" t="s">
        <v>6662</v>
      </c>
      <c r="E129" s="5" t="str">
        <f>CONCATENATE("Typ:",Types!E8)</f>
        <v>Typ:Käfer</v>
      </c>
      <c r="F129" s="5" t="str">
        <f>CONCATENATE("Tipo ",Types!F8)</f>
        <v>Tipo Bicho</v>
      </c>
      <c r="G129" s="5" t="str">
        <f>CONCATENATE("Tipo ",Types!G8)</f>
        <v>Tipo Coleottero</v>
      </c>
      <c r="H129" s="5" t="str">
        <f>CONCATENATE("타입：",Types!H8)</f>
        <v>타입：벌레</v>
      </c>
      <c r="I129" s="5" t="str">
        <f>IFERROR(__xludf.DUMMYFUNCTION("GOOGLETRANSLATE(J129,""zh_HANS"",""zh_HANT"")"),"屬性：蟲")</f>
        <v>屬性：蟲</v>
      </c>
      <c r="J129" s="5" t="str">
        <f>CONCATENATE("属性：",Types!J8)</f>
        <v>属性：虫</v>
      </c>
    </row>
    <row r="130">
      <c r="A130" s="5" t="str">
        <f t="shared" si="11"/>
        <v>NAME_FORM_TYPE:GHOST</v>
      </c>
      <c r="B130" s="3" t="s">
        <v>6663</v>
      </c>
      <c r="C130" s="5" t="str">
        <f>CONCATENATE("タイプ：", Types!C9)</f>
        <v>タイプ：ゴースト</v>
      </c>
      <c r="D130" s="3" t="s">
        <v>6664</v>
      </c>
      <c r="E130" s="5" t="str">
        <f>CONCATENATE("Typ:",Types!E9)</f>
        <v>Typ:Geist</v>
      </c>
      <c r="F130" s="5" t="str">
        <f>CONCATENATE("Tipo ",Types!F9)</f>
        <v>Tipo Fantasma</v>
      </c>
      <c r="G130" s="5" t="str">
        <f>CONCATENATE("Tipo ",Types!G9)</f>
        <v>Tipo Spettro</v>
      </c>
      <c r="H130" s="5" t="str">
        <f>CONCATENATE("타입：",Types!H9)</f>
        <v>타입：고스트</v>
      </c>
      <c r="I130" s="5" t="str">
        <f>IFERROR(__xludf.DUMMYFUNCTION("GOOGLETRANSLATE(J130,""zh_HANS"",""zh_HANT"")"),"屬性：幽靈")</f>
        <v>屬性：幽靈</v>
      </c>
      <c r="J130" s="5" t="str">
        <f>CONCATENATE("属性：",Types!J9)</f>
        <v>属性：幽灵</v>
      </c>
    </row>
    <row r="131">
      <c r="A131" s="5" t="str">
        <f t="shared" si="11"/>
        <v>NAME_FORM_TYPE:STEEL</v>
      </c>
      <c r="B131" s="3" t="s">
        <v>6665</v>
      </c>
      <c r="C131" s="5" t="str">
        <f>CONCATENATE("タイプ：", Types!C10)</f>
        <v>タイプ：はがね</v>
      </c>
      <c r="D131" s="3" t="s">
        <v>6666</v>
      </c>
      <c r="E131" s="5" t="str">
        <f>CONCATENATE("Typ:",Types!E10)</f>
        <v>Typ:Stahl</v>
      </c>
      <c r="F131" s="5" t="str">
        <f>CONCATENATE("Tipo ",Types!F10)</f>
        <v>Tipo Acero</v>
      </c>
      <c r="G131" s="5" t="str">
        <f>CONCATENATE("Tipo ",Types!G10)</f>
        <v>Tipo Acciaio</v>
      </c>
      <c r="H131" s="5" t="str">
        <f>CONCATENATE("타입：",Types!H10)</f>
        <v>타입：강철</v>
      </c>
      <c r="I131" s="5" t="str">
        <f>IFERROR(__xludf.DUMMYFUNCTION("GOOGLETRANSLATE(J131,""zh_HANS"",""zh_HANT"")"),"屬性：鋼")</f>
        <v>屬性：鋼</v>
      </c>
      <c r="J131" s="5" t="str">
        <f>CONCATENATE("属性：",Types!J10)</f>
        <v>属性：钢</v>
      </c>
    </row>
    <row r="132">
      <c r="A132" s="5" t="str">
        <f t="shared" si="11"/>
        <v>NAME_FORM_TYPE:FIRE</v>
      </c>
      <c r="B132" s="3" t="s">
        <v>6667</v>
      </c>
      <c r="C132" s="5" t="str">
        <f>CONCATENATE("タイプ：", Types!C11)</f>
        <v>タイプ：ほのお</v>
      </c>
      <c r="D132" s="3" t="s">
        <v>6668</v>
      </c>
      <c r="E132" s="5" t="str">
        <f>CONCATENATE("Typ:",Types!E11)</f>
        <v>Typ:Feuer</v>
      </c>
      <c r="F132" s="5" t="str">
        <f>CONCATENATE("Tipo ",Types!F11)</f>
        <v>Tipo Fuego</v>
      </c>
      <c r="G132" s="5" t="str">
        <f>CONCATENATE("Tipo ",Types!G11)</f>
        <v>Tipo Fuoco</v>
      </c>
      <c r="H132" s="5" t="str">
        <f>CONCATENATE("타입：",Types!H11)</f>
        <v>타입：불꽃</v>
      </c>
      <c r="I132" s="5" t="str">
        <f>IFERROR(__xludf.DUMMYFUNCTION("GOOGLETRANSLATE(J132,""zh_HANS"",""zh_HANT"")"),"屬性：火")</f>
        <v>屬性：火</v>
      </c>
      <c r="J132" s="5" t="str">
        <f>CONCATENATE("属性：",Types!J11)</f>
        <v>属性：火</v>
      </c>
    </row>
    <row r="133">
      <c r="A133" s="5" t="str">
        <f t="shared" si="11"/>
        <v>NAME_FORM_TYPE:WATER</v>
      </c>
      <c r="B133" s="3" t="s">
        <v>6669</v>
      </c>
      <c r="C133" s="5" t="str">
        <f>CONCATENATE("タイプ：", Types!C12)</f>
        <v>タイプ：みず</v>
      </c>
      <c r="D133" s="3" t="s">
        <v>6670</v>
      </c>
      <c r="E133" s="5" t="str">
        <f>CONCATENATE("Typ:",Types!E12)</f>
        <v>Typ:Wasser</v>
      </c>
      <c r="F133" s="5" t="str">
        <f>CONCATENATE("Tipo ",Types!F12)</f>
        <v>Tipo Agua</v>
      </c>
      <c r="G133" s="5" t="str">
        <f>CONCATENATE("Tipo ",Types!G12)</f>
        <v>Tipo Acqua</v>
      </c>
      <c r="H133" s="5" t="str">
        <f>CONCATENATE("타입：",Types!H12)</f>
        <v>타입：물</v>
      </c>
      <c r="I133" s="5" t="str">
        <f>IFERROR(__xludf.DUMMYFUNCTION("GOOGLETRANSLATE(J133,""zh_HANS"",""zh_HANT"")"),"屬性：水")</f>
        <v>屬性：水</v>
      </c>
      <c r="J133" s="5" t="str">
        <f>CONCATENATE("属性：",Types!J12)</f>
        <v>属性：水</v>
      </c>
    </row>
    <row r="134">
      <c r="A134" s="5" t="str">
        <f t="shared" si="11"/>
        <v>NAME_FORM_TYPE:GRASS</v>
      </c>
      <c r="B134" s="3" t="s">
        <v>6671</v>
      </c>
      <c r="C134" s="5" t="str">
        <f>CONCATENATE("タイプ：", Types!C13)</f>
        <v>タイプ：くさ</v>
      </c>
      <c r="D134" s="3" t="s">
        <v>6672</v>
      </c>
      <c r="E134" s="5" t="str">
        <f>CONCATENATE("Typ:",Types!E13)</f>
        <v>Typ:Pflanze</v>
      </c>
      <c r="F134" s="5" t="str">
        <f>CONCATENATE("Tipo ",Types!F13)</f>
        <v>Tipo Planta</v>
      </c>
      <c r="G134" s="5" t="str">
        <f>CONCATENATE("Tipo ",Types!G13)</f>
        <v>Tipo Erba</v>
      </c>
      <c r="H134" s="5" t="str">
        <f>CONCATENATE("타입：",Types!H13)</f>
        <v>타입：풀</v>
      </c>
      <c r="I134" s="5" t="str">
        <f>IFERROR(__xludf.DUMMYFUNCTION("GOOGLETRANSLATE(J134,""zh_HANS"",""zh_HANT"")"),"屬性：草")</f>
        <v>屬性：草</v>
      </c>
      <c r="J134" s="5" t="str">
        <f>CONCATENATE("属性：",Types!J13)</f>
        <v>属性：草</v>
      </c>
    </row>
    <row r="135">
      <c r="A135" s="5" t="str">
        <f t="shared" si="11"/>
        <v>NAME_FORM_TYPE:ELECTRIC</v>
      </c>
      <c r="B135" s="3" t="s">
        <v>6673</v>
      </c>
      <c r="C135" s="5" t="str">
        <f>CONCATENATE("タイプ：", Types!C14)</f>
        <v>タイプ：でんき</v>
      </c>
      <c r="D135" s="3" t="s">
        <v>6674</v>
      </c>
      <c r="E135" s="5" t="str">
        <f>CONCATENATE("Typ:",Types!E14)</f>
        <v>Typ:Elektro</v>
      </c>
      <c r="F135" s="5" t="str">
        <f>CONCATENATE("Tipo ",Types!F14)</f>
        <v>Tipo Eléctrico</v>
      </c>
      <c r="G135" s="5" t="str">
        <f>CONCATENATE("Tipo ",Types!G14)</f>
        <v>Tipo Elettro</v>
      </c>
      <c r="H135" s="5" t="str">
        <f>CONCATENATE("타입：",Types!H14)</f>
        <v>타입：전기</v>
      </c>
      <c r="I135" s="5" t="str">
        <f>IFERROR(__xludf.DUMMYFUNCTION("GOOGLETRANSLATE(J135,""zh_HANS"",""zh_HANT"")"),"屬性：電")</f>
        <v>屬性：電</v>
      </c>
      <c r="J135" s="5" t="str">
        <f>CONCATENATE("属性：",Types!J14)</f>
        <v>属性：电</v>
      </c>
    </row>
    <row r="136">
      <c r="A136" s="5" t="str">
        <f t="shared" si="11"/>
        <v>NAME_FORM_TYPE:PSYCHIC</v>
      </c>
      <c r="B136" s="3" t="s">
        <v>6675</v>
      </c>
      <c r="C136" s="5" t="str">
        <f>CONCATENATE("タイプ：", Types!C15)</f>
        <v>タイプ：エスパー</v>
      </c>
      <c r="D136" s="3" t="s">
        <v>6676</v>
      </c>
      <c r="E136" s="5" t="str">
        <f>CONCATENATE("Typ:",Types!E15)</f>
        <v>Typ:Psyscho</v>
      </c>
      <c r="F136" s="5" t="str">
        <f>CONCATENATE("Tipo ",Types!F15)</f>
        <v>Tipo Psíquico</v>
      </c>
      <c r="G136" s="5" t="str">
        <f>CONCATENATE("Tipo ",Types!G15)</f>
        <v>Tipo Psico</v>
      </c>
      <c r="H136" s="5" t="str">
        <f>CONCATENATE("타입：",Types!H15)</f>
        <v>타입：에스퍼</v>
      </c>
      <c r="I136" s="5" t="str">
        <f>IFERROR(__xludf.DUMMYFUNCTION("GOOGLETRANSLATE(J136,""zh_HANS"",""zh_HANT"")"),"屬性：超能力")</f>
        <v>屬性：超能力</v>
      </c>
      <c r="J136" s="5" t="str">
        <f>CONCATENATE("属性：",Types!J15)</f>
        <v>属性：超能力</v>
      </c>
    </row>
    <row r="137">
      <c r="A137" s="5" t="str">
        <f t="shared" si="11"/>
        <v>NAME_FORM_TYPE:ICE</v>
      </c>
      <c r="B137" s="3" t="s">
        <v>6677</v>
      </c>
      <c r="C137" s="5" t="str">
        <f>CONCATENATE("タイプ：", Types!C16)</f>
        <v>タイプ：こおり</v>
      </c>
      <c r="D137" s="3" t="s">
        <v>6678</v>
      </c>
      <c r="E137" s="5" t="str">
        <f>CONCATENATE("Typ:",Types!E16)</f>
        <v>Typ:Eis</v>
      </c>
      <c r="F137" s="5" t="str">
        <f>CONCATENATE("Tipo ",Types!F16)</f>
        <v>Tipo Hielo</v>
      </c>
      <c r="G137" s="5" t="str">
        <f>CONCATENATE("Tipo ",Types!G16)</f>
        <v>Tipo Ghiaccio</v>
      </c>
      <c r="H137" s="5" t="str">
        <f>CONCATENATE("타입：",Types!H16)</f>
        <v>타입：얼음</v>
      </c>
      <c r="I137" s="5" t="str">
        <f>IFERROR(__xludf.DUMMYFUNCTION("GOOGLETRANSLATE(J137,""zh_HANS"",""zh_HANT"")"),"屬性：冰")</f>
        <v>屬性：冰</v>
      </c>
      <c r="J137" s="5" t="str">
        <f>CONCATENATE("属性：",Types!J16)</f>
        <v>属性：冰</v>
      </c>
    </row>
    <row r="138">
      <c r="A138" s="5" t="str">
        <f t="shared" si="11"/>
        <v>NAME_FORM_TYPE:DRAGON</v>
      </c>
      <c r="B138" s="3" t="s">
        <v>6679</v>
      </c>
      <c r="C138" s="5" t="str">
        <f>CONCATENATE("タイプ：", Types!C17)</f>
        <v>タイプ：ドラゴン</v>
      </c>
      <c r="D138" s="3" t="s">
        <v>6679</v>
      </c>
      <c r="E138" s="5" t="str">
        <f>CONCATENATE("Typ:",Types!E17)</f>
        <v>Typ:Drache</v>
      </c>
      <c r="F138" s="5" t="str">
        <f>CONCATENATE("Tipo ",Types!F17)</f>
        <v>Tipo Dragón</v>
      </c>
      <c r="G138" s="5" t="str">
        <f>CONCATENATE("Tipo ",Types!G17)</f>
        <v>Tipo Drago</v>
      </c>
      <c r="H138" s="5" t="str">
        <f>CONCATENATE("타입：",Types!H17)</f>
        <v>타입：드개곤</v>
      </c>
      <c r="I138" s="5" t="str">
        <f>IFERROR(__xludf.DUMMYFUNCTION("GOOGLETRANSLATE(J138,""zh_HANS"",""zh_HANT"")"),"屬性：龍")</f>
        <v>屬性：龍</v>
      </c>
      <c r="J138" s="5" t="str">
        <f>CONCATENATE("属性：",Types!J17)</f>
        <v>属性：龙</v>
      </c>
    </row>
    <row r="139">
      <c r="A139" s="5" t="str">
        <f t="shared" si="11"/>
        <v>NAME_FORM_TYPE:DARK</v>
      </c>
      <c r="B139" s="3" t="s">
        <v>6680</v>
      </c>
      <c r="C139" s="5" t="str">
        <f>CONCATENATE("タイプ：", Types!C18)</f>
        <v>タイプ：あく</v>
      </c>
      <c r="D139" s="3" t="s">
        <v>6681</v>
      </c>
      <c r="E139" s="5" t="str">
        <f>CONCATENATE("Typ:",Types!E18)</f>
        <v>Typ:Unlicht</v>
      </c>
      <c r="F139" s="5" t="str">
        <f>CONCATENATE("Tipo ",Types!F18)</f>
        <v>Tipo Siniestro</v>
      </c>
      <c r="G139" s="5" t="str">
        <f>CONCATENATE("Tipo ",Types!G18)</f>
        <v>Tipo Buio</v>
      </c>
      <c r="H139" s="5" t="str">
        <f>CONCATENATE("타입：",Types!H18)</f>
        <v>타입：악</v>
      </c>
      <c r="I139" s="5" t="str">
        <f>IFERROR(__xludf.DUMMYFUNCTION("GOOGLETRANSLATE(J139,""zh_HANS"",""zh_HANT"")"),"屬性：惡")</f>
        <v>屬性：惡</v>
      </c>
      <c r="J139" s="5" t="str">
        <f>CONCATENATE("属性：",Types!J18)</f>
        <v>属性：恶</v>
      </c>
    </row>
    <row r="140">
      <c r="A140" s="5" t="str">
        <f t="shared" si="11"/>
        <v>NAME_FORM_TYPE:FAIRY</v>
      </c>
      <c r="B140" s="3" t="s">
        <v>6682</v>
      </c>
      <c r="C140" s="5" t="str">
        <f>CONCATENATE("タイプ：", Types!C19)</f>
        <v>タイプ：フェアリ</v>
      </c>
      <c r="D140" s="3" t="s">
        <v>6683</v>
      </c>
      <c r="E140" s="5" t="str">
        <f>CONCATENATE("Typ:",Types!E19)</f>
        <v>Typ:Fee</v>
      </c>
      <c r="F140" s="5" t="str">
        <f>CONCATENATE("Tipo ",Types!F19)</f>
        <v>Tipo Hada</v>
      </c>
      <c r="G140" s="5" t="str">
        <f>CONCATENATE("Tipo ",Types!G19)</f>
        <v>Tipo Folletto</v>
      </c>
      <c r="H140" s="5" t="str">
        <f>CONCATENATE("타입：",Types!H19)</f>
        <v>타입：페어리</v>
      </c>
      <c r="I140" s="5" t="str">
        <f>IFERROR(__xludf.DUMMYFUNCTION("GOOGLETRANSLATE(J140,""zh_HANS"",""zh_HANT"")"),"屬性：妖精")</f>
        <v>屬性：妖精</v>
      </c>
      <c r="J140" s="5" t="str">
        <f>CONCATENATE("属性：",Types!J19)</f>
        <v>属性：妖精</v>
      </c>
    </row>
    <row r="141">
      <c r="A141" s="5" t="str">
        <f t="shared" si="11"/>
        <v>NAME_FORM_METEORFORM</v>
      </c>
      <c r="B141" s="3" t="s">
        <v>6684</v>
      </c>
      <c r="C141" s="3" t="s">
        <v>6685</v>
      </c>
      <c r="D141" s="3" t="s">
        <v>6686</v>
      </c>
      <c r="E141" s="3" t="s">
        <v>6687</v>
      </c>
      <c r="F141" s="3" t="s">
        <v>6688</v>
      </c>
      <c r="G141" s="3" t="s">
        <v>6689</v>
      </c>
      <c r="H141" s="3" t="s">
        <v>6690</v>
      </c>
      <c r="I141" s="3" t="s">
        <v>6691</v>
      </c>
      <c r="J141" s="5" t="str">
        <f>IFERROR(__xludf.DUMMYFUNCTION("GOOGLETRANSLATE(I141,""zh_HANT"",""zh_HANS"")"),"流星的样子")</f>
        <v>流星的样子</v>
      </c>
    </row>
    <row r="142">
      <c r="A142" s="5" t="str">
        <f t="shared" si="11"/>
        <v>NAME_FORM_REDCORE</v>
      </c>
      <c r="B142" s="3" t="s">
        <v>6692</v>
      </c>
      <c r="C142" s="3" t="s">
        <v>6693</v>
      </c>
      <c r="D142" s="3" t="s">
        <v>6694</v>
      </c>
      <c r="E142" s="3" t="s">
        <v>6695</v>
      </c>
      <c r="F142" s="3" t="s">
        <v>6696</v>
      </c>
      <c r="G142" s="3" t="s">
        <v>6697</v>
      </c>
      <c r="H142" s="3" t="s">
        <v>6698</v>
      </c>
      <c r="I142" s="3" t="s">
        <v>6699</v>
      </c>
      <c r="J142" s="5" t="str">
        <f>IFERROR(__xludf.DUMMYFUNCTION("GOOGLETRANSLATE(I142,""zh_HANT"",""zh_HANS"")"),"红色核心")</f>
        <v>红色核心</v>
      </c>
    </row>
    <row r="143">
      <c r="A143" s="5" t="str">
        <f t="shared" si="11"/>
        <v>NAME_FORM_ORANGECORE</v>
      </c>
      <c r="B143" s="3" t="s">
        <v>6700</v>
      </c>
      <c r="C143" s="3" t="s">
        <v>6701</v>
      </c>
      <c r="D143" s="3" t="s">
        <v>6702</v>
      </c>
      <c r="E143" s="3" t="s">
        <v>6703</v>
      </c>
      <c r="F143" s="3" t="s">
        <v>6704</v>
      </c>
      <c r="G143" s="3" t="s">
        <v>6705</v>
      </c>
      <c r="H143" s="3" t="s">
        <v>6706</v>
      </c>
      <c r="I143" s="3" t="s">
        <v>6707</v>
      </c>
      <c r="J143" s="5" t="str">
        <f>I143</f>
        <v>橙色核心</v>
      </c>
    </row>
    <row r="144">
      <c r="A144" s="5" t="str">
        <f t="shared" si="11"/>
        <v>NAME_FORM_YELLOWCORE</v>
      </c>
      <c r="B144" s="3" t="s">
        <v>6708</v>
      </c>
      <c r="C144" s="3" t="s">
        <v>6709</v>
      </c>
      <c r="D144" s="3" t="s">
        <v>6710</v>
      </c>
      <c r="E144" s="3" t="s">
        <v>6711</v>
      </c>
      <c r="F144" s="3" t="s">
        <v>6712</v>
      </c>
      <c r="G144" s="3" t="s">
        <v>6713</v>
      </c>
      <c r="H144" s="3" t="s">
        <v>6714</v>
      </c>
      <c r="I144" s="3" t="s">
        <v>6715</v>
      </c>
      <c r="J144" s="5" t="str">
        <f>IFERROR(__xludf.DUMMYFUNCTION("GOOGLETRANSLATE(I144,""zh_HANT"",""zh_HANS"")"),"黄色核心")</f>
        <v>黄色核心</v>
      </c>
    </row>
    <row r="145">
      <c r="A145" s="5" t="str">
        <f t="shared" si="11"/>
        <v>NAME_FORM_GREENCORE</v>
      </c>
      <c r="B145" s="3" t="s">
        <v>6716</v>
      </c>
      <c r="C145" s="3" t="s">
        <v>6717</v>
      </c>
      <c r="D145" s="3" t="s">
        <v>6718</v>
      </c>
      <c r="E145" s="3" t="s">
        <v>6719</v>
      </c>
      <c r="F145" s="3" t="s">
        <v>6720</v>
      </c>
      <c r="G145" s="3" t="s">
        <v>6721</v>
      </c>
      <c r="H145" s="3" t="s">
        <v>6722</v>
      </c>
      <c r="I145" s="3" t="s">
        <v>6723</v>
      </c>
      <c r="J145" s="5" t="str">
        <f>IFERROR(__xludf.DUMMYFUNCTION("GOOGLETRANSLATE(I145,""zh_HANT"",""zh_HANS"")"),"绿色核心")</f>
        <v>绿色核心</v>
      </c>
    </row>
    <row r="146">
      <c r="A146" s="5" t="str">
        <f t="shared" si="11"/>
        <v>NAME_FORM_BLUECORE</v>
      </c>
      <c r="B146" s="3" t="s">
        <v>6724</v>
      </c>
      <c r="C146" s="3" t="s">
        <v>6725</v>
      </c>
      <c r="D146" s="3" t="s">
        <v>6726</v>
      </c>
      <c r="E146" s="3" t="s">
        <v>6727</v>
      </c>
      <c r="F146" s="3" t="s">
        <v>6728</v>
      </c>
      <c r="G146" s="3" t="s">
        <v>6729</v>
      </c>
      <c r="H146" s="3" t="s">
        <v>6730</v>
      </c>
      <c r="I146" s="3" t="s">
        <v>6731</v>
      </c>
      <c r="J146" s="5" t="str">
        <f>IFERROR(__xludf.DUMMYFUNCTION("GOOGLETRANSLATE(I146,""zh_HANT"",""zh_HANS"")"),"浅蓝色核心")</f>
        <v>浅蓝色核心</v>
      </c>
    </row>
    <row r="147">
      <c r="A147" s="5" t="str">
        <f t="shared" si="11"/>
        <v>NAME_FORM_INDIGOCORE</v>
      </c>
      <c r="B147" s="3" t="s">
        <v>6732</v>
      </c>
      <c r="C147" s="3" t="s">
        <v>6733</v>
      </c>
      <c r="D147" s="3" t="s">
        <v>6734</v>
      </c>
      <c r="E147" s="3" t="s">
        <v>6735</v>
      </c>
      <c r="F147" s="3" t="s">
        <v>6736</v>
      </c>
      <c r="G147" s="3" t="s">
        <v>6737</v>
      </c>
      <c r="H147" s="3" t="s">
        <v>6738</v>
      </c>
      <c r="I147" s="3" t="s">
        <v>6739</v>
      </c>
      <c r="J147" s="5" t="str">
        <f>IFERROR(__xludf.DUMMYFUNCTION("GOOGLETRANSLATE(I147,""zh_HANT"",""zh_HANS"")"),"蓝色核心")</f>
        <v>蓝色核心</v>
      </c>
    </row>
    <row r="148">
      <c r="A148" s="5" t="str">
        <f t="shared" si="11"/>
        <v>NAME_FORM_VIOLETCORE</v>
      </c>
      <c r="B148" s="3" t="s">
        <v>6740</v>
      </c>
      <c r="C148" s="3" t="s">
        <v>6741</v>
      </c>
      <c r="D148" s="3" t="s">
        <v>6742</v>
      </c>
      <c r="E148" s="3" t="s">
        <v>6743</v>
      </c>
      <c r="F148" s="3" t="s">
        <v>6744</v>
      </c>
      <c r="G148" s="3" t="s">
        <v>6745</v>
      </c>
      <c r="H148" s="8" t="s">
        <v>6746</v>
      </c>
      <c r="I148" s="3" t="s">
        <v>6747</v>
      </c>
      <c r="J148" s="5" t="str">
        <f>I148</f>
        <v>紫色核心</v>
      </c>
    </row>
    <row r="149">
      <c r="A149" s="5" t="str">
        <f t="shared" si="11"/>
        <v>NAME_FORM_DISGUISEDFORM</v>
      </c>
      <c r="B149" s="3" t="s">
        <v>6748</v>
      </c>
      <c r="C149" s="3" t="s">
        <v>6749</v>
      </c>
      <c r="D149" s="3" t="s">
        <v>6750</v>
      </c>
      <c r="E149" s="3" t="s">
        <v>6751</v>
      </c>
      <c r="F149" s="3" t="s">
        <v>6752</v>
      </c>
      <c r="G149" s="3" t="s">
        <v>6753</v>
      </c>
      <c r="H149" s="3" t="s">
        <v>6754</v>
      </c>
      <c r="I149" s="3" t="s">
        <v>6755</v>
      </c>
      <c r="J149" s="5" t="str">
        <f>IFERROR(__xludf.DUMMYFUNCTION("GOOGLETRANSLATE(I149,""zh_HANT"",""zh_HANS"")"),"化形的样子")</f>
        <v>化形的样子</v>
      </c>
    </row>
    <row r="150">
      <c r="A150" s="5" t="str">
        <f t="shared" si="11"/>
        <v>NAME_FORM_BUSTEDFORM</v>
      </c>
      <c r="B150" s="3" t="s">
        <v>6756</v>
      </c>
      <c r="C150" s="3" t="s">
        <v>6757</v>
      </c>
      <c r="D150" s="3" t="s">
        <v>6758</v>
      </c>
      <c r="E150" s="3" t="s">
        <v>6759</v>
      </c>
      <c r="F150" s="3" t="s">
        <v>6760</v>
      </c>
      <c r="G150" s="3" t="s">
        <v>6761</v>
      </c>
      <c r="H150" s="3" t="s">
        <v>6762</v>
      </c>
      <c r="I150" s="3" t="s">
        <v>6763</v>
      </c>
      <c r="J150" s="5" t="str">
        <f>IFERROR(__xludf.DUMMYFUNCTION("GOOGLETRANSLATE(I150,""zh_HANT"",""zh_HANS"")"),"现形的样子")</f>
        <v>现形的样子</v>
      </c>
    </row>
    <row r="151">
      <c r="A151" s="5" t="str">
        <f t="shared" si="11"/>
        <v>NAME_FORM_DUSKMANE</v>
      </c>
      <c r="B151" s="3" t="s">
        <v>6764</v>
      </c>
      <c r="C151" s="3" t="s">
        <v>6765</v>
      </c>
      <c r="D151" s="3" t="s">
        <v>6766</v>
      </c>
      <c r="E151" s="3" t="s">
        <v>6767</v>
      </c>
      <c r="F151" s="3" t="s">
        <v>6768</v>
      </c>
      <c r="G151" s="3" t="s">
        <v>6769</v>
      </c>
      <c r="H151" s="3" t="s">
        <v>6770</v>
      </c>
      <c r="I151" s="3" t="s">
        <v>6771</v>
      </c>
      <c r="J151" s="5" t="str">
        <f>IFERROR(__xludf.DUMMYFUNCTION("GOOGLETRANSLATE(I151,""zh_HANT"",""zh_HANS"")"),"黄昏之鬃")</f>
        <v>黄昏之鬃</v>
      </c>
    </row>
    <row r="152">
      <c r="A152" s="5" t="str">
        <f t="shared" si="11"/>
        <v>NAME_FORM_DAWNWINGS</v>
      </c>
      <c r="B152" s="3" t="s">
        <v>6772</v>
      </c>
      <c r="C152" s="3" t="s">
        <v>6773</v>
      </c>
      <c r="D152" s="3" t="s">
        <v>6774</v>
      </c>
      <c r="E152" s="3" t="s">
        <v>6775</v>
      </c>
      <c r="F152" s="3" t="s">
        <v>6776</v>
      </c>
      <c r="G152" s="3" t="s">
        <v>6777</v>
      </c>
      <c r="H152" s="3" t="s">
        <v>6778</v>
      </c>
      <c r="I152" s="3" t="s">
        <v>6779</v>
      </c>
      <c r="J152" s="5" t="str">
        <f>IFERROR(__xludf.DUMMYFUNCTION("GOOGLETRANSLATE(I152,""zh_HANT"",""zh_HANS"")"),"拂晓之翼")</f>
        <v>拂晓之翼</v>
      </c>
    </row>
    <row r="153">
      <c r="A153" s="5" t="str">
        <f t="shared" si="11"/>
        <v>NAME_FORM_ULTRANECROZMA</v>
      </c>
      <c r="B153" s="3" t="s">
        <v>6780</v>
      </c>
      <c r="C153" s="3" t="s">
        <v>6781</v>
      </c>
      <c r="D153" s="3" t="s">
        <v>6782</v>
      </c>
      <c r="E153" s="5" t="str">
        <f>D153</f>
        <v>Ultra-Necrozma</v>
      </c>
      <c r="F153" s="5" t="str">
        <f>D153</f>
        <v>Ultra-Necrozma</v>
      </c>
      <c r="G153" s="3" t="s">
        <v>6783</v>
      </c>
      <c r="H153" s="3" t="s">
        <v>6784</v>
      </c>
      <c r="I153" s="3" t="s">
        <v>6785</v>
      </c>
      <c r="J153" s="5" t="str">
        <f>IFERROR(__xludf.DUMMYFUNCTION("GOOGLETRANSLATE(I153,""zh_HANT"",""zh_HANS"")"),"究极奈克洛兹玛")</f>
        <v>究极奈克洛兹玛</v>
      </c>
    </row>
    <row r="154">
      <c r="A154" s="5" t="str">
        <f t="shared" si="11"/>
        <v>NAME_FORM_ORIGINALCOLOR</v>
      </c>
      <c r="B154" s="3" t="s">
        <v>6786</v>
      </c>
      <c r="C154" s="3" t="s">
        <v>6787</v>
      </c>
      <c r="D154" s="3" t="s">
        <v>6788</v>
      </c>
      <c r="E154" s="3" t="s">
        <v>6789</v>
      </c>
      <c r="F154" s="3" t="s">
        <v>6790</v>
      </c>
      <c r="G154" s="3" t="s">
        <v>6791</v>
      </c>
      <c r="H154" s="3" t="s">
        <v>6792</v>
      </c>
      <c r="I154" s="3" t="s">
        <v>6793</v>
      </c>
      <c r="J154" s="5" t="str">
        <f>IFERROR(__xludf.DUMMYFUNCTION("GOOGLETRANSLATE(I154,""zh_HANT"",""zh_HANS"")"),"５００年前的颜色")</f>
        <v>５００年前的颜色</v>
      </c>
    </row>
    <row r="155">
      <c r="A155" s="5" t="str">
        <f t="shared" si="11"/>
        <v>NAME_FORM_GALARIANFORM</v>
      </c>
      <c r="B155" s="3" t="s">
        <v>6794</v>
      </c>
      <c r="C155" s="3" t="s">
        <v>6795</v>
      </c>
      <c r="D155" s="3" t="s">
        <v>6796</v>
      </c>
      <c r="E155" s="3" t="s">
        <v>6797</v>
      </c>
      <c r="F155" s="3" t="s">
        <v>6798</v>
      </c>
      <c r="G155" s="3" t="s">
        <v>6799</v>
      </c>
      <c r="H155" s="3" t="s">
        <v>6800</v>
      </c>
      <c r="I155" s="3" t="s">
        <v>6801</v>
      </c>
      <c r="J155" s="5" t="str">
        <f>IFERROR(__xludf.DUMMYFUNCTION("GOOGLETRANSLATE(I155,""zh_HANT"",""zh_HANS"")"),"伽勒尔的样子")</f>
        <v>伽勒尔的样子</v>
      </c>
    </row>
    <row r="156">
      <c r="A156" s="5" t="str">
        <f t="shared" si="11"/>
        <v>NAME_FORM_GULPINGFORM</v>
      </c>
      <c r="B156" s="3" t="s">
        <v>6802</v>
      </c>
      <c r="C156" s="3" t="s">
        <v>6803</v>
      </c>
      <c r="D156" s="3" t="s">
        <v>6804</v>
      </c>
      <c r="E156" s="3" t="s">
        <v>6805</v>
      </c>
      <c r="F156" s="3" t="s">
        <v>6806</v>
      </c>
      <c r="G156" s="3" t="s">
        <v>6807</v>
      </c>
      <c r="H156" s="3" t="s">
        <v>6808</v>
      </c>
      <c r="I156" s="3" t="s">
        <v>6809</v>
      </c>
      <c r="J156" s="5" t="str">
        <f>IFERROR(__xludf.DUMMYFUNCTION("GOOGLETRANSLATE(I156,""zh_HANT"",""zh_HANS"")"),"一口吞的样子")</f>
        <v>一口吞的样子</v>
      </c>
    </row>
    <row r="157">
      <c r="A157" s="5" t="str">
        <f t="shared" si="11"/>
        <v>NAME_FORM_GORGINGFORM</v>
      </c>
      <c r="B157" s="3" t="s">
        <v>6810</v>
      </c>
      <c r="C157" s="3" t="s">
        <v>6811</v>
      </c>
      <c r="D157" s="3" t="s">
        <v>6812</v>
      </c>
      <c r="E157" s="3" t="s">
        <v>6813</v>
      </c>
      <c r="F157" s="3" t="s">
        <v>6814</v>
      </c>
      <c r="G157" s="3" t="s">
        <v>6815</v>
      </c>
      <c r="H157" s="3" t="s">
        <v>6816</v>
      </c>
      <c r="I157" s="3" t="s">
        <v>6817</v>
      </c>
      <c r="J157" s="5" t="str">
        <f>IFERROR(__xludf.DUMMYFUNCTION("GOOGLETRANSLATE(I157,""zh_HANT"",""zh_HANS"")"),"大口吞的样子")</f>
        <v>大口吞的样子</v>
      </c>
    </row>
    <row r="158">
      <c r="A158" s="5" t="str">
        <f t="shared" si="11"/>
        <v>NAME_FORM_AMPEDFORM</v>
      </c>
      <c r="B158" s="3" t="s">
        <v>6818</v>
      </c>
      <c r="C158" s="3" t="s">
        <v>6819</v>
      </c>
      <c r="D158" s="3" t="s">
        <v>6820</v>
      </c>
      <c r="E158" s="3" t="s">
        <v>6821</v>
      </c>
      <c r="F158" s="3" t="s">
        <v>6822</v>
      </c>
      <c r="G158" s="3" t="s">
        <v>6823</v>
      </c>
      <c r="H158" s="3" t="s">
        <v>6824</v>
      </c>
      <c r="I158" s="3" t="s">
        <v>6825</v>
      </c>
      <c r="J158" s="5" t="str">
        <f>IFERROR(__xludf.DUMMYFUNCTION("GOOGLETRANSLATE(I158,""zh_HANT"",""zh_HANS"")"),"高调的样子")</f>
        <v>高调的样子</v>
      </c>
    </row>
    <row r="159">
      <c r="A159" s="5" t="str">
        <f t="shared" si="11"/>
        <v>NAME_FORM_LOWKEYFORM</v>
      </c>
      <c r="B159" s="3" t="s">
        <v>6826</v>
      </c>
      <c r="C159" s="3" t="s">
        <v>6827</v>
      </c>
      <c r="D159" s="3" t="s">
        <v>6828</v>
      </c>
      <c r="E159" s="3" t="s">
        <v>6829</v>
      </c>
      <c r="F159" s="3" t="s">
        <v>6830</v>
      </c>
      <c r="G159" s="3" t="s">
        <v>6831</v>
      </c>
      <c r="H159" s="3" t="s">
        <v>6832</v>
      </c>
      <c r="I159" s="3" t="s">
        <v>6833</v>
      </c>
      <c r="J159" s="5" t="str">
        <f>IFERROR(__xludf.DUMMYFUNCTION("GOOGLETRANSLATE(I159,""zh_HANT"",""zh_HANS"")"),"低调的样子")</f>
        <v>低调的样子</v>
      </c>
    </row>
    <row r="160">
      <c r="A160" s="5" t="str">
        <f t="shared" si="11"/>
        <v>NAME_FORM_PHONYFORM</v>
      </c>
      <c r="B160" s="3" t="s">
        <v>6834</v>
      </c>
      <c r="C160" s="3" t="s">
        <v>6835</v>
      </c>
      <c r="D160" s="3" t="s">
        <v>6836</v>
      </c>
      <c r="E160" s="3" t="s">
        <v>6837</v>
      </c>
      <c r="F160" s="3" t="s">
        <v>6838</v>
      </c>
      <c r="G160" s="3" t="s">
        <v>6839</v>
      </c>
      <c r="H160" s="3" t="s">
        <v>6840</v>
      </c>
      <c r="I160" s="3" t="s">
        <v>6841</v>
      </c>
      <c r="J160" s="5" t="str">
        <f>IFERROR(__xludf.DUMMYFUNCTION("GOOGLETRANSLATE(I160,""zh_HANT"",""zh_HANS"")"),"赝品形态")</f>
        <v>赝品形态</v>
      </c>
    </row>
    <row r="161">
      <c r="A161" s="5" t="str">
        <f t="shared" si="11"/>
        <v>NAME_FORM_ANTIQUEFORM</v>
      </c>
      <c r="B161" s="3" t="s">
        <v>6842</v>
      </c>
      <c r="C161" s="3" t="s">
        <v>6843</v>
      </c>
      <c r="D161" s="3" t="s">
        <v>6844</v>
      </c>
      <c r="E161" s="3" t="s">
        <v>6845</v>
      </c>
      <c r="F161" s="3" t="s">
        <v>6846</v>
      </c>
      <c r="G161" s="3" t="s">
        <v>6847</v>
      </c>
      <c r="H161" s="3" t="s">
        <v>6848</v>
      </c>
      <c r="I161" s="3" t="s">
        <v>6849</v>
      </c>
      <c r="J161" s="5" t="str">
        <f>IFERROR(__xludf.DUMMYFUNCTION("GOOGLETRANSLATE(I161,""zh_HANT"",""zh_HANS"")"),"真品形态")</f>
        <v>真品形态</v>
      </c>
    </row>
    <row r="162">
      <c r="A162" s="5" t="str">
        <f t="shared" si="11"/>
        <v>NAME_FORM_VANILLACREAM</v>
      </c>
      <c r="B162" s="3" t="s">
        <v>6850</v>
      </c>
      <c r="C162" s="3" t="s">
        <v>6851</v>
      </c>
      <c r="D162" s="3" t="s">
        <v>6852</v>
      </c>
      <c r="E162" s="3" t="s">
        <v>6853</v>
      </c>
      <c r="F162" s="3" t="s">
        <v>6854</v>
      </c>
      <c r="G162" s="3" t="s">
        <v>6855</v>
      </c>
      <c r="H162" s="3" t="s">
        <v>6856</v>
      </c>
      <c r="I162" s="3" t="s">
        <v>6857</v>
      </c>
      <c r="J162" s="5" t="str">
        <f>I162</f>
        <v>奶香香草</v>
      </c>
    </row>
    <row r="163">
      <c r="A163" s="5" t="str">
        <f t="shared" si="11"/>
        <v>NAME_FORM_RUBYCREAM</v>
      </c>
      <c r="B163" s="3" t="s">
        <v>6858</v>
      </c>
      <c r="C163" s="3" t="s">
        <v>6859</v>
      </c>
      <c r="D163" s="3" t="s">
        <v>6860</v>
      </c>
      <c r="E163" s="3" t="s">
        <v>6861</v>
      </c>
      <c r="F163" s="3" t="s">
        <v>6862</v>
      </c>
      <c r="G163" s="3" t="s">
        <v>6863</v>
      </c>
      <c r="H163" s="3" t="s">
        <v>6864</v>
      </c>
      <c r="I163" s="3" t="s">
        <v>6865</v>
      </c>
      <c r="J163" s="5" t="str">
        <f>IFERROR(__xludf.DUMMYFUNCTION("GOOGLETRANSLATE(I163,""zh_HANT"",""zh_HANS"")"),"奶香红钻")</f>
        <v>奶香红钻</v>
      </c>
    </row>
    <row r="164">
      <c r="A164" s="5" t="str">
        <f t="shared" si="11"/>
        <v>NAME_FORM_MATCHACREAM</v>
      </c>
      <c r="B164" s="3" t="s">
        <v>6866</v>
      </c>
      <c r="C164" s="3" t="s">
        <v>6867</v>
      </c>
      <c r="D164" s="3" t="s">
        <v>6868</v>
      </c>
      <c r="E164" s="3" t="s">
        <v>6869</v>
      </c>
      <c r="F164" s="3" t="s">
        <v>6870</v>
      </c>
      <c r="G164" s="3" t="s">
        <v>6871</v>
      </c>
      <c r="H164" s="3" t="s">
        <v>6872</v>
      </c>
      <c r="I164" s="3" t="s">
        <v>6873</v>
      </c>
      <c r="J164" s="5" t="str">
        <f t="shared" ref="J164:J165" si="12">I164</f>
        <v>奶香抹茶</v>
      </c>
    </row>
    <row r="165">
      <c r="A165" s="5" t="str">
        <f t="shared" si="11"/>
        <v>NAME_FORM_MINTCREAM</v>
      </c>
      <c r="B165" s="3" t="s">
        <v>6874</v>
      </c>
      <c r="C165" s="3" t="s">
        <v>6875</v>
      </c>
      <c r="D165" s="3" t="s">
        <v>6876</v>
      </c>
      <c r="E165" s="3" t="s">
        <v>6877</v>
      </c>
      <c r="F165" s="3" t="s">
        <v>6878</v>
      </c>
      <c r="G165" s="3" t="s">
        <v>6879</v>
      </c>
      <c r="H165" s="3" t="s">
        <v>6880</v>
      </c>
      <c r="I165" s="3" t="s">
        <v>6881</v>
      </c>
      <c r="J165" s="5" t="str">
        <f t="shared" si="12"/>
        <v>奶香薄荷</v>
      </c>
    </row>
    <row r="166">
      <c r="A166" s="5" t="str">
        <f t="shared" si="11"/>
        <v>NAME_FORM_LEMONCREAM</v>
      </c>
      <c r="B166" s="3" t="s">
        <v>6882</v>
      </c>
      <c r="C166" s="3" t="s">
        <v>6883</v>
      </c>
      <c r="D166" s="3" t="s">
        <v>6884</v>
      </c>
      <c r="E166" s="3" t="s">
        <v>6885</v>
      </c>
      <c r="F166" s="3" t="s">
        <v>6886</v>
      </c>
      <c r="G166" s="3" t="s">
        <v>6887</v>
      </c>
      <c r="H166" s="3" t="s">
        <v>6888</v>
      </c>
      <c r="I166" s="3" t="s">
        <v>6889</v>
      </c>
      <c r="J166" s="5" t="str">
        <f>IFERROR(__xludf.DUMMYFUNCTION("GOOGLETRANSLATE(I166,""zh_HANT"",""zh_HANS"")"),"奶香柠檬")</f>
        <v>奶香柠檬</v>
      </c>
    </row>
    <row r="167">
      <c r="A167" s="5" t="str">
        <f t="shared" si="11"/>
        <v>NAME_FORM_SALTEDCREAM</v>
      </c>
      <c r="B167" s="3" t="s">
        <v>6890</v>
      </c>
      <c r="C167" s="3" t="s">
        <v>6891</v>
      </c>
      <c r="D167" s="3" t="s">
        <v>6892</v>
      </c>
      <c r="E167" s="3" t="s">
        <v>6893</v>
      </c>
      <c r="F167" s="3" t="s">
        <v>6894</v>
      </c>
      <c r="G167" s="3" t="s">
        <v>6895</v>
      </c>
      <c r="H167" s="3" t="s">
        <v>6896</v>
      </c>
      <c r="I167" s="3" t="s">
        <v>6897</v>
      </c>
      <c r="J167" s="5" t="str">
        <f>IFERROR(__xludf.DUMMYFUNCTION("GOOGLETRANSLATE(I167,""zh_HANT"",""zh_HANS"")"),"奶香雪盐")</f>
        <v>奶香雪盐</v>
      </c>
    </row>
    <row r="168">
      <c r="A168" s="5" t="str">
        <f t="shared" si="11"/>
        <v>NAME_FORM_RUBYSWIRL</v>
      </c>
      <c r="B168" s="3" t="s">
        <v>6898</v>
      </c>
      <c r="C168" s="3" t="s">
        <v>6899</v>
      </c>
      <c r="D168" s="3" t="s">
        <v>6900</v>
      </c>
      <c r="E168" s="3" t="s">
        <v>6901</v>
      </c>
      <c r="F168" s="3" t="s">
        <v>6902</v>
      </c>
      <c r="G168" s="3" t="s">
        <v>6903</v>
      </c>
      <c r="H168" s="3" t="s">
        <v>6904</v>
      </c>
      <c r="I168" s="3" t="s">
        <v>6905</v>
      </c>
      <c r="J168" s="5" t="str">
        <f>IFERROR(__xludf.DUMMYFUNCTION("GOOGLETRANSLATE(I168,""zh_HANT"",""zh_HANS"")"),"红钻综合")</f>
        <v>红钻综合</v>
      </c>
    </row>
    <row r="169">
      <c r="A169" s="5" t="str">
        <f t="shared" si="11"/>
        <v>NAME_FORM_CARAMELSWIRL</v>
      </c>
      <c r="B169" s="3" t="s">
        <v>6906</v>
      </c>
      <c r="C169" s="3" t="s">
        <v>6907</v>
      </c>
      <c r="D169" s="3" t="s">
        <v>6908</v>
      </c>
      <c r="E169" s="3" t="s">
        <v>6909</v>
      </c>
      <c r="F169" s="3" t="s">
        <v>6910</v>
      </c>
      <c r="G169" s="3" t="s">
        <v>6911</v>
      </c>
      <c r="H169" s="3" t="s">
        <v>6912</v>
      </c>
      <c r="I169" s="3" t="s">
        <v>6913</v>
      </c>
      <c r="J169" s="5" t="str">
        <f>IFERROR(__xludf.DUMMYFUNCTION("GOOGLETRANSLATE(I169,""zh_HANT"",""zh_HANS"")"),"焦糖综合")</f>
        <v>焦糖综合</v>
      </c>
    </row>
    <row r="170">
      <c r="A170" s="5" t="str">
        <f t="shared" si="11"/>
        <v>NAME_FORM_RAINBOWSWIRL</v>
      </c>
      <c r="B170" s="3" t="s">
        <v>6914</v>
      </c>
      <c r="C170" s="3" t="s">
        <v>6915</v>
      </c>
      <c r="D170" s="3" t="s">
        <v>6916</v>
      </c>
      <c r="E170" s="3" t="s">
        <v>6917</v>
      </c>
      <c r="F170" s="3" t="s">
        <v>6918</v>
      </c>
      <c r="G170" s="3" t="s">
        <v>6919</v>
      </c>
      <c r="H170" s="3" t="s">
        <v>6920</v>
      </c>
      <c r="I170" s="3" t="s">
        <v>6921</v>
      </c>
      <c r="J170" s="5" t="str">
        <f>IFERROR(__xludf.DUMMYFUNCTION("GOOGLETRANSLATE(I170,""zh_HANT"",""zh_HANS"")"),"三色综合")</f>
        <v>三色综合</v>
      </c>
    </row>
    <row r="171">
      <c r="A171" s="5" t="str">
        <f t="shared" si="11"/>
        <v>NAME_FORM_ICEFACE</v>
      </c>
      <c r="B171" s="3" t="str">
        <f>Abilities!B249</f>
        <v>Ice Face</v>
      </c>
      <c r="C171" s="3" t="str">
        <f>Abilities!C249</f>
        <v>アイスフェイス</v>
      </c>
      <c r="D171" s="3" t="str">
        <f>Abilities!D249</f>
        <v>Tête de Gel</v>
      </c>
      <c r="E171" s="3" t="str">
        <f>Abilities!E249</f>
        <v>Tiefkühlkopf</v>
      </c>
      <c r="F171" s="3" t="str">
        <f>Abilities!F249</f>
        <v>Cara de Hielo</v>
      </c>
      <c r="G171" s="3" t="str">
        <f>Abilities!G249</f>
        <v>Gelofaccia</v>
      </c>
      <c r="H171" s="3" t="str">
        <f>Abilities!H249</f>
        <v>아이스페이스</v>
      </c>
      <c r="I171" s="3" t="str">
        <f>Abilities!I249</f>
        <v>結凍頭</v>
      </c>
      <c r="J171" s="3" t="str">
        <f>Abilities!J249</f>
        <v>结冻头</v>
      </c>
    </row>
    <row r="172">
      <c r="A172" s="5" t="str">
        <f t="shared" si="11"/>
        <v>NAME_FORM_NOICEFACE</v>
      </c>
      <c r="B172" s="3" t="s">
        <v>6922</v>
      </c>
      <c r="C172" s="3" t="s">
        <v>6923</v>
      </c>
      <c r="D172" s="3" t="s">
        <v>6924</v>
      </c>
      <c r="E172" s="3" t="s">
        <v>6925</v>
      </c>
      <c r="F172" s="3" t="s">
        <v>6926</v>
      </c>
      <c r="G172" s="3" t="s">
        <v>6927</v>
      </c>
      <c r="H172" s="3" t="s">
        <v>6928</v>
      </c>
      <c r="I172" s="3" t="s">
        <v>6929</v>
      </c>
      <c r="J172" s="5" t="str">
        <f>IFERROR(__xludf.DUMMYFUNCTION("GOOGLETRANSLATE(I172,""zh_HANT"",""zh_HANS"")"),"解冻头")</f>
        <v>解冻头</v>
      </c>
    </row>
    <row r="173">
      <c r="A173" s="5" t="str">
        <f t="shared" si="11"/>
        <v>NAME_FORM_FULLBELLYMODE</v>
      </c>
      <c r="B173" s="3" t="s">
        <v>6930</v>
      </c>
      <c r="C173" s="3" t="s">
        <v>6931</v>
      </c>
      <c r="D173" s="3" t="s">
        <v>6932</v>
      </c>
      <c r="E173" s="3" t="s">
        <v>6933</v>
      </c>
      <c r="F173" s="3" t="s">
        <v>6934</v>
      </c>
      <c r="G173" s="3" t="s">
        <v>6935</v>
      </c>
      <c r="H173" s="3" t="s">
        <v>6936</v>
      </c>
      <c r="I173" s="3" t="s">
        <v>6937</v>
      </c>
      <c r="J173" s="5" t="str">
        <f>IFERROR(__xludf.DUMMYFUNCTION("GOOGLETRANSLATE(I173,""zh_HANT"",""zh_HANS"")"),"满腹花纹")</f>
        <v>满腹花纹</v>
      </c>
    </row>
    <row r="174">
      <c r="A174" s="5" t="str">
        <f t="shared" si="11"/>
        <v>NAME_FORM_HANGRYMODE</v>
      </c>
      <c r="B174" s="3" t="s">
        <v>6938</v>
      </c>
      <c r="C174" s="3" t="s">
        <v>6939</v>
      </c>
      <c r="D174" s="3" t="s">
        <v>6940</v>
      </c>
      <c r="E174" s="3" t="s">
        <v>6941</v>
      </c>
      <c r="F174" s="3" t="s">
        <v>6942</v>
      </c>
      <c r="G174" s="3" t="s">
        <v>6943</v>
      </c>
      <c r="H174" s="3" t="s">
        <v>6944</v>
      </c>
      <c r="I174" s="3" t="s">
        <v>6945</v>
      </c>
      <c r="J174" s="5" t="str">
        <f>IFERROR(__xludf.DUMMYFUNCTION("GOOGLETRANSLATE(I174,""zh_HANT"",""zh_HANS"")"),"空腹花纹")</f>
        <v>空腹花纹</v>
      </c>
    </row>
    <row r="175">
      <c r="A175" s="5" t="str">
        <f t="shared" si="11"/>
        <v>NAME_FORM_HEROOFMANYBATTLES</v>
      </c>
      <c r="B175" s="3" t="s">
        <v>6946</v>
      </c>
      <c r="C175" s="3" t="s">
        <v>6947</v>
      </c>
      <c r="D175" s="3" t="s">
        <v>6948</v>
      </c>
      <c r="E175" s="3" t="s">
        <v>6949</v>
      </c>
      <c r="F175" s="3" t="s">
        <v>6950</v>
      </c>
      <c r="G175" s="3" t="s">
        <v>6951</v>
      </c>
      <c r="H175" s="3" t="s">
        <v>6952</v>
      </c>
      <c r="I175" s="3" t="s">
        <v>6953</v>
      </c>
      <c r="J175" s="5" t="str">
        <f>IFERROR(__xludf.DUMMYFUNCTION("GOOGLETRANSLATE(I175,""zh_HANT"",""zh_HANS"")"),"百战勇者")</f>
        <v>百战勇者</v>
      </c>
    </row>
    <row r="176">
      <c r="A176" s="5" t="str">
        <f t="shared" si="11"/>
        <v>NAME_FORM_CROWNEDSWORD</v>
      </c>
      <c r="B176" s="3" t="s">
        <v>6954</v>
      </c>
      <c r="C176" s="3" t="s">
        <v>6955</v>
      </c>
      <c r="D176" s="3" t="s">
        <v>6956</v>
      </c>
      <c r="E176" s="3" t="s">
        <v>6957</v>
      </c>
      <c r="F176" s="3" t="s">
        <v>6958</v>
      </c>
      <c r="G176" s="3" t="s">
        <v>6959</v>
      </c>
      <c r="H176" s="3" t="s">
        <v>6960</v>
      </c>
      <c r="I176" s="3" t="s">
        <v>6961</v>
      </c>
      <c r="J176" s="5" t="str">
        <f>IFERROR(__xludf.DUMMYFUNCTION("GOOGLETRANSLATE(I176,""zh_HANT"",""zh_HANS"")"),"剑之王")</f>
        <v>剑之王</v>
      </c>
    </row>
    <row r="177">
      <c r="A177" s="5" t="str">
        <f t="shared" si="11"/>
        <v>NAME_FORM_CROWNEDSHIELD</v>
      </c>
      <c r="B177" s="3" t="s">
        <v>6962</v>
      </c>
      <c r="C177" s="3" t="s">
        <v>6963</v>
      </c>
      <c r="D177" s="3" t="s">
        <v>6964</v>
      </c>
      <c r="E177" s="3" t="s">
        <v>6965</v>
      </c>
      <c r="F177" s="3" t="s">
        <v>6966</v>
      </c>
      <c r="G177" s="3" t="s">
        <v>6967</v>
      </c>
      <c r="H177" s="3" t="s">
        <v>6968</v>
      </c>
      <c r="I177" s="3" t="s">
        <v>6969</v>
      </c>
      <c r="J177" s="5" t="str">
        <f>I177</f>
        <v>盾之王</v>
      </c>
    </row>
    <row r="178">
      <c r="A178" s="5" t="str">
        <f t="shared" si="11"/>
        <v>NAME_FORM_ETERNAMAX</v>
      </c>
      <c r="B178" s="3" t="s">
        <v>6970</v>
      </c>
      <c r="C178" s="3" t="s">
        <v>6971</v>
      </c>
      <c r="D178" s="3" t="s">
        <v>6972</v>
      </c>
      <c r="E178" s="3" t="s">
        <v>6973</v>
      </c>
      <c r="F178" s="3" t="s">
        <v>6974</v>
      </c>
      <c r="G178" s="3" t="s">
        <v>6975</v>
      </c>
      <c r="H178" s="3" t="s">
        <v>6976</v>
      </c>
      <c r="I178" s="3" t="s">
        <v>6977</v>
      </c>
      <c r="J178" s="5" t="str">
        <f>IFERROR(__xludf.DUMMYFUNCTION("GOOGLETRANSLATE(I178,""zh_HANT"",""zh_HANS"")"),"无极巨化")</f>
        <v>无极巨化</v>
      </c>
    </row>
    <row r="179">
      <c r="A179" s="5" t="str">
        <f t="shared" si="11"/>
        <v>NAME_FORM_SINGLESTRIKESTYLE</v>
      </c>
      <c r="B179" s="3" t="s">
        <v>6978</v>
      </c>
      <c r="C179" s="3" t="s">
        <v>6979</v>
      </c>
      <c r="D179" s="3" t="s">
        <v>6980</v>
      </c>
      <c r="E179" s="3" t="s">
        <v>6981</v>
      </c>
      <c r="F179" s="3" t="s">
        <v>6982</v>
      </c>
      <c r="G179" s="3" t="s">
        <v>6983</v>
      </c>
      <c r="H179" s="3" t="s">
        <v>6984</v>
      </c>
      <c r="I179" s="3" t="s">
        <v>6985</v>
      </c>
      <c r="J179" s="5" t="str">
        <f>IFERROR(__xludf.DUMMYFUNCTION("GOOGLETRANSLATE(I179,""zh_HANT"",""zh_HANS"")"),"一击流")</f>
        <v>一击流</v>
      </c>
    </row>
    <row r="180">
      <c r="A180" s="5" t="str">
        <f t="shared" si="11"/>
        <v>NAME_FORM_RAPIDSTRIKESTYLE</v>
      </c>
      <c r="B180" s="3" t="s">
        <v>6986</v>
      </c>
      <c r="C180" s="3" t="s">
        <v>6987</v>
      </c>
      <c r="D180" s="3" t="s">
        <v>6988</v>
      </c>
      <c r="E180" s="3" t="s">
        <v>6989</v>
      </c>
      <c r="F180" s="3" t="s">
        <v>6990</v>
      </c>
      <c r="G180" s="3" t="s">
        <v>6991</v>
      </c>
      <c r="H180" s="3" t="s">
        <v>6992</v>
      </c>
      <c r="I180" s="3" t="s">
        <v>6993</v>
      </c>
      <c r="J180" s="5" t="str">
        <f>IFERROR(__xludf.DUMMYFUNCTION("GOOGLETRANSLATE(I180,""zh_HANT"",""zh_HANS"")"),"连击流")</f>
        <v>连击流</v>
      </c>
    </row>
    <row r="181">
      <c r="A181" s="5" t="str">
        <f t="shared" si="11"/>
        <v>NAME_FORM_DADA</v>
      </c>
      <c r="B181" s="3" t="s">
        <v>6994</v>
      </c>
      <c r="C181" s="3" t="s">
        <v>6995</v>
      </c>
      <c r="D181" s="3" t="s">
        <v>6996</v>
      </c>
      <c r="E181" s="5" t="str">
        <f>D181</f>
        <v>Papa</v>
      </c>
      <c r="F181" s="3" t="s">
        <v>6997</v>
      </c>
      <c r="G181" s="3" t="s">
        <v>6998</v>
      </c>
      <c r="H181" s="3" t="s">
        <v>6999</v>
      </c>
      <c r="I181" s="3" t="s">
        <v>7000</v>
      </c>
      <c r="J181" s="5" t="str">
        <f>I181</f>
        <v>阿爸</v>
      </c>
    </row>
    <row r="182">
      <c r="A182" s="5" t="str">
        <f t="shared" si="11"/>
        <v>NAME_FORM_ICERIDER</v>
      </c>
      <c r="B182" s="3" t="s">
        <v>7001</v>
      </c>
      <c r="C182" s="3" t="s">
        <v>7002</v>
      </c>
      <c r="D182" s="3" t="s">
        <v>7003</v>
      </c>
      <c r="E182" s="3" t="s">
        <v>7004</v>
      </c>
      <c r="F182" s="3" t="s">
        <v>7005</v>
      </c>
      <c r="G182" s="3" t="s">
        <v>7006</v>
      </c>
      <c r="H182" s="3" t="s">
        <v>7007</v>
      </c>
      <c r="I182" s="3" t="s">
        <v>7008</v>
      </c>
      <c r="J182" s="5" t="str">
        <f>IFERROR(__xludf.DUMMYFUNCTION("GOOGLETRANSLATE(I182,""zh_HANT"",""zh_HANS"")"),"骑白马的样子")</f>
        <v>骑白马的样子</v>
      </c>
    </row>
    <row r="183">
      <c r="A183" s="5" t="str">
        <f t="shared" si="11"/>
        <v>NAME_FORM_SHADOWRIDER</v>
      </c>
      <c r="B183" s="3" t="s">
        <v>7009</v>
      </c>
      <c r="C183" s="3" t="s">
        <v>7010</v>
      </c>
      <c r="D183" s="3" t="s">
        <v>7011</v>
      </c>
      <c r="E183" s="3" t="s">
        <v>7012</v>
      </c>
      <c r="F183" s="3" t="s">
        <v>7013</v>
      </c>
      <c r="G183" s="3" t="s">
        <v>7014</v>
      </c>
      <c r="H183" s="3" t="s">
        <v>7015</v>
      </c>
      <c r="I183" s="3" t="s">
        <v>7016</v>
      </c>
      <c r="J183" s="5" t="str">
        <f>IFERROR(__xludf.DUMMYFUNCTION("GOOGLETRANSLATE(I183,""zh_HANT"",""zh_HANS"")"),"骑黑马的样子")</f>
        <v>骑黑马的样子</v>
      </c>
    </row>
    <row r="184">
      <c r="A184" s="5" t="str">
        <f t="shared" si="11"/>
        <v>NAME_FORM_HISUIANFORM</v>
      </c>
      <c r="B184" s="3" t="s">
        <v>7017</v>
      </c>
      <c r="C184" s="3" t="s">
        <v>7018</v>
      </c>
      <c r="D184" s="3" t="s">
        <v>7019</v>
      </c>
      <c r="E184" s="3" t="s">
        <v>7020</v>
      </c>
      <c r="F184" s="3" t="s">
        <v>7021</v>
      </c>
      <c r="G184" s="3" t="s">
        <v>7022</v>
      </c>
      <c r="H184" s="3" t="s">
        <v>7023</v>
      </c>
      <c r="I184" s="12" t="s">
        <v>7024</v>
      </c>
      <c r="J184" s="5" t="str">
        <f>IFERROR(__xludf.DUMMYFUNCTION("GOOGLETRANSLATE(I184,""zh_HANT"",""zh_HANS"")"),"洗翠的样子")</f>
        <v>洗翠的样子</v>
      </c>
    </row>
    <row r="185">
      <c r="A185" s="5" t="str">
        <f t="shared" si="11"/>
        <v>NAME_FORM_WHITE-STRIPEDFORM</v>
      </c>
      <c r="B185" s="3" t="s">
        <v>7025</v>
      </c>
      <c r="C185" s="3" t="s">
        <v>7026</v>
      </c>
      <c r="D185" s="3" t="s">
        <v>7027</v>
      </c>
      <c r="E185" s="3" t="s">
        <v>7028</v>
      </c>
      <c r="F185" s="3" t="s">
        <v>7029</v>
      </c>
      <c r="G185" s="3" t="s">
        <v>7030</v>
      </c>
      <c r="H185" s="3" t="s">
        <v>7031</v>
      </c>
      <c r="I185" s="4" t="s">
        <v>7032</v>
      </c>
      <c r="J185" s="5" t="str">
        <f>IFERROR(__xludf.DUMMYFUNCTION("GOOGLETRANSLATE(I185,""zh_HANT"",""zh_HANS"")"),"白条纹的样子")</f>
        <v>白条纹的样子</v>
      </c>
    </row>
    <row r="186">
      <c r="A186" s="5" t="str">
        <f t="shared" si="11"/>
        <v>NAME_FORM_PALDEANFORM</v>
      </c>
      <c r="B186" s="3" t="s">
        <v>7033</v>
      </c>
      <c r="C186" s="3" t="s">
        <v>7034</v>
      </c>
      <c r="D186" s="3" t="s">
        <v>7035</v>
      </c>
      <c r="E186" s="3" t="s">
        <v>7036</v>
      </c>
      <c r="F186" s="3" t="s">
        <v>7037</v>
      </c>
      <c r="G186" s="3" t="s">
        <v>7038</v>
      </c>
      <c r="H186" s="3" t="s">
        <v>7039</v>
      </c>
      <c r="I186" s="4" t="s">
        <v>7040</v>
      </c>
      <c r="J186" s="5" t="str">
        <f>IFERROR(__xludf.DUMMYFUNCTION("GOOGLETRANSLATE(I186,""zh_HANT"",""zh_HANS"")"),"帕底亚的样子")</f>
        <v>帕底亚的样子</v>
      </c>
    </row>
    <row r="187">
      <c r="A187" s="5" t="str">
        <f t="shared" si="11"/>
        <v>NAME_FORM_COMBATBREED</v>
      </c>
      <c r="B187" s="3" t="s">
        <v>7041</v>
      </c>
      <c r="C187" s="3" t="s">
        <v>7042</v>
      </c>
      <c r="D187" s="3" t="s">
        <v>7043</v>
      </c>
      <c r="E187" s="3" t="s">
        <v>7044</v>
      </c>
      <c r="F187" s="3" t="s">
        <v>7045</v>
      </c>
      <c r="G187" s="3" t="s">
        <v>7046</v>
      </c>
      <c r="H187" s="3" t="s">
        <v>7047</v>
      </c>
      <c r="I187" s="4" t="s">
        <v>7048</v>
      </c>
      <c r="J187" s="5" t="str">
        <f>IFERROR(__xludf.DUMMYFUNCTION("GOOGLETRANSLATE(I187,""zh_HANT"",""zh_HANS"")"),"斗战种")</f>
        <v>斗战种</v>
      </c>
    </row>
    <row r="188">
      <c r="A188" s="5" t="str">
        <f t="shared" si="11"/>
        <v>NAME_FORM_BLAZEBREED</v>
      </c>
      <c r="B188" s="3" t="s">
        <v>7049</v>
      </c>
      <c r="C188" s="3" t="s">
        <v>7050</v>
      </c>
      <c r="D188" s="3" t="s">
        <v>7051</v>
      </c>
      <c r="E188" s="3" t="s">
        <v>7052</v>
      </c>
      <c r="F188" s="3" t="s">
        <v>7053</v>
      </c>
      <c r="G188" s="3" t="s">
        <v>7054</v>
      </c>
      <c r="H188" s="3" t="s">
        <v>7055</v>
      </c>
      <c r="I188" s="4" t="s">
        <v>7056</v>
      </c>
      <c r="J188" s="5" t="str">
        <f>IFERROR(__xludf.DUMMYFUNCTION("GOOGLETRANSLATE(I188,""zh_HANT"",""zh_HANS"")"),"火炽种")</f>
        <v>火炽种</v>
      </c>
    </row>
    <row r="189">
      <c r="A189" s="5" t="str">
        <f t="shared" si="11"/>
        <v>NAME_FORM_AQUABREED</v>
      </c>
      <c r="B189" s="3" t="s">
        <v>7057</v>
      </c>
      <c r="C189" s="3" t="s">
        <v>7058</v>
      </c>
      <c r="D189" s="3" t="s">
        <v>7059</v>
      </c>
      <c r="E189" s="3" t="s">
        <v>7060</v>
      </c>
      <c r="F189" s="3" t="s">
        <v>7061</v>
      </c>
      <c r="G189" s="3" t="s">
        <v>7062</v>
      </c>
      <c r="H189" s="3" t="s">
        <v>7063</v>
      </c>
      <c r="I189" s="4" t="s">
        <v>7064</v>
      </c>
      <c r="J189" s="5" t="str">
        <f>IFERROR(__xludf.DUMMYFUNCTION("GOOGLETRANSLATE(I189,""zh_HANT"",""zh_HANS"")"),"水澜种")</f>
        <v>水澜种</v>
      </c>
    </row>
    <row r="190">
      <c r="A190" s="5" t="str">
        <f t="shared" si="11"/>
        <v>NAME_FORM_FAMILYOFTHREE</v>
      </c>
      <c r="B190" s="3" t="s">
        <v>7065</v>
      </c>
      <c r="C190" s="3" t="s">
        <v>7066</v>
      </c>
      <c r="D190" s="3" t="s">
        <v>7067</v>
      </c>
      <c r="E190" s="3" t="s">
        <v>7068</v>
      </c>
      <c r="F190" s="3" t="s">
        <v>7069</v>
      </c>
      <c r="G190" s="3" t="s">
        <v>7070</v>
      </c>
      <c r="H190" s="3" t="s">
        <v>7071</v>
      </c>
      <c r="I190" s="4" t="s">
        <v>7072</v>
      </c>
      <c r="J190" s="5" t="str">
        <f>IFERROR(__xludf.DUMMYFUNCTION("GOOGLETRANSLATE(I190,""zh_HANT"",""zh_HANS"")"),"三只家庭")</f>
        <v>三只家庭</v>
      </c>
    </row>
    <row r="191">
      <c r="A191" s="5" t="str">
        <f t="shared" si="11"/>
        <v>NAME_FORM_FAMILYOFFOUR</v>
      </c>
      <c r="B191" s="3" t="s">
        <v>7073</v>
      </c>
      <c r="C191" s="3" t="s">
        <v>7074</v>
      </c>
      <c r="D191" s="3" t="s">
        <v>7075</v>
      </c>
      <c r="E191" s="3" t="s">
        <v>7076</v>
      </c>
      <c r="F191" s="3" t="s">
        <v>7077</v>
      </c>
      <c r="G191" s="3" t="s">
        <v>7078</v>
      </c>
      <c r="H191" s="3" t="s">
        <v>7079</v>
      </c>
      <c r="I191" s="4" t="s">
        <v>7080</v>
      </c>
      <c r="J191" s="5" t="str">
        <f>IFERROR(__xludf.DUMMYFUNCTION("GOOGLETRANSLATE(I191,""zh_HANT"",""zh_HANS"")"),"四只家庭")</f>
        <v>四只家庭</v>
      </c>
    </row>
    <row r="192">
      <c r="A192" s="5" t="str">
        <f t="shared" si="11"/>
        <v>NAME_FORM_GREENPLUMAGE</v>
      </c>
      <c r="B192" s="3" t="s">
        <v>7081</v>
      </c>
      <c r="C192" s="3" t="s">
        <v>7082</v>
      </c>
      <c r="D192" s="3" t="s">
        <v>7083</v>
      </c>
      <c r="E192" s="3" t="s">
        <v>7084</v>
      </c>
      <c r="F192" s="3" t="s">
        <v>7085</v>
      </c>
      <c r="G192" s="3" t="s">
        <v>7086</v>
      </c>
      <c r="H192" s="6" t="s">
        <v>7087</v>
      </c>
      <c r="I192" s="4" t="s">
        <v>7088</v>
      </c>
      <c r="J192" s="5" t="str">
        <f>IFERROR(__xludf.DUMMYFUNCTION("GOOGLETRANSLATE(I192,""zh_HANT"",""zh_HANS"")"),"绿羽毛")</f>
        <v>绿羽毛</v>
      </c>
    </row>
    <row r="193">
      <c r="A193" s="5" t="str">
        <f t="shared" si="11"/>
        <v>NAME_FORM_BLUEPLUMAGE</v>
      </c>
      <c r="B193" s="3" t="s">
        <v>7089</v>
      </c>
      <c r="C193" s="3" t="s">
        <v>7090</v>
      </c>
      <c r="D193" s="3" t="s">
        <v>7091</v>
      </c>
      <c r="E193" s="3" t="s">
        <v>7092</v>
      </c>
      <c r="F193" s="3" t="s">
        <v>7093</v>
      </c>
      <c r="G193" s="3" t="s">
        <v>7094</v>
      </c>
      <c r="H193" s="6" t="s">
        <v>7095</v>
      </c>
      <c r="I193" s="4" t="s">
        <v>7096</v>
      </c>
      <c r="J193" s="5" t="str">
        <f>IFERROR(__xludf.DUMMYFUNCTION("GOOGLETRANSLATE(I193,""zh_HANT"",""zh_HANS"")"),"蓝羽毛")</f>
        <v>蓝羽毛</v>
      </c>
    </row>
    <row r="194">
      <c r="A194" s="5" t="str">
        <f t="shared" si="11"/>
        <v>NAME_FORM_YELLOWPLUMAGE</v>
      </c>
      <c r="B194" s="3" t="s">
        <v>7097</v>
      </c>
      <c r="C194" s="3" t="s">
        <v>7098</v>
      </c>
      <c r="D194" s="3" t="s">
        <v>7099</v>
      </c>
      <c r="E194" s="3" t="s">
        <v>7100</v>
      </c>
      <c r="F194" s="3" t="s">
        <v>7101</v>
      </c>
      <c r="G194" s="3" t="s">
        <v>7102</v>
      </c>
      <c r="H194" s="6" t="s">
        <v>7103</v>
      </c>
      <c r="I194" s="4" t="s">
        <v>7104</v>
      </c>
      <c r="J194" s="5" t="str">
        <f>IFERROR(__xludf.DUMMYFUNCTION("GOOGLETRANSLATE(I194,""zh_HANT"",""zh_HANS"")"),"黄羽毛")</f>
        <v>黄羽毛</v>
      </c>
    </row>
    <row r="195">
      <c r="A195" s="5" t="str">
        <f t="shared" si="11"/>
        <v>NAME_FORM_WHITEPLUMAGE</v>
      </c>
      <c r="B195" s="3" t="s">
        <v>7105</v>
      </c>
      <c r="C195" s="3" t="s">
        <v>7106</v>
      </c>
      <c r="D195" s="3" t="s">
        <v>7107</v>
      </c>
      <c r="E195" s="3" t="s">
        <v>7108</v>
      </c>
      <c r="F195" s="3" t="s">
        <v>7109</v>
      </c>
      <c r="G195" s="3" t="s">
        <v>7110</v>
      </c>
      <c r="H195" s="3" t="s">
        <v>7111</v>
      </c>
      <c r="I195" s="4" t="s">
        <v>7112</v>
      </c>
      <c r="J195" s="5" t="str">
        <f>I195</f>
        <v>白羽毛</v>
      </c>
    </row>
    <row r="196">
      <c r="A196" s="5" t="str">
        <f t="shared" si="11"/>
        <v>NAME_FORM_TWO-SEGMENTFORM</v>
      </c>
      <c r="B196" s="3" t="s">
        <v>7113</v>
      </c>
      <c r="C196" s="3" t="s">
        <v>7114</v>
      </c>
      <c r="D196" s="3" t="s">
        <v>7115</v>
      </c>
      <c r="E196" s="3" t="s">
        <v>7116</v>
      </c>
      <c r="F196" s="3" t="s">
        <v>7117</v>
      </c>
      <c r="G196" s="3" t="s">
        <v>7118</v>
      </c>
      <c r="H196" s="3" t="s">
        <v>7119</v>
      </c>
      <c r="I196" s="5" t="str">
        <f>IFERROR(__xludf.DUMMYFUNCTION("GOOGLETRANSLATE(J196,""zh_HANS"",""zh_HANT"")"),"二節形態")</f>
        <v>二節形態</v>
      </c>
      <c r="J196" s="3" t="s">
        <v>7120</v>
      </c>
    </row>
    <row r="197">
      <c r="A197" s="5" t="str">
        <f t="shared" si="11"/>
        <v>NAME_FORM_THREE-SEGMENTFORM</v>
      </c>
      <c r="B197" s="3" t="s">
        <v>7121</v>
      </c>
      <c r="C197" s="3" t="s">
        <v>7122</v>
      </c>
      <c r="D197" s="3" t="s">
        <v>7123</v>
      </c>
      <c r="E197" s="3" t="s">
        <v>7124</v>
      </c>
      <c r="F197" s="3" t="s">
        <v>7125</v>
      </c>
      <c r="G197" s="3" t="s">
        <v>7126</v>
      </c>
      <c r="H197" s="3" t="s">
        <v>7127</v>
      </c>
      <c r="I197" s="5" t="str">
        <f>IFERROR(__xludf.DUMMYFUNCTION("GOOGLETRANSLATE(J197,""zh_HANS"",""zh_HANT"")"),"三節形態")</f>
        <v>三節形態</v>
      </c>
      <c r="J197" s="3" t="s">
        <v>7128</v>
      </c>
    </row>
    <row r="198">
      <c r="A198" s="5" t="str">
        <f t="shared" si="11"/>
        <v>NAME_FORM_ZEROFORM</v>
      </c>
      <c r="B198" s="3" t="s">
        <v>7129</v>
      </c>
      <c r="C198" s="3" t="s">
        <v>7130</v>
      </c>
      <c r="D198" s="3" t="s">
        <v>7131</v>
      </c>
      <c r="E198" s="3" t="s">
        <v>7132</v>
      </c>
      <c r="F198" s="3" t="s">
        <v>7133</v>
      </c>
      <c r="G198" s="3" t="str">
        <f>F198</f>
        <v>Forma Ingenua</v>
      </c>
      <c r="H198" s="3" t="s">
        <v>7134</v>
      </c>
      <c r="I198" s="5" t="str">
        <f>IFERROR(__xludf.DUMMYFUNCTION("GOOGLETRANSLATE(J198,""zh_HANS"",""zh_HANT"")"),"平凡形態")</f>
        <v>平凡形態</v>
      </c>
      <c r="J198" s="3" t="s">
        <v>7135</v>
      </c>
    </row>
    <row r="199">
      <c r="A199" s="5" t="str">
        <f t="shared" si="11"/>
        <v>NAME_FORM_HEROFORM</v>
      </c>
      <c r="B199" s="3" t="s">
        <v>7136</v>
      </c>
      <c r="C199" s="3" t="s">
        <v>7137</v>
      </c>
      <c r="D199" s="3" t="s">
        <v>7138</v>
      </c>
      <c r="E199" s="3" t="s">
        <v>7139</v>
      </c>
      <c r="F199" s="3" t="s">
        <v>7140</v>
      </c>
      <c r="G199" s="3" t="s">
        <v>7141</v>
      </c>
      <c r="H199" s="3" t="s">
        <v>7142</v>
      </c>
      <c r="I199" s="5" t="str">
        <f>IFERROR(__xludf.DUMMYFUNCTION("GOOGLETRANSLATE(J199,""zh_HANS"",""zh_HANT"")"),"全能形態")</f>
        <v>全能形態</v>
      </c>
      <c r="J199" s="3" t="s">
        <v>7143</v>
      </c>
    </row>
    <row r="200">
      <c r="A200" s="5" t="str">
        <f t="shared" si="11"/>
        <v>NAME_FORM_CURLYFORM</v>
      </c>
      <c r="B200" s="3" t="s">
        <v>7144</v>
      </c>
      <c r="C200" s="3" t="s">
        <v>7145</v>
      </c>
      <c r="D200" s="3" t="s">
        <v>7146</v>
      </c>
      <c r="E200" s="3" t="s">
        <v>7147</v>
      </c>
      <c r="F200" s="3" t="s">
        <v>7148</v>
      </c>
      <c r="G200" s="3" t="s">
        <v>7149</v>
      </c>
      <c r="H200" s="3" t="s">
        <v>7150</v>
      </c>
      <c r="I200" s="4" t="s">
        <v>7151</v>
      </c>
      <c r="J200" s="5" t="str">
        <f>IFERROR(__xludf.DUMMYFUNCTION("GOOGLETRANSLATE(I200,""zh_HANT"",""zh_HANS"")"),"上弓姿势")</f>
        <v>上弓姿势</v>
      </c>
    </row>
    <row r="201">
      <c r="A201" s="5" t="str">
        <f t="shared" si="11"/>
        <v>NAME_FORM_DROOPYFORM</v>
      </c>
      <c r="B201" s="3" t="s">
        <v>7152</v>
      </c>
      <c r="C201" s="3" t="s">
        <v>7153</v>
      </c>
      <c r="D201" s="3" t="s">
        <v>7154</v>
      </c>
      <c r="E201" s="3" t="s">
        <v>7155</v>
      </c>
      <c r="F201" s="3" t="s">
        <v>7156</v>
      </c>
      <c r="G201" s="3" t="s">
        <v>7157</v>
      </c>
      <c r="H201" s="3" t="s">
        <v>7158</v>
      </c>
      <c r="I201" s="4" t="s">
        <v>7159</v>
      </c>
      <c r="J201" s="5" t="str">
        <f>IFERROR(__xludf.DUMMYFUNCTION("GOOGLETRANSLATE(I201,""zh_HANT"",""zh_HANS"")"),"下垂姿势")</f>
        <v>下垂姿势</v>
      </c>
    </row>
    <row r="202">
      <c r="A202" s="5" t="str">
        <f t="shared" si="11"/>
        <v>NAME_FORM_STRETCHYFORM</v>
      </c>
      <c r="B202" s="3" t="s">
        <v>7160</v>
      </c>
      <c r="C202" s="3" t="s">
        <v>7161</v>
      </c>
      <c r="D202" s="3" t="s">
        <v>7162</v>
      </c>
      <c r="E202" s="3" t="s">
        <v>7163</v>
      </c>
      <c r="F202" s="3" t="s">
        <v>7164</v>
      </c>
      <c r="G202" s="3" t="s">
        <v>7165</v>
      </c>
      <c r="H202" s="3" t="s">
        <v>7166</v>
      </c>
      <c r="I202" s="4" t="s">
        <v>7167</v>
      </c>
      <c r="J202" s="5" t="str">
        <f>IFERROR(__xludf.DUMMYFUNCTION("GOOGLETRANSLATE(I202,""zh_HANT"",""zh_HANS"")"),"平挺姿势")</f>
        <v>平挺姿势</v>
      </c>
    </row>
    <row r="203">
      <c r="A203" s="5" t="str">
        <f t="shared" si="11"/>
        <v>NAME_FORM_CHESTFORM</v>
      </c>
      <c r="B203" s="3" t="s">
        <v>7168</v>
      </c>
      <c r="C203" s="3" t="s">
        <v>7169</v>
      </c>
      <c r="D203" s="3" t="s">
        <v>7170</v>
      </c>
      <c r="E203" s="3" t="s">
        <v>7171</v>
      </c>
      <c r="F203" s="3" t="s">
        <v>7172</v>
      </c>
      <c r="G203" s="3" t="s">
        <v>7173</v>
      </c>
      <c r="H203" s="3" t="s">
        <v>7174</v>
      </c>
      <c r="I203" s="4" t="s">
        <v>7175</v>
      </c>
      <c r="J203" s="5" t="str">
        <f>IFERROR(__xludf.DUMMYFUNCTION("GOOGLETRANSLATE(I203,""zh_HANT"",""zh_HANS"")"),"宝箱形态")</f>
        <v>宝箱形态</v>
      </c>
    </row>
    <row r="204">
      <c r="A204" s="5" t="str">
        <f t="shared" si="11"/>
        <v>NAME_FORM_ROAMINGFORM</v>
      </c>
      <c r="B204" s="3" t="s">
        <v>7176</v>
      </c>
      <c r="C204" s="3" t="s">
        <v>7177</v>
      </c>
      <c r="D204" s="3" t="s">
        <v>7178</v>
      </c>
      <c r="E204" s="3" t="s">
        <v>7179</v>
      </c>
      <c r="F204" s="3" t="s">
        <v>7180</v>
      </c>
      <c r="G204" s="3" t="s">
        <v>7181</v>
      </c>
      <c r="H204" s="3" t="s">
        <v>7182</v>
      </c>
      <c r="I204" s="4" t="s">
        <v>7183</v>
      </c>
      <c r="J204" s="5" t="str">
        <f>IFERROR(__xludf.DUMMYFUNCTION("GOOGLETRANSLATE(I204,""zh_HANT"",""zh_HANS"")"),"徒步形态")</f>
        <v>徒步形态</v>
      </c>
    </row>
    <row r="205">
      <c r="A205" s="5" t="str">
        <f t="shared" si="11"/>
        <v>NAME_FORM_LIMITEDPOWER</v>
      </c>
      <c r="B205" s="3" t="s">
        <v>7184</v>
      </c>
      <c r="C205" s="3" t="s">
        <v>7185</v>
      </c>
      <c r="D205" s="3" t="s">
        <v>7186</v>
      </c>
      <c r="E205" s="3" t="s">
        <v>7187</v>
      </c>
      <c r="F205" s="3" t="s">
        <v>7188</v>
      </c>
      <c r="G205" s="3" t="s">
        <v>7189</v>
      </c>
      <c r="H205" s="3" t="s">
        <v>7190</v>
      </c>
      <c r="I205" s="4" t="s">
        <v>7191</v>
      </c>
      <c r="J205" s="5" t="str">
        <f>IFERROR(__xludf.DUMMYFUNCTION("GOOGLETRANSLATE(I205,""zh_HANT"",""zh_HANS"")"),"制限形态")</f>
        <v>制限形态</v>
      </c>
    </row>
    <row r="206">
      <c r="A206" s="5" t="str">
        <f t="shared" si="11"/>
        <v>NAME_FORM_SPRINTINGBUILD</v>
      </c>
      <c r="B206" s="3" t="s">
        <v>7192</v>
      </c>
      <c r="C206" s="3" t="s">
        <v>7193</v>
      </c>
      <c r="D206" s="3" t="s">
        <v>7194</v>
      </c>
      <c r="E206" s="3" t="s">
        <v>7195</v>
      </c>
      <c r="F206" s="3" t="s">
        <v>7196</v>
      </c>
      <c r="G206" s="3" t="s">
        <v>7197</v>
      </c>
      <c r="H206" s="3" t="s">
        <v>7198</v>
      </c>
      <c r="I206" s="4" t="s">
        <v>7199</v>
      </c>
      <c r="J206" s="5" t="str">
        <f>IFERROR(__xludf.DUMMYFUNCTION("GOOGLETRANSLATE(I206,""zh_HANT"",""zh_HANS"")"),"疾驰形态")</f>
        <v>疾驰形态</v>
      </c>
    </row>
    <row r="207">
      <c r="A207" s="5" t="str">
        <f t="shared" si="11"/>
        <v>NAME_FORM_SWIMMINGBUILD</v>
      </c>
      <c r="B207" s="3" t="s">
        <v>7200</v>
      </c>
      <c r="C207" s="3" t="s">
        <v>7201</v>
      </c>
      <c r="D207" s="3" t="s">
        <v>7202</v>
      </c>
      <c r="E207" s="3" t="s">
        <v>7203</v>
      </c>
      <c r="F207" s="3" t="s">
        <v>7204</v>
      </c>
      <c r="G207" s="3" t="s">
        <v>7205</v>
      </c>
      <c r="H207" s="3" t="s">
        <v>7206</v>
      </c>
      <c r="I207" s="4" t="s">
        <v>7207</v>
      </c>
      <c r="J207" s="5" t="str">
        <f>IFERROR(__xludf.DUMMYFUNCTION("GOOGLETRANSLATE(I207,""zh_HANT"",""zh_HANS"")"),"破浪形态")</f>
        <v>破浪形态</v>
      </c>
    </row>
    <row r="208">
      <c r="A208" s="5" t="str">
        <f t="shared" si="11"/>
        <v>NAME_FORM_GLIDINGBUILD</v>
      </c>
      <c r="B208" s="3" t="s">
        <v>7208</v>
      </c>
      <c r="C208" s="3" t="s">
        <v>7209</v>
      </c>
      <c r="D208" s="3" t="s">
        <v>7210</v>
      </c>
      <c r="E208" s="3" t="s">
        <v>7211</v>
      </c>
      <c r="F208" s="3" t="s">
        <v>7212</v>
      </c>
      <c r="G208" s="3" t="s">
        <v>7213</v>
      </c>
      <c r="H208" s="3" t="s">
        <v>7214</v>
      </c>
      <c r="I208" s="4" t="s">
        <v>7215</v>
      </c>
      <c r="J208" s="5" t="str">
        <f>IFERROR(__xludf.DUMMYFUNCTION("GOOGLETRANSLATE(I208,""zh_HANT"",""zh_HANS"")"),"乘风形态")</f>
        <v>乘风形态</v>
      </c>
    </row>
    <row r="209">
      <c r="A209" s="5" t="str">
        <f t="shared" si="11"/>
        <v>NAME_FORM_APEXBUILD</v>
      </c>
      <c r="B209" s="3" t="s">
        <v>7216</v>
      </c>
      <c r="C209" s="3" t="s">
        <v>7217</v>
      </c>
      <c r="D209" s="3" t="s">
        <v>7218</v>
      </c>
      <c r="E209" s="3" t="s">
        <v>7219</v>
      </c>
      <c r="F209" s="3" t="s">
        <v>7220</v>
      </c>
      <c r="G209" s="3" t="s">
        <v>7221</v>
      </c>
      <c r="H209" s="3" t="s">
        <v>7222</v>
      </c>
      <c r="I209" s="4" t="s">
        <v>7223</v>
      </c>
      <c r="J209" s="5" t="str">
        <f>IFERROR(__xludf.DUMMYFUNCTION("GOOGLETRANSLATE(I209,""zh_HANT"",""zh_HANS"")"),"完全形态")</f>
        <v>完全形态</v>
      </c>
    </row>
    <row r="210">
      <c r="A210" s="5" t="str">
        <f t="shared" si="11"/>
        <v>NAME_FORM_LOWERPOWER</v>
      </c>
      <c r="B210" s="3" t="s">
        <v>7224</v>
      </c>
      <c r="C210" s="3" t="s">
        <v>7225</v>
      </c>
      <c r="D210" s="3" t="s">
        <v>7226</v>
      </c>
      <c r="E210" s="3" t="s">
        <v>7227</v>
      </c>
      <c r="F210" s="3" t="s">
        <v>7228</v>
      </c>
      <c r="G210" s="3" t="s">
        <v>7229</v>
      </c>
      <c r="H210" s="3" t="s">
        <v>7230</v>
      </c>
      <c r="I210" s="4" t="s">
        <v>7231</v>
      </c>
      <c r="J210" s="5" t="str">
        <f>IFERROR(__xludf.DUMMYFUNCTION("GOOGLETRANSLATE(I210,""zh_HANT"",""zh_HANS"")"),"受限模式")</f>
        <v>受限模式</v>
      </c>
    </row>
    <row r="211">
      <c r="A211" s="5" t="str">
        <f t="shared" si="11"/>
        <v>NAME_FORM_DRIVEMODE</v>
      </c>
      <c r="B211" s="3" t="s">
        <v>7232</v>
      </c>
      <c r="C211" s="3" t="s">
        <v>7233</v>
      </c>
      <c r="D211" s="3" t="s">
        <v>7234</v>
      </c>
      <c r="E211" s="3" t="s">
        <v>7235</v>
      </c>
      <c r="F211" s="3" t="s">
        <v>7236</v>
      </c>
      <c r="G211" s="3" t="s">
        <v>7237</v>
      </c>
      <c r="H211" s="3" t="s">
        <v>7238</v>
      </c>
      <c r="I211" s="4" t="s">
        <v>7239</v>
      </c>
      <c r="J211" s="5" t="str">
        <f>IFERROR(__xludf.DUMMYFUNCTION("GOOGLETRANSLATE(I211,""zh_HANT"",""zh_HANS"")"),"行驶模式")</f>
        <v>行驶模式</v>
      </c>
    </row>
    <row r="212">
      <c r="A212" s="5" t="str">
        <f t="shared" si="11"/>
        <v>NAME_FORM_AQUATICMODE</v>
      </c>
      <c r="B212" s="3" t="s">
        <v>7240</v>
      </c>
      <c r="C212" s="3" t="s">
        <v>7241</v>
      </c>
      <c r="D212" s="3" t="s">
        <v>7242</v>
      </c>
      <c r="E212" s="3" t="s">
        <v>7243</v>
      </c>
      <c r="F212" s="3" t="s">
        <v>7244</v>
      </c>
      <c r="G212" s="3" t="s">
        <v>7245</v>
      </c>
      <c r="H212" s="3" t="s">
        <v>7246</v>
      </c>
      <c r="I212" s="4" t="s">
        <v>7247</v>
      </c>
      <c r="J212" s="5" t="str">
        <f t="shared" ref="J212:J215" si="13">I212</f>
        <v>浮水模式</v>
      </c>
    </row>
    <row r="213">
      <c r="A213" s="5" t="str">
        <f t="shared" si="11"/>
        <v>NAME_FORM_GLIDEMODE</v>
      </c>
      <c r="B213" s="3" t="s">
        <v>7248</v>
      </c>
      <c r="C213" s="3" t="s">
        <v>7249</v>
      </c>
      <c r="D213" s="3" t="s">
        <v>7250</v>
      </c>
      <c r="E213" s="3" t="s">
        <v>7251</v>
      </c>
      <c r="F213" s="3" t="s">
        <v>7252</v>
      </c>
      <c r="G213" s="3" t="s">
        <v>7253</v>
      </c>
      <c r="H213" s="3" t="s">
        <v>7254</v>
      </c>
      <c r="I213" s="4" t="s">
        <v>7255</v>
      </c>
      <c r="J213" s="5" t="str">
        <f t="shared" si="13"/>
        <v>滑翔模式</v>
      </c>
    </row>
    <row r="214">
      <c r="A214" s="5" t="str">
        <f t="shared" si="11"/>
        <v>NAME_FORM_ULTIMATEMODE</v>
      </c>
      <c r="B214" s="3" t="s">
        <v>7256</v>
      </c>
      <c r="C214" s="3" t="s">
        <v>7257</v>
      </c>
      <c r="D214" s="3" t="s">
        <v>7258</v>
      </c>
      <c r="E214" s="3" t="s">
        <v>7259</v>
      </c>
      <c r="F214" s="3" t="s">
        <v>7260</v>
      </c>
      <c r="G214" s="3" t="s">
        <v>7261</v>
      </c>
      <c r="H214" s="3" t="s">
        <v>7262</v>
      </c>
      <c r="I214" s="4" t="s">
        <v>7263</v>
      </c>
      <c r="J214" s="5" t="str">
        <f t="shared" si="13"/>
        <v>完整模式</v>
      </c>
    </row>
    <row r="215">
      <c r="A215" s="5" t="str">
        <f t="shared" si="11"/>
        <v>NAME_FORM_BLOODMOON</v>
      </c>
      <c r="B215" s="3" t="s">
        <v>7264</v>
      </c>
      <c r="C215" s="3" t="s">
        <v>7265</v>
      </c>
      <c r="D215" s="3" t="s">
        <v>7266</v>
      </c>
      <c r="E215" s="3" t="s">
        <v>7267</v>
      </c>
      <c r="F215" s="3" t="s">
        <v>7268</v>
      </c>
      <c r="G215" s="3" t="s">
        <v>7269</v>
      </c>
      <c r="H215" s="3" t="s">
        <v>7270</v>
      </c>
      <c r="I215" s="3" t="s">
        <v>7271</v>
      </c>
      <c r="J215" s="5" t="str">
        <f t="shared" si="13"/>
        <v>赫月</v>
      </c>
    </row>
    <row r="216">
      <c r="A216" s="5" t="str">
        <f t="shared" si="11"/>
        <v>NAME_FORM_COUNTERFEITFORM</v>
      </c>
      <c r="B216" s="3" t="s">
        <v>7272</v>
      </c>
      <c r="C216" s="3" t="s">
        <v>7273</v>
      </c>
      <c r="D216" s="3" t="s">
        <v>7274</v>
      </c>
      <c r="E216" s="3" t="s">
        <v>7275</v>
      </c>
      <c r="F216" s="3" t="s">
        <v>7276</v>
      </c>
      <c r="G216" s="3" t="s">
        <v>7277</v>
      </c>
      <c r="H216" s="3" t="s">
        <v>7278</v>
      </c>
      <c r="I216" s="5" t="str">
        <f>IFERROR(__xludf.DUMMYFUNCTION("GOOGLETRANSLATE(J216,""zh_HANS"",""zh_HANT"")"),"冒牌貨的樣子")</f>
        <v>冒牌貨的樣子</v>
      </c>
      <c r="J216" s="3" t="s">
        <v>7279</v>
      </c>
    </row>
    <row r="217">
      <c r="A217" s="5" t="str">
        <f t="shared" si="11"/>
        <v>NAME_FORM_ARTISANFORM</v>
      </c>
      <c r="B217" s="3" t="s">
        <v>7280</v>
      </c>
      <c r="C217" s="3" t="s">
        <v>7281</v>
      </c>
      <c r="D217" s="3" t="s">
        <v>7282</v>
      </c>
      <c r="E217" s="3" t="s">
        <v>7283</v>
      </c>
      <c r="F217" s="3" t="s">
        <v>7284</v>
      </c>
      <c r="G217" s="3" t="s">
        <v>7285</v>
      </c>
      <c r="H217" s="3" t="s">
        <v>7286</v>
      </c>
      <c r="I217" s="5" t="str">
        <f>IFERROR(__xludf.DUMMYFUNCTION("GOOGLETRANSLATE(J217,""zh_HANS"",""zh_HANT"")"),"高檔貨的樣子")</f>
        <v>高檔貨的樣子</v>
      </c>
      <c r="J217" s="3" t="s">
        <v>7287</v>
      </c>
    </row>
    <row r="218">
      <c r="A218" s="5" t="str">
        <f t="shared" si="11"/>
        <v>NAME_FORM_UNREMARKABLEFORM</v>
      </c>
      <c r="B218" s="3" t="s">
        <v>7288</v>
      </c>
      <c r="C218" s="3" t="s">
        <v>7289</v>
      </c>
      <c r="D218" s="3" t="s">
        <v>7290</v>
      </c>
      <c r="E218" s="3" t="s">
        <v>7291</v>
      </c>
      <c r="F218" s="3" t="s">
        <v>7292</v>
      </c>
      <c r="G218" s="3" t="s">
        <v>7293</v>
      </c>
      <c r="H218" s="3" t="s">
        <v>7294</v>
      </c>
      <c r="I218" s="5" t="str">
        <f>IFERROR(__xludf.DUMMYFUNCTION("GOOGLETRANSLATE(J218,""zh_HANS"",""zh_HANT"")"),"凡作的樣子")</f>
        <v>凡作的樣子</v>
      </c>
      <c r="J218" s="3" t="s">
        <v>7295</v>
      </c>
    </row>
    <row r="219">
      <c r="A219" s="5" t="str">
        <f>CONCATENATE("NAME_FORM_", SUBSTITUTE(UPPER(B217), " ", ""))</f>
        <v>NAME_FORM_ARTISANFORM</v>
      </c>
      <c r="B219" s="3" t="s">
        <v>7296</v>
      </c>
      <c r="C219" s="3" t="s">
        <v>7297</v>
      </c>
      <c r="D219" s="3" t="s">
        <v>7298</v>
      </c>
      <c r="E219" s="3" t="s">
        <v>7299</v>
      </c>
      <c r="F219" s="3" t="s">
        <v>7300</v>
      </c>
      <c r="G219" s="3" t="s">
        <v>7301</v>
      </c>
      <c r="H219" s="3" t="s">
        <v>7302</v>
      </c>
      <c r="I219" s="5" t="str">
        <f>IFERROR(__xludf.DUMMYFUNCTION("GOOGLETRANSLATE(J219,""zh_HANS"",""zh_HANT"")"),"傑作的樣子")</f>
        <v>傑作的樣子</v>
      </c>
      <c r="J219" s="3" t="s">
        <v>7303</v>
      </c>
    </row>
    <row r="220">
      <c r="A220" s="5" t="str">
        <f t="shared" ref="A220:A223" si="14">CONCATENATE("NAME_FORM_", SUBSTITUTE(UPPER(B220), " ", ""))</f>
        <v>NAME_FORM_TEALMASK</v>
      </c>
      <c r="B220" s="3" t="s">
        <v>7304</v>
      </c>
      <c r="C220" s="3" t="s">
        <v>7305</v>
      </c>
      <c r="D220" s="3" t="s">
        <v>7306</v>
      </c>
      <c r="E220" s="3" t="s">
        <v>7307</v>
      </c>
      <c r="F220" s="3" t="s">
        <v>7308</v>
      </c>
      <c r="G220" s="3" t="s">
        <v>7309</v>
      </c>
      <c r="H220" s="3" t="s">
        <v>7310</v>
      </c>
      <c r="I220" s="3" t="str">
        <f t="shared" ref="I220:I222" si="15">J220</f>
        <v>碧草面具</v>
      </c>
      <c r="J220" s="3" t="s">
        <v>7311</v>
      </c>
    </row>
    <row r="221">
      <c r="A221" s="5" t="str">
        <f t="shared" si="14"/>
        <v>NAME_FORM_WELLSPRINGMASK</v>
      </c>
      <c r="B221" s="3" t="s">
        <v>7312</v>
      </c>
      <c r="C221" s="3" t="s">
        <v>7313</v>
      </c>
      <c r="D221" s="3" t="s">
        <v>7314</v>
      </c>
      <c r="E221" s="3" t="s">
        <v>7315</v>
      </c>
      <c r="F221" s="3" t="s">
        <v>7316</v>
      </c>
      <c r="G221" s="3" t="s">
        <v>7317</v>
      </c>
      <c r="H221" s="3" t="s">
        <v>7318</v>
      </c>
      <c r="I221" s="5" t="str">
        <f t="shared" si="15"/>
        <v>水井面具</v>
      </c>
      <c r="J221" s="3" t="s">
        <v>7319</v>
      </c>
    </row>
    <row r="222">
      <c r="A222" s="5" t="str">
        <f t="shared" si="14"/>
        <v>NAME_FORM_HEARTHFLAMEMASK</v>
      </c>
      <c r="B222" s="3" t="s">
        <v>7320</v>
      </c>
      <c r="C222" s="3" t="s">
        <v>7321</v>
      </c>
      <c r="D222" s="3" t="s">
        <v>7322</v>
      </c>
      <c r="E222" s="3" t="s">
        <v>7323</v>
      </c>
      <c r="F222" s="3" t="s">
        <v>7324</v>
      </c>
      <c r="G222" s="3" t="s">
        <v>7325</v>
      </c>
      <c r="H222" s="3" t="s">
        <v>7326</v>
      </c>
      <c r="I222" s="5" t="str">
        <f t="shared" si="15"/>
        <v>火灶面具</v>
      </c>
      <c r="J222" s="3" t="s">
        <v>7327</v>
      </c>
    </row>
    <row r="223">
      <c r="A223" s="5" t="str">
        <f t="shared" si="14"/>
        <v>NAME_FORM_CORNERSTONEMASK</v>
      </c>
      <c r="B223" s="3" t="s">
        <v>7328</v>
      </c>
      <c r="C223" s="3" t="s">
        <v>7329</v>
      </c>
      <c r="D223" s="3" t="s">
        <v>7330</v>
      </c>
      <c r="E223" s="3" t="s">
        <v>7331</v>
      </c>
      <c r="F223" s="3" t="s">
        <v>7332</v>
      </c>
      <c r="G223" s="3" t="s">
        <v>7333</v>
      </c>
      <c r="H223" s="3" t="s">
        <v>7334</v>
      </c>
      <c r="I223" s="5" t="str">
        <f>IFERROR(__xludf.DUMMYFUNCTION("GOOGLETRANSLATE(J223,""zh_HANS"",""zh_HANT"")"),"石岩面具")</f>
        <v>石岩面具</v>
      </c>
      <c r="J223" s="3" t="s">
        <v>7335</v>
      </c>
    </row>
    <row r="224">
      <c r="A224" s="5" t="str">
        <f>CONCATENATE(A5,"-T")</f>
        <v>NAME_FORM_NORMALFORM-T</v>
      </c>
      <c r="B224" s="3" t="str">
        <f>B5</f>
        <v>Normal Form</v>
      </c>
      <c r="C224" s="3" t="str">
        <f>CONCATENATE(Types!C2,"フォルム")</f>
        <v>ノーマルフォルム</v>
      </c>
      <c r="D224" s="3" t="str">
        <f t="shared" ref="D224:F224" si="16">D5</f>
        <v>Forme Normale</v>
      </c>
      <c r="E224" s="3" t="str">
        <f t="shared" si="16"/>
        <v>Normalform</v>
      </c>
      <c r="F224" s="3" t="str">
        <f t="shared" si="16"/>
        <v>Forma Normal</v>
      </c>
      <c r="G224" s="3" t="str">
        <f>CONCATENATE("Forma ",Types!G2)</f>
        <v>Forma Normale</v>
      </c>
      <c r="H224" s="3" t="str">
        <f>H5</f>
        <v>캐스퐁의 모습</v>
      </c>
      <c r="I224" s="5" t="str">
        <f>IFERROR(__xludf.DUMMYFUNCTION("GOOGLETRANSLATE(J224,""zh_HANS"",""zh_HANT"")"),"普通形態")</f>
        <v>普通形態</v>
      </c>
      <c r="J224" s="3" t="s">
        <v>7336</v>
      </c>
    </row>
    <row r="225">
      <c r="A225" s="5" t="str">
        <f t="shared" ref="A225:A226" si="17">CONCATENATE("NAME_FORM_", SUBSTITUTE(UPPER(B225), " ", ""))</f>
        <v>NAME_FORM_TERASTALFORM</v>
      </c>
      <c r="B225" s="3" t="s">
        <v>7337</v>
      </c>
      <c r="C225" s="3" t="str">
        <f>CONCATENATE(Categories!C1051,"フォルム")</f>
        <v>テラスタルフォルム</v>
      </c>
      <c r="D225" s="3" t="str">
        <f>CONCATENATE("Forme ",Categories!D1051)</f>
        <v>Forme Téracristal</v>
      </c>
      <c r="E225" s="3" t="str">
        <f>CONCATENATE(Categories!E1051, "-Form")</f>
        <v>Terakristall-Form</v>
      </c>
      <c r="F225" s="3" t="str">
        <f>CONCATENATE("Forma ",Categories!F1051)</f>
        <v>Forma Teracristal</v>
      </c>
      <c r="G225" s="3" t="str">
        <f>CONCATENATE("Forma ",Categories!G1051)</f>
        <v>Forma Teracristal</v>
      </c>
      <c r="H225" s="3" t="str">
        <f>CONCATENATE(Categories!H1051, " 모습")</f>
        <v>테라스탈포 모습</v>
      </c>
      <c r="I225" s="5" t="str">
        <f>IFERROR(__xludf.DUMMYFUNCTION("GOOGLETRANSLATE(J225,""zh_HANS"",""zh_HANT"")"),"太晶形態")</f>
        <v>太晶形態</v>
      </c>
      <c r="J225" s="3" t="s">
        <v>7338</v>
      </c>
    </row>
    <row r="226">
      <c r="A226" s="5" t="str">
        <f t="shared" si="17"/>
        <v>NAME_FORM_STELLARFORM</v>
      </c>
      <c r="B226" s="3" t="str">
        <f>CONCATENATE(Types!B20, " Form")</f>
        <v>Stellar Form</v>
      </c>
      <c r="C226" s="3" t="str">
        <f>CONCATENATE(Types!C20,"フォルム")</f>
        <v>ステラフォルム</v>
      </c>
      <c r="D226" s="3" t="str">
        <f>CONCATENATE("Forme ",Types!D20)</f>
        <v>Forme Stellaire</v>
      </c>
      <c r="E226" s="3" t="str">
        <f>CONCATENATE(Types!E20, "form")</f>
        <v>Stellarform</v>
      </c>
      <c r="F226" s="3" t="str">
        <f>CONCATENATE("Forma ",Types!F20)</f>
        <v>Forma Astral</v>
      </c>
      <c r="G226" s="3" t="str">
        <f>CONCATENATE("Forma ",Types!G20)</f>
        <v>Forma Astrale</v>
      </c>
      <c r="H226" s="3" t="str">
        <f>CONCATENATE(Types!H20, " 모습")</f>
        <v>스텔라 모습</v>
      </c>
      <c r="I226" s="3" t="str">
        <f>CONCATENATE(Types!I20, "形態")</f>
        <v>星晶形態</v>
      </c>
      <c r="J226" s="5" t="str">
        <f>IFERROR(__xludf.DUMMYFUNCTION("GOOGLETRANSLATE(I226,""zh_HANT"",""zh_HANS"")"),"星晶形态")</f>
        <v>星晶形态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88"/>
    <col customWidth="1" min="7" max="7" width="16.63"/>
  </cols>
  <sheetData>
    <row r="1">
      <c r="A1" s="2" t="str">
        <f>Pokemon!A1</f>
        <v>keys</v>
      </c>
      <c r="B1" s="2" t="str">
        <f>Pokemon!B1</f>
        <v>en</v>
      </c>
      <c r="C1" s="2" t="str">
        <f>Pokemon!C1</f>
        <v>ja</v>
      </c>
      <c r="D1" s="2" t="str">
        <f>Pokemon!D1</f>
        <v>fr</v>
      </c>
      <c r="E1" s="2" t="str">
        <f>Pokemon!E1</f>
        <v>de</v>
      </c>
      <c r="F1" s="2" t="str">
        <f>Pokemon!F1</f>
        <v>es</v>
      </c>
      <c r="G1" s="2" t="str">
        <f>Pokemon!G1</f>
        <v>it</v>
      </c>
      <c r="H1" s="2" t="str">
        <f>Pokemon!H1</f>
        <v>ko</v>
      </c>
      <c r="I1" s="2" t="str">
        <f>Pokemon!I1</f>
        <v>zh_HK</v>
      </c>
      <c r="J1" s="2" t="str">
        <f>Pokemon!J1</f>
        <v>zh</v>
      </c>
      <c r="K1" s="2" t="str">
        <f>Pokemon!K1</f>
        <v/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>CONCATENATE("CATEGORY_",UPPER(Pokemon!B2))</f>
        <v>CATEGORY_BULBASAUR</v>
      </c>
      <c r="B2" s="3" t="s">
        <v>7339</v>
      </c>
      <c r="C2" s="3" t="s">
        <v>7340</v>
      </c>
      <c r="D2" s="3" t="s">
        <v>7341</v>
      </c>
      <c r="E2" s="3" t="s">
        <v>7342</v>
      </c>
      <c r="F2" s="3" t="s">
        <v>7343</v>
      </c>
      <c r="G2" s="3" t="s">
        <v>7344</v>
      </c>
      <c r="H2" s="3" t="s">
        <v>7345</v>
      </c>
      <c r="I2" s="3" t="s">
        <v>7346</v>
      </c>
      <c r="J2" s="5" t="str">
        <f>IFERROR(__xludf.DUMMYFUNCTION("GOOGLETRANSLATE(I2, ""zh_HANT"",""zh_HANS"")"),"种子")</f>
        <v>种子</v>
      </c>
    </row>
    <row r="3">
      <c r="A3" s="5" t="str">
        <f>CONCATENATE("CATEGORY_",UPPER(Pokemon!B3))</f>
        <v>CATEGORY_IVYSAUR</v>
      </c>
      <c r="B3" s="5" t="str">
        <f t="shared" ref="B3:J3" si="1">B2</f>
        <v>Seed</v>
      </c>
      <c r="C3" s="5" t="str">
        <f t="shared" si="1"/>
        <v>たね</v>
      </c>
      <c r="D3" s="5" t="str">
        <f t="shared" si="1"/>
        <v>Graine</v>
      </c>
      <c r="E3" s="5" t="str">
        <f t="shared" si="1"/>
        <v>Samen</v>
      </c>
      <c r="F3" s="5" t="str">
        <f t="shared" si="1"/>
        <v>Semilla</v>
      </c>
      <c r="G3" s="5" t="str">
        <f t="shared" si="1"/>
        <v>Seme</v>
      </c>
      <c r="H3" s="5" t="str">
        <f t="shared" si="1"/>
        <v>씨앗</v>
      </c>
      <c r="I3" s="5" t="str">
        <f t="shared" si="1"/>
        <v>種子</v>
      </c>
      <c r="J3" s="5" t="str">
        <f t="shared" si="1"/>
        <v>种子</v>
      </c>
    </row>
    <row r="4">
      <c r="A4" s="5" t="str">
        <f>CONCATENATE("CATEGORY_",UPPER(Pokemon!B4))</f>
        <v>CATEGORY_VENUSAUR</v>
      </c>
      <c r="B4" s="5" t="str">
        <f t="shared" ref="B4:J4" si="2">B2</f>
        <v>Seed</v>
      </c>
      <c r="C4" s="5" t="str">
        <f t="shared" si="2"/>
        <v>たね</v>
      </c>
      <c r="D4" s="5" t="str">
        <f t="shared" si="2"/>
        <v>Graine</v>
      </c>
      <c r="E4" s="5" t="str">
        <f t="shared" si="2"/>
        <v>Samen</v>
      </c>
      <c r="F4" s="5" t="str">
        <f t="shared" si="2"/>
        <v>Semilla</v>
      </c>
      <c r="G4" s="5" t="str">
        <f t="shared" si="2"/>
        <v>Seme</v>
      </c>
      <c r="H4" s="5" t="str">
        <f t="shared" si="2"/>
        <v>씨앗</v>
      </c>
      <c r="I4" s="5" t="str">
        <f t="shared" si="2"/>
        <v>種子</v>
      </c>
      <c r="J4" s="5" t="str">
        <f t="shared" si="2"/>
        <v>种子</v>
      </c>
    </row>
    <row r="5">
      <c r="A5" s="5" t="str">
        <f>CONCATENATE("CATEGORY_",UPPER(Pokemon!B5))</f>
        <v>CATEGORY_CHARMANDER</v>
      </c>
      <c r="B5" s="3" t="s">
        <v>7347</v>
      </c>
      <c r="C5" s="3" t="s">
        <v>7348</v>
      </c>
      <c r="D5" s="3" t="s">
        <v>7349</v>
      </c>
      <c r="E5" s="3" t="s">
        <v>7350</v>
      </c>
      <c r="F5" s="3" t="s">
        <v>7351</v>
      </c>
      <c r="G5" s="7" t="s">
        <v>7352</v>
      </c>
      <c r="H5" s="3" t="s">
        <v>7353</v>
      </c>
      <c r="I5" s="3" t="s">
        <v>7354</v>
      </c>
      <c r="J5" s="5" t="str">
        <f t="shared" ref="J5:J6" si="3">I5</f>
        <v>蜥蜴</v>
      </c>
    </row>
    <row r="6">
      <c r="A6" s="5" t="str">
        <f>CONCATENATE("CATEGORY_",UPPER(Pokemon!B6))</f>
        <v>CATEGORY_CHARMELEON</v>
      </c>
      <c r="B6" s="3" t="s">
        <v>7355</v>
      </c>
      <c r="C6" s="3" t="s">
        <v>7356</v>
      </c>
      <c r="D6" s="3" t="s">
        <v>7357</v>
      </c>
      <c r="E6" s="5" t="str">
        <f>D6</f>
        <v>Flamme</v>
      </c>
      <c r="F6" s="3" t="s">
        <v>7358</v>
      </c>
      <c r="G6" s="3" t="s">
        <v>7359</v>
      </c>
      <c r="H6" s="3" t="s">
        <v>7360</v>
      </c>
      <c r="I6" s="3" t="s">
        <v>7361</v>
      </c>
      <c r="J6" s="5" t="str">
        <f t="shared" si="3"/>
        <v>火焰</v>
      </c>
    </row>
    <row r="7">
      <c r="A7" s="5" t="str">
        <f>CONCATENATE("CATEGORY_",UPPER(Pokemon!B7))</f>
        <v>CATEGORY_CHARIZARD</v>
      </c>
      <c r="B7" s="5" t="str">
        <f t="shared" ref="B7:J7" si="4">B6</f>
        <v>Flame</v>
      </c>
      <c r="C7" s="5" t="str">
        <f t="shared" si="4"/>
        <v>かえん</v>
      </c>
      <c r="D7" s="5" t="str">
        <f t="shared" si="4"/>
        <v>Flamme</v>
      </c>
      <c r="E7" s="5" t="str">
        <f t="shared" si="4"/>
        <v>Flamme</v>
      </c>
      <c r="F7" s="5" t="str">
        <f t="shared" si="4"/>
        <v>Llama</v>
      </c>
      <c r="G7" s="5" t="str">
        <f t="shared" si="4"/>
        <v>Fiamma</v>
      </c>
      <c r="H7" s="5" t="str">
        <f t="shared" si="4"/>
        <v>화염</v>
      </c>
      <c r="I7" s="5" t="str">
        <f t="shared" si="4"/>
        <v>火焰</v>
      </c>
      <c r="J7" s="5" t="str">
        <f t="shared" si="4"/>
        <v>火焰</v>
      </c>
    </row>
    <row r="8">
      <c r="A8" s="5" t="str">
        <f>CONCATENATE("CATEGORY_",UPPER(Pokemon!B8))</f>
        <v>CATEGORY_SQUIRTLE</v>
      </c>
      <c r="B8" s="3" t="s">
        <v>7362</v>
      </c>
      <c r="C8" s="3" t="s">
        <v>7363</v>
      </c>
      <c r="D8" s="3" t="s">
        <v>7364</v>
      </c>
      <c r="E8" s="3" t="s">
        <v>7365</v>
      </c>
      <c r="F8" s="3" t="s">
        <v>7366</v>
      </c>
      <c r="G8" s="3" t="s">
        <v>7367</v>
      </c>
      <c r="H8" s="3" t="s">
        <v>7368</v>
      </c>
      <c r="I8" s="3" t="s">
        <v>7369</v>
      </c>
      <c r="J8" s="5" t="str">
        <f>IFERROR(__xludf.DUMMYFUNCTION("GOOGLETRANSLATE(I8, ""zh_HANT"",""zh_HANS"")"),"小龟")</f>
        <v>小龟</v>
      </c>
    </row>
    <row r="9">
      <c r="A9" s="5" t="str">
        <f>CONCATENATE("CATEGORY_",UPPER(Pokemon!B9))</f>
        <v>CATEGORY_WARTORTLE</v>
      </c>
      <c r="B9" s="3" t="s">
        <v>7370</v>
      </c>
      <c r="C9" s="3" t="s">
        <v>7371</v>
      </c>
      <c r="D9" s="3" t="s">
        <v>7372</v>
      </c>
      <c r="E9" s="3" t="s">
        <v>7373</v>
      </c>
      <c r="F9" s="3" t="s">
        <v>7374</v>
      </c>
      <c r="G9" s="3" t="s">
        <v>7375</v>
      </c>
      <c r="H9" s="3" t="s">
        <v>7376</v>
      </c>
      <c r="I9" s="5" t="str">
        <f>IFERROR(__xludf.DUMMYFUNCTION("GOOGLETRANSLATE(J9,""zh_HANS"",""zh_HANT"")"),"龜")</f>
        <v>龜</v>
      </c>
      <c r="J9" s="7" t="s">
        <v>7377</v>
      </c>
    </row>
    <row r="10">
      <c r="A10" s="5" t="str">
        <f>CONCATENATE("CATEGORY_",UPPER(Pokemon!B10))</f>
        <v>CATEGORY_BLASTOISE</v>
      </c>
      <c r="B10" s="3" t="s">
        <v>7378</v>
      </c>
      <c r="C10" s="3" t="s">
        <v>7379</v>
      </c>
      <c r="D10" s="3" t="s">
        <v>7380</v>
      </c>
      <c r="E10" s="3" t="s">
        <v>7381</v>
      </c>
      <c r="F10" s="3" t="s">
        <v>7382</v>
      </c>
      <c r="G10" s="3" t="s">
        <v>7383</v>
      </c>
      <c r="H10" s="3" t="s">
        <v>7384</v>
      </c>
      <c r="I10" s="3" t="s">
        <v>7385</v>
      </c>
      <c r="J10" s="5" t="str">
        <f>IFERROR(__xludf.DUMMYFUNCTION("GOOGLETRANSLATE(I10, ""zh_HANT"",""zh_HANS"")"),"甲壳")</f>
        <v>甲壳</v>
      </c>
    </row>
    <row r="11">
      <c r="A11" s="5" t="str">
        <f>CONCATENATE("CATEGORY_",UPPER(Pokemon!B11))</f>
        <v>CATEGORY_CATERPIE</v>
      </c>
      <c r="B11" s="3" t="s">
        <v>7386</v>
      </c>
      <c r="C11" s="3" t="s">
        <v>7387</v>
      </c>
      <c r="D11" s="3" t="s">
        <v>7388</v>
      </c>
      <c r="E11" s="3" t="s">
        <v>7389</v>
      </c>
      <c r="F11" s="3" t="s">
        <v>7390</v>
      </c>
      <c r="G11" s="3" t="s">
        <v>7391</v>
      </c>
      <c r="H11" s="3" t="s">
        <v>7392</v>
      </c>
      <c r="I11" s="3" t="s">
        <v>7393</v>
      </c>
      <c r="J11" s="5" t="str">
        <f>IFERROR(__xludf.DUMMYFUNCTION("GOOGLETRANSLATE(I11, ""zh_HANT"",""zh_HANS"")"),"虫宝宝")</f>
        <v>虫宝宝</v>
      </c>
    </row>
    <row r="12">
      <c r="A12" s="5" t="str">
        <f>CONCATENATE("CATEGORY_",UPPER(Pokemon!B12))</f>
        <v>CATEGORY_METAPOD</v>
      </c>
      <c r="B12" s="3" t="s">
        <v>7394</v>
      </c>
      <c r="C12" s="3" t="s">
        <v>7395</v>
      </c>
      <c r="D12" s="3" t="s">
        <v>7396</v>
      </c>
      <c r="E12" s="3" t="s">
        <v>7397</v>
      </c>
      <c r="F12" s="3" t="s">
        <v>7398</v>
      </c>
      <c r="G12" s="3" t="s">
        <v>7399</v>
      </c>
      <c r="H12" s="3" t="s">
        <v>7400</v>
      </c>
      <c r="I12" s="7" t="s">
        <v>7401</v>
      </c>
      <c r="J12" s="5" t="str">
        <f t="shared" ref="J12:J13" si="5">I12</f>
        <v>蛹</v>
      </c>
    </row>
    <row r="13">
      <c r="A13" s="5" t="str">
        <f>CONCATENATE("CATEGORY_",UPPER(Pokemon!B13))</f>
        <v>CATEGORY_BUTTERFREE</v>
      </c>
      <c r="B13" s="3" t="s">
        <v>7402</v>
      </c>
      <c r="C13" s="3" t="s">
        <v>7403</v>
      </c>
      <c r="D13" s="3" t="s">
        <v>7404</v>
      </c>
      <c r="E13" s="3" t="s">
        <v>7405</v>
      </c>
      <c r="F13" s="3" t="s">
        <v>7406</v>
      </c>
      <c r="G13" s="3" t="s">
        <v>7407</v>
      </c>
      <c r="H13" s="3" t="s">
        <v>7408</v>
      </c>
      <c r="I13" s="3" t="s">
        <v>7409</v>
      </c>
      <c r="J13" s="5" t="str">
        <f t="shared" si="5"/>
        <v>蝴蝶</v>
      </c>
    </row>
    <row r="14">
      <c r="A14" s="5" t="str">
        <f>CONCATENATE("CATEGORY_",UPPER(Pokemon!B14))</f>
        <v>CATEGORY_WEEDLE</v>
      </c>
      <c r="B14" s="3" t="s">
        <v>7410</v>
      </c>
      <c r="C14" s="3" t="s">
        <v>7411</v>
      </c>
      <c r="D14" s="3" t="s">
        <v>7412</v>
      </c>
      <c r="E14" s="3" t="s">
        <v>7413</v>
      </c>
      <c r="F14" s="3" t="s">
        <v>7414</v>
      </c>
      <c r="G14" s="3" t="s">
        <v>7415</v>
      </c>
      <c r="H14" s="3" t="s">
        <v>7416</v>
      </c>
      <c r="I14" s="3" t="s">
        <v>7417</v>
      </c>
      <c r="J14" s="5" t="str">
        <f>IFERROR(__xludf.DUMMYFUNCTION("GOOGLETRANSLATE(I14, ""zh_HANT"",""zh_HANS"")"),"毛毛虫")</f>
        <v>毛毛虫</v>
      </c>
    </row>
    <row r="15">
      <c r="A15" s="5" t="str">
        <f>CONCATENATE("CATEGORY_",UPPER(Pokemon!B15))</f>
        <v>CATEGORY_KAKUNA</v>
      </c>
      <c r="B15" s="5" t="str">
        <f t="shared" ref="B15:J15" si="6">B12</f>
        <v>Cocoon</v>
      </c>
      <c r="C15" s="5" t="str">
        <f t="shared" si="6"/>
        <v>さなぎ</v>
      </c>
      <c r="D15" s="5" t="str">
        <f t="shared" si="6"/>
        <v>Cocon</v>
      </c>
      <c r="E15" s="5" t="str">
        <f t="shared" si="6"/>
        <v>Kokon</v>
      </c>
      <c r="F15" s="5" t="str">
        <f t="shared" si="6"/>
        <v>Capullo</v>
      </c>
      <c r="G15" s="5" t="str">
        <f t="shared" si="6"/>
        <v>Bozzolo</v>
      </c>
      <c r="H15" s="5" t="str">
        <f t="shared" si="6"/>
        <v>번데기</v>
      </c>
      <c r="I15" s="5" t="str">
        <f t="shared" si="6"/>
        <v>蛹</v>
      </c>
      <c r="J15" s="5" t="str">
        <f t="shared" si="6"/>
        <v>蛹</v>
      </c>
    </row>
    <row r="16">
      <c r="A16" s="5" t="str">
        <f>CONCATENATE("CATEGORY_",UPPER(Pokemon!B16))</f>
        <v>CATEGORY_BEEDRILL</v>
      </c>
      <c r="B16" s="3" t="s">
        <v>7418</v>
      </c>
      <c r="C16" s="3" t="s">
        <v>7419</v>
      </c>
      <c r="D16" s="3" t="s">
        <v>7420</v>
      </c>
      <c r="E16" s="3" t="s">
        <v>7421</v>
      </c>
      <c r="F16" s="3" t="s">
        <v>7422</v>
      </c>
      <c r="G16" s="3" t="s">
        <v>7423</v>
      </c>
      <c r="H16" s="3" t="s">
        <v>7424</v>
      </c>
      <c r="I16" s="3" t="s">
        <v>7425</v>
      </c>
      <c r="J16" s="5" t="str">
        <f>I16</f>
        <v>毒蜂</v>
      </c>
    </row>
    <row r="17">
      <c r="A17" s="5" t="str">
        <f>CONCATENATE("CATEGORY_",UPPER(Pokemon!B17))</f>
        <v>CATEGORY_PIDGEY</v>
      </c>
      <c r="B17" s="3" t="s">
        <v>7426</v>
      </c>
      <c r="C17" s="3" t="s">
        <v>7427</v>
      </c>
      <c r="D17" s="3" t="s">
        <v>7428</v>
      </c>
      <c r="E17" s="3" t="s">
        <v>7429</v>
      </c>
      <c r="F17" s="3" t="s">
        <v>7430</v>
      </c>
      <c r="G17" s="3" t="s">
        <v>7431</v>
      </c>
      <c r="H17" s="3" t="s">
        <v>7432</v>
      </c>
      <c r="I17" s="7" t="s">
        <v>7433</v>
      </c>
      <c r="J17" s="5" t="str">
        <f>IFERROR(__xludf.DUMMYFUNCTION("GOOGLETRANSLATE(I17, ""zh_HANT"",""zh_HANS"")"),"小鸟")</f>
        <v>小鸟</v>
      </c>
    </row>
    <row r="18">
      <c r="A18" s="5" t="str">
        <f>CONCATENATE("CATEGORY_",UPPER(Pokemon!B18))</f>
        <v>CATEGORY_PIDGEOTTO</v>
      </c>
      <c r="B18" s="3" t="s">
        <v>7434</v>
      </c>
      <c r="C18" s="3" t="s">
        <v>7435</v>
      </c>
      <c r="D18" s="3" t="s">
        <v>7436</v>
      </c>
      <c r="E18" s="3" t="s">
        <v>7437</v>
      </c>
      <c r="F18" s="3" t="s">
        <v>7438</v>
      </c>
      <c r="G18" s="3" t="s">
        <v>7439</v>
      </c>
      <c r="H18" s="3" t="s">
        <v>7440</v>
      </c>
      <c r="I18" s="7" t="s">
        <v>7441</v>
      </c>
      <c r="J18" s="5" t="str">
        <f>IFERROR(__xludf.DUMMYFUNCTION("GOOGLETRANSLATE(I18, ""zh_HANT"",""zh_HANS"")"),"鸟")</f>
        <v>鸟</v>
      </c>
    </row>
    <row r="19">
      <c r="A19" s="5" t="str">
        <f>CONCATENATE("CATEGORY_",UPPER(Pokemon!B19))</f>
        <v>CATEGORY_PIDGEOT</v>
      </c>
      <c r="B19" s="5" t="str">
        <f t="shared" ref="B19:I19" si="7">B18</f>
        <v>Bird</v>
      </c>
      <c r="C19" s="5" t="str">
        <f t="shared" si="7"/>
        <v>とり</v>
      </c>
      <c r="D19" s="5" t="str">
        <f t="shared" si="7"/>
        <v>Oiseau</v>
      </c>
      <c r="E19" s="5" t="str">
        <f t="shared" si="7"/>
        <v>Vogel</v>
      </c>
      <c r="F19" s="5" t="str">
        <f t="shared" si="7"/>
        <v>Pájaro</v>
      </c>
      <c r="G19" s="5" t="str">
        <f t="shared" si="7"/>
        <v>Uccello</v>
      </c>
      <c r="H19" s="5" t="str">
        <f t="shared" si="7"/>
        <v>새</v>
      </c>
      <c r="I19" s="5" t="str">
        <f t="shared" si="7"/>
        <v>鳥</v>
      </c>
      <c r="J19" s="5" t="str">
        <f>IFERROR(__xludf.DUMMYFUNCTION("GOOGLETRANSLATE(I19, ""zh_HANT"",""zh_HANS"")"),"鸟")</f>
        <v>鸟</v>
      </c>
    </row>
    <row r="20">
      <c r="A20" s="5" t="str">
        <f>CONCATENATE("CATEGORY_",UPPER(Pokemon!B20))</f>
        <v>CATEGORY_RATATTA</v>
      </c>
      <c r="B20" s="3" t="s">
        <v>7442</v>
      </c>
      <c r="C20" s="3" t="s">
        <v>7443</v>
      </c>
      <c r="D20" s="3" t="s">
        <v>7444</v>
      </c>
      <c r="E20" s="3" t="s">
        <v>7445</v>
      </c>
      <c r="F20" s="3" t="s">
        <v>7446</v>
      </c>
      <c r="G20" s="3" t="s">
        <v>7447</v>
      </c>
      <c r="H20" s="3" t="s">
        <v>7448</v>
      </c>
      <c r="I20" s="3" t="s">
        <v>7449</v>
      </c>
      <c r="J20" s="5" t="str">
        <f>I20</f>
        <v>鼠</v>
      </c>
    </row>
    <row r="21">
      <c r="A21" s="5" t="str">
        <f>CONCATENATE("CATEGORY_",UPPER(Pokemon!B21))</f>
        <v>CATEGORY_RATICATE</v>
      </c>
      <c r="B21" s="5" t="str">
        <f t="shared" ref="B21:J21" si="8">B20</f>
        <v>Mouse</v>
      </c>
      <c r="C21" s="5" t="str">
        <f t="shared" si="8"/>
        <v>ねずみ</v>
      </c>
      <c r="D21" s="5" t="str">
        <f t="shared" si="8"/>
        <v>Souris</v>
      </c>
      <c r="E21" s="5" t="str">
        <f t="shared" si="8"/>
        <v>Maus</v>
      </c>
      <c r="F21" s="5" t="str">
        <f t="shared" si="8"/>
        <v>Ratón</v>
      </c>
      <c r="G21" s="5" t="str">
        <f t="shared" si="8"/>
        <v>Topo</v>
      </c>
      <c r="H21" s="5" t="str">
        <f t="shared" si="8"/>
        <v>쥐</v>
      </c>
      <c r="I21" s="5" t="str">
        <f t="shared" si="8"/>
        <v>鼠</v>
      </c>
      <c r="J21" s="5" t="str">
        <f t="shared" si="8"/>
        <v>鼠</v>
      </c>
    </row>
    <row r="22">
      <c r="A22" s="5" t="str">
        <f>CONCATENATE("CATEGORY_",UPPER(Pokemon!B22))</f>
        <v>CATEGORY_SPEAROW</v>
      </c>
      <c r="B22" s="5" t="str">
        <f t="shared" ref="B22:J22" si="9">B17</f>
        <v>Tiny Bird</v>
      </c>
      <c r="C22" s="5" t="str">
        <f t="shared" si="9"/>
        <v>ことり</v>
      </c>
      <c r="D22" s="5" t="str">
        <f t="shared" si="9"/>
        <v>Minoiseau</v>
      </c>
      <c r="E22" s="5" t="str">
        <f t="shared" si="9"/>
        <v>Kleinvogel</v>
      </c>
      <c r="F22" s="5" t="str">
        <f t="shared" si="9"/>
        <v>Pajarito</v>
      </c>
      <c r="G22" s="5" t="str">
        <f t="shared" si="9"/>
        <v>Uccellino</v>
      </c>
      <c r="H22" s="5" t="str">
        <f t="shared" si="9"/>
        <v>아기새</v>
      </c>
      <c r="I22" s="5" t="str">
        <f t="shared" si="9"/>
        <v>小鳥</v>
      </c>
      <c r="J22" s="5" t="str">
        <f t="shared" si="9"/>
        <v>小鸟</v>
      </c>
    </row>
    <row r="23">
      <c r="A23" s="5" t="str">
        <f>CONCATENATE("CATEGORY_",UPPER(Pokemon!B23))</f>
        <v>CATEGORY_FEAROW</v>
      </c>
      <c r="B23" s="3" t="s">
        <v>7450</v>
      </c>
      <c r="C23" s="3" t="s">
        <v>7451</v>
      </c>
      <c r="D23" s="3" t="s">
        <v>7452</v>
      </c>
      <c r="E23" s="3" t="s">
        <v>7453</v>
      </c>
      <c r="F23" s="3" t="s">
        <v>7454</v>
      </c>
      <c r="G23" s="3" t="s">
        <v>7455</v>
      </c>
      <c r="H23" s="3" t="s">
        <v>7456</v>
      </c>
      <c r="I23" s="3" t="s">
        <v>7457</v>
      </c>
      <c r="J23" s="5" t="str">
        <f>IFERROR(__xludf.DUMMYFUNCTION("GOOGLETRANSLATE(I23, ""zh_HANT"",""zh_HANS"")"),"鸟嘴")</f>
        <v>鸟嘴</v>
      </c>
    </row>
    <row r="24">
      <c r="A24" s="5" t="str">
        <f>CONCATENATE("CATEGORY_",UPPER(Pokemon!B24))</f>
        <v>CATEGORY_EKANS</v>
      </c>
      <c r="B24" s="3" t="s">
        <v>7458</v>
      </c>
      <c r="C24" s="3" t="s">
        <v>7459</v>
      </c>
      <c r="D24" s="3" t="s">
        <v>7460</v>
      </c>
      <c r="E24" s="3" t="s">
        <v>7461</v>
      </c>
      <c r="F24" s="3" t="s">
        <v>7462</v>
      </c>
      <c r="G24" s="3" t="s">
        <v>7463</v>
      </c>
      <c r="H24" s="3" t="s">
        <v>7464</v>
      </c>
      <c r="I24" s="3" t="s">
        <v>7465</v>
      </c>
      <c r="J24" s="5" t="str">
        <f>I24</f>
        <v>蛇</v>
      </c>
    </row>
    <row r="25">
      <c r="A25" s="5" t="str">
        <f>CONCATENATE("CATEGORY_",UPPER(Pokemon!B25))</f>
        <v>CATEGORY_ARBOK</v>
      </c>
      <c r="B25" s="3" t="s">
        <v>7466</v>
      </c>
      <c r="C25" s="3" t="s">
        <v>7467</v>
      </c>
      <c r="D25" s="3" t="s">
        <v>7466</v>
      </c>
      <c r="E25" s="3" t="s">
        <v>7468</v>
      </c>
      <c r="F25" s="5" t="str">
        <f>B25</f>
        <v>Cobra</v>
      </c>
      <c r="G25" s="5" t="str">
        <f>B25</f>
        <v>Cobra</v>
      </c>
      <c r="H25" s="3" t="s">
        <v>7469</v>
      </c>
      <c r="I25" s="3" t="s">
        <v>7470</v>
      </c>
      <c r="J25" s="5" t="str">
        <f>IFERROR(__xludf.DUMMYFUNCTION("GOOGLETRANSLATE(I25, ""zh_HANT"",""zh_HANS"")"),"眼镜蛇")</f>
        <v>眼镜蛇</v>
      </c>
    </row>
    <row r="26">
      <c r="A26" s="5" t="str">
        <f>CONCATENATE("CATEGORY_",UPPER(Pokemon!B26))</f>
        <v>CATEGORY_PIKACHU</v>
      </c>
      <c r="B26" s="5" t="str">
        <f t="shared" ref="B26:J26" si="10">B20</f>
        <v>Mouse</v>
      </c>
      <c r="C26" s="5" t="str">
        <f t="shared" si="10"/>
        <v>ねずみ</v>
      </c>
      <c r="D26" s="5" t="str">
        <f t="shared" si="10"/>
        <v>Souris</v>
      </c>
      <c r="E26" s="5" t="str">
        <f t="shared" si="10"/>
        <v>Maus</v>
      </c>
      <c r="F26" s="5" t="str">
        <f t="shared" si="10"/>
        <v>Ratón</v>
      </c>
      <c r="G26" s="5" t="str">
        <f t="shared" si="10"/>
        <v>Topo</v>
      </c>
      <c r="H26" s="5" t="str">
        <f t="shared" si="10"/>
        <v>쥐</v>
      </c>
      <c r="I26" s="5" t="str">
        <f t="shared" si="10"/>
        <v>鼠</v>
      </c>
      <c r="J26" s="5" t="str">
        <f t="shared" si="10"/>
        <v>鼠</v>
      </c>
    </row>
    <row r="27">
      <c r="A27" s="5" t="str">
        <f>CONCATENATE("CATEGORY_",UPPER(Pokemon!B27))</f>
        <v>CATEGORY_RAICHU</v>
      </c>
      <c r="B27" s="5" t="str">
        <f t="shared" ref="B27:J27" si="11">B20</f>
        <v>Mouse</v>
      </c>
      <c r="C27" s="5" t="str">
        <f t="shared" si="11"/>
        <v>ねずみ</v>
      </c>
      <c r="D27" s="5" t="str">
        <f t="shared" si="11"/>
        <v>Souris</v>
      </c>
      <c r="E27" s="5" t="str">
        <f t="shared" si="11"/>
        <v>Maus</v>
      </c>
      <c r="F27" s="5" t="str">
        <f t="shared" si="11"/>
        <v>Ratón</v>
      </c>
      <c r="G27" s="5" t="str">
        <f t="shared" si="11"/>
        <v>Topo</v>
      </c>
      <c r="H27" s="5" t="str">
        <f t="shared" si="11"/>
        <v>쥐</v>
      </c>
      <c r="I27" s="5" t="str">
        <f t="shared" si="11"/>
        <v>鼠</v>
      </c>
      <c r="J27" s="5" t="str">
        <f t="shared" si="11"/>
        <v>鼠</v>
      </c>
    </row>
    <row r="28">
      <c r="A28" s="5" t="str">
        <f>CONCATENATE("CATEGORY_",UPPER(Pokemon!B28))</f>
        <v>CATEGORY_SANDSHREW</v>
      </c>
      <c r="B28" s="5" t="str">
        <f t="shared" ref="B28:J28" si="12">B20</f>
        <v>Mouse</v>
      </c>
      <c r="C28" s="5" t="str">
        <f t="shared" si="12"/>
        <v>ねずみ</v>
      </c>
      <c r="D28" s="5" t="str">
        <f t="shared" si="12"/>
        <v>Souris</v>
      </c>
      <c r="E28" s="5" t="str">
        <f t="shared" si="12"/>
        <v>Maus</v>
      </c>
      <c r="F28" s="5" t="str">
        <f t="shared" si="12"/>
        <v>Ratón</v>
      </c>
      <c r="G28" s="5" t="str">
        <f t="shared" si="12"/>
        <v>Topo</v>
      </c>
      <c r="H28" s="5" t="str">
        <f t="shared" si="12"/>
        <v>쥐</v>
      </c>
      <c r="I28" s="5" t="str">
        <f t="shared" si="12"/>
        <v>鼠</v>
      </c>
      <c r="J28" s="5" t="str">
        <f t="shared" si="12"/>
        <v>鼠</v>
      </c>
    </row>
    <row r="29">
      <c r="A29" s="5" t="str">
        <f>CONCATENATE("CATEGORY_",UPPER(Pokemon!B29))</f>
        <v>CATEGORY_SANDSLASH</v>
      </c>
      <c r="B29" s="5" t="str">
        <f t="shared" ref="B29:J29" si="13">B20</f>
        <v>Mouse</v>
      </c>
      <c r="C29" s="5" t="str">
        <f t="shared" si="13"/>
        <v>ねずみ</v>
      </c>
      <c r="D29" s="5" t="str">
        <f t="shared" si="13"/>
        <v>Souris</v>
      </c>
      <c r="E29" s="5" t="str">
        <f t="shared" si="13"/>
        <v>Maus</v>
      </c>
      <c r="F29" s="5" t="str">
        <f t="shared" si="13"/>
        <v>Ratón</v>
      </c>
      <c r="G29" s="5" t="str">
        <f t="shared" si="13"/>
        <v>Topo</v>
      </c>
      <c r="H29" s="5" t="str">
        <f t="shared" si="13"/>
        <v>쥐</v>
      </c>
      <c r="I29" s="5" t="str">
        <f t="shared" si="13"/>
        <v>鼠</v>
      </c>
      <c r="J29" s="5" t="str">
        <f t="shared" si="13"/>
        <v>鼠</v>
      </c>
    </row>
    <row r="30">
      <c r="A30" s="3" t="s">
        <v>7471</v>
      </c>
      <c r="B30" s="3" t="s">
        <v>7472</v>
      </c>
      <c r="C30" s="3" t="s">
        <v>7473</v>
      </c>
      <c r="D30" s="3" t="s">
        <v>7474</v>
      </c>
      <c r="E30" s="3" t="s">
        <v>7475</v>
      </c>
      <c r="F30" s="3" t="s">
        <v>7476</v>
      </c>
      <c r="G30" s="3" t="s">
        <v>7477</v>
      </c>
      <c r="H30" s="3" t="s">
        <v>7478</v>
      </c>
      <c r="I30" s="3" t="s">
        <v>7479</v>
      </c>
      <c r="J30" s="5" t="str">
        <f>IFERROR(__xludf.DUMMYFUNCTION("GOOGLETRANSLATE(I30, ""zh_HANT"",""zh_HANS"")"),"毒针")</f>
        <v>毒针</v>
      </c>
    </row>
    <row r="31">
      <c r="A31" s="5" t="str">
        <f>CONCATENATE("CATEGORY_",UPPER(Pokemon!B31))</f>
        <v>CATEGORY_NIDORINA</v>
      </c>
      <c r="B31" s="5" t="str">
        <f t="shared" ref="B31:J31" si="14">B30</f>
        <v>Poison Pin</v>
      </c>
      <c r="C31" s="5" t="str">
        <f t="shared" si="14"/>
        <v>どくばり</v>
      </c>
      <c r="D31" s="5" t="str">
        <f t="shared" si="14"/>
        <v>Vénépic</v>
      </c>
      <c r="E31" s="5" t="str">
        <f t="shared" si="14"/>
        <v>Giftdorn</v>
      </c>
      <c r="F31" s="5" t="str">
        <f t="shared" si="14"/>
        <v>Pin Veneno</v>
      </c>
      <c r="G31" s="5" t="str">
        <f t="shared" si="14"/>
        <v>Velenago</v>
      </c>
      <c r="H31" s="5" t="str">
        <f t="shared" si="14"/>
        <v>독침</v>
      </c>
      <c r="I31" s="5" t="str">
        <f t="shared" si="14"/>
        <v>毒針</v>
      </c>
      <c r="J31" s="5" t="str">
        <f t="shared" si="14"/>
        <v>毒针</v>
      </c>
    </row>
    <row r="32">
      <c r="A32" s="5" t="str">
        <f>CONCATENATE("CATEGORY_",UPPER(Pokemon!B32))</f>
        <v>CATEGORY_NIDOQUEEN</v>
      </c>
      <c r="B32" s="3" t="s">
        <v>7480</v>
      </c>
      <c r="C32" s="3" t="s">
        <v>7481</v>
      </c>
      <c r="D32" s="3" t="s">
        <v>7482</v>
      </c>
      <c r="E32" s="3" t="s">
        <v>7483</v>
      </c>
      <c r="F32" s="3" t="s">
        <v>7484</v>
      </c>
      <c r="G32" s="3" t="s">
        <v>7485</v>
      </c>
      <c r="H32" s="3" t="s">
        <v>7486</v>
      </c>
      <c r="I32" s="3" t="s">
        <v>7487</v>
      </c>
      <c r="J32" s="5" t="str">
        <f>IFERROR(__xludf.DUMMYFUNCTION("GOOGLETRANSLATE(I32, ""zh_HANT"",""zh_HANS"")"),"钻锥")</f>
        <v>钻锥</v>
      </c>
    </row>
    <row r="33">
      <c r="A33" s="3" t="s">
        <v>7488</v>
      </c>
      <c r="B33" s="5" t="str">
        <f t="shared" ref="B33:J33" si="15">B30</f>
        <v>Poison Pin</v>
      </c>
      <c r="C33" s="5" t="str">
        <f t="shared" si="15"/>
        <v>どくばり</v>
      </c>
      <c r="D33" s="5" t="str">
        <f t="shared" si="15"/>
        <v>Vénépic</v>
      </c>
      <c r="E33" s="5" t="str">
        <f t="shared" si="15"/>
        <v>Giftdorn</v>
      </c>
      <c r="F33" s="5" t="str">
        <f t="shared" si="15"/>
        <v>Pin Veneno</v>
      </c>
      <c r="G33" s="5" t="str">
        <f t="shared" si="15"/>
        <v>Velenago</v>
      </c>
      <c r="H33" s="5" t="str">
        <f t="shared" si="15"/>
        <v>독침</v>
      </c>
      <c r="I33" s="5" t="str">
        <f t="shared" si="15"/>
        <v>毒針</v>
      </c>
      <c r="J33" s="5" t="str">
        <f t="shared" si="15"/>
        <v>毒针</v>
      </c>
    </row>
    <row r="34">
      <c r="A34" s="5" t="str">
        <f>CONCATENATE("CATEGORY_",UPPER(Pokemon!B34))</f>
        <v>CATEGORY_NIDORINO</v>
      </c>
      <c r="B34" s="5" t="str">
        <f t="shared" ref="B34:J34" si="16">B30</f>
        <v>Poison Pin</v>
      </c>
      <c r="C34" s="5" t="str">
        <f t="shared" si="16"/>
        <v>どくばり</v>
      </c>
      <c r="D34" s="5" t="str">
        <f t="shared" si="16"/>
        <v>Vénépic</v>
      </c>
      <c r="E34" s="5" t="str">
        <f t="shared" si="16"/>
        <v>Giftdorn</v>
      </c>
      <c r="F34" s="5" t="str">
        <f t="shared" si="16"/>
        <v>Pin Veneno</v>
      </c>
      <c r="G34" s="5" t="str">
        <f t="shared" si="16"/>
        <v>Velenago</v>
      </c>
      <c r="H34" s="5" t="str">
        <f t="shared" si="16"/>
        <v>독침</v>
      </c>
      <c r="I34" s="5" t="str">
        <f t="shared" si="16"/>
        <v>毒針</v>
      </c>
      <c r="J34" s="5" t="str">
        <f t="shared" si="16"/>
        <v>毒针</v>
      </c>
    </row>
    <row r="35">
      <c r="A35" s="5" t="str">
        <f>CONCATENATE("CATEGORY_",UPPER(Pokemon!B35))</f>
        <v>CATEGORY_NIDOKING</v>
      </c>
      <c r="B35" s="5" t="str">
        <f t="shared" ref="B35:J35" si="17">B32</f>
        <v>Drill</v>
      </c>
      <c r="C35" s="5" t="str">
        <f t="shared" si="17"/>
        <v>ドリル</v>
      </c>
      <c r="D35" s="5" t="str">
        <f t="shared" si="17"/>
        <v>Perceur</v>
      </c>
      <c r="E35" s="5" t="str">
        <f t="shared" si="17"/>
        <v>Bohrer</v>
      </c>
      <c r="F35" s="5" t="str">
        <f t="shared" si="17"/>
        <v>Taladro</v>
      </c>
      <c r="G35" s="5" t="str">
        <f t="shared" si="17"/>
        <v>Trapano</v>
      </c>
      <c r="H35" s="5" t="str">
        <f t="shared" si="17"/>
        <v>드릴</v>
      </c>
      <c r="I35" s="5" t="str">
        <f t="shared" si="17"/>
        <v>鑽錐</v>
      </c>
      <c r="J35" s="5" t="str">
        <f t="shared" si="17"/>
        <v>钻锥</v>
      </c>
    </row>
    <row r="36">
      <c r="A36" s="5" t="str">
        <f>CONCATENATE("CATEGORY_",UPPER(Pokemon!B36))</f>
        <v>CATEGORY_CLEFAIRY</v>
      </c>
      <c r="B36" s="3" t="str">
        <f>Types!B19</f>
        <v>Fairy</v>
      </c>
      <c r="C36" s="3" t="s">
        <v>7489</v>
      </c>
      <c r="D36" s="3" t="str">
        <f>Types!D19</f>
        <v>Fée</v>
      </c>
      <c r="E36" s="3" t="str">
        <f>Types!E19</f>
        <v>Fee</v>
      </c>
      <c r="F36" s="3" t="str">
        <f>Types!F19</f>
        <v>Hada</v>
      </c>
      <c r="G36" s="3" t="s">
        <v>7490</v>
      </c>
      <c r="H36" s="3" t="s">
        <v>7491</v>
      </c>
      <c r="I36" s="3" t="str">
        <f>Types!I19</f>
        <v>妖精</v>
      </c>
      <c r="J36" s="3" t="str">
        <f>Types!J19</f>
        <v>妖精</v>
      </c>
    </row>
    <row r="37">
      <c r="A37" s="5" t="str">
        <f>CONCATENATE("CATEGORY_",UPPER(Pokemon!B37))</f>
        <v>CATEGORY_CLEFABLE</v>
      </c>
      <c r="B37" s="5" t="str">
        <f t="shared" ref="B37:J37" si="18">B36</f>
        <v>Fairy</v>
      </c>
      <c r="C37" s="5" t="str">
        <f t="shared" si="18"/>
        <v>ようせい</v>
      </c>
      <c r="D37" s="5" t="str">
        <f t="shared" si="18"/>
        <v>Fée</v>
      </c>
      <c r="E37" s="5" t="str">
        <f t="shared" si="18"/>
        <v>Fee</v>
      </c>
      <c r="F37" s="5" t="str">
        <f t="shared" si="18"/>
        <v>Hada</v>
      </c>
      <c r="G37" s="5" t="str">
        <f t="shared" si="18"/>
        <v>Fata</v>
      </c>
      <c r="H37" s="5" t="str">
        <f t="shared" si="18"/>
        <v>요정</v>
      </c>
      <c r="I37" s="5" t="str">
        <f t="shared" si="18"/>
        <v>妖精</v>
      </c>
      <c r="J37" s="5" t="str">
        <f t="shared" si="18"/>
        <v>妖精</v>
      </c>
    </row>
    <row r="38">
      <c r="A38" s="5" t="str">
        <f>CONCATENATE("CATEGORY_",UPPER(Pokemon!B38))</f>
        <v>CATEGORY_VULPIX</v>
      </c>
      <c r="B38" s="3" t="s">
        <v>7492</v>
      </c>
      <c r="C38" s="3" t="s">
        <v>7493</v>
      </c>
      <c r="D38" s="3" t="s">
        <v>7494</v>
      </c>
      <c r="E38" s="3" t="s">
        <v>7495</v>
      </c>
      <c r="F38" s="3" t="s">
        <v>7496</v>
      </c>
      <c r="G38" s="3" t="s">
        <v>7497</v>
      </c>
      <c r="H38" s="3" t="s">
        <v>7498</v>
      </c>
      <c r="I38" s="3" t="s">
        <v>7499</v>
      </c>
      <c r="J38" s="5" t="str">
        <f>I38</f>
        <v>狐狸</v>
      </c>
    </row>
    <row r="39">
      <c r="A39" s="5" t="str">
        <f>CONCATENATE("CATEGORY_",UPPER(Pokemon!B39))</f>
        <v>CATEGORY_NINETALES</v>
      </c>
      <c r="B39" s="5" t="str">
        <f t="shared" ref="B39:J39" si="19">B38</f>
        <v>Fox</v>
      </c>
      <c r="C39" s="5" t="str">
        <f t="shared" si="19"/>
        <v>きつね</v>
      </c>
      <c r="D39" s="5" t="str">
        <f t="shared" si="19"/>
        <v>Renard</v>
      </c>
      <c r="E39" s="5" t="str">
        <f t="shared" si="19"/>
        <v>Fuchs</v>
      </c>
      <c r="F39" s="5" t="str">
        <f t="shared" si="19"/>
        <v>Zorro</v>
      </c>
      <c r="G39" s="5" t="str">
        <f t="shared" si="19"/>
        <v>Volpe</v>
      </c>
      <c r="H39" s="5" t="str">
        <f t="shared" si="19"/>
        <v>여우</v>
      </c>
      <c r="I39" s="5" t="str">
        <f t="shared" si="19"/>
        <v>狐狸</v>
      </c>
      <c r="J39" s="5" t="str">
        <f t="shared" si="19"/>
        <v>狐狸</v>
      </c>
    </row>
    <row r="40">
      <c r="A40" s="5" t="str">
        <f>CONCATENATE("CATEGORY_",UPPER(Pokemon!B40))</f>
        <v>CATEGORY_JIGGLYPUFF</v>
      </c>
      <c r="B40" s="3" t="s">
        <v>7500</v>
      </c>
      <c r="C40" s="3" t="s">
        <v>7501</v>
      </c>
      <c r="D40" s="3" t="s">
        <v>7502</v>
      </c>
      <c r="E40" s="3" t="s">
        <v>7503</v>
      </c>
      <c r="F40" s="3" t="s">
        <v>7504</v>
      </c>
      <c r="G40" s="3" t="s">
        <v>7505</v>
      </c>
      <c r="H40" s="3" t="s">
        <v>7506</v>
      </c>
      <c r="I40" s="3" t="s">
        <v>7507</v>
      </c>
      <c r="J40" s="5" t="str">
        <f>IFERROR(__xludf.DUMMYFUNCTION("GOOGLETRANSLATE(I40, ""zh_HANT"",""zh_HANS"")"),"气球")</f>
        <v>气球</v>
      </c>
    </row>
    <row r="41">
      <c r="A41" s="5" t="str">
        <f>CONCATENATE("CATEGORY_",UPPER(Pokemon!B41))</f>
        <v>CATEGORY_WIGGLYTUFF</v>
      </c>
      <c r="B41" s="5" t="str">
        <f t="shared" ref="B41:J41" si="20">B40</f>
        <v>Balloon</v>
      </c>
      <c r="C41" s="5" t="str">
        <f t="shared" si="20"/>
        <v>ふうせん</v>
      </c>
      <c r="D41" s="5" t="str">
        <f t="shared" si="20"/>
        <v>Bouboule</v>
      </c>
      <c r="E41" s="5" t="str">
        <f t="shared" si="20"/>
        <v>Ballon</v>
      </c>
      <c r="F41" s="5" t="str">
        <f t="shared" si="20"/>
        <v>Globo</v>
      </c>
      <c r="G41" s="5" t="str">
        <f t="shared" si="20"/>
        <v>Pallone</v>
      </c>
      <c r="H41" s="5" t="str">
        <f t="shared" si="20"/>
        <v>풍선</v>
      </c>
      <c r="I41" s="5" t="str">
        <f t="shared" si="20"/>
        <v>氣球</v>
      </c>
      <c r="J41" s="5" t="str">
        <f t="shared" si="20"/>
        <v>气球</v>
      </c>
    </row>
    <row r="42">
      <c r="A42" s="5" t="str">
        <f>CONCATENATE("CATEGORY_",UPPER(Pokemon!B42))</f>
        <v>CATEGORY_ZUBAT</v>
      </c>
      <c r="B42" s="3" t="s">
        <v>7508</v>
      </c>
      <c r="C42" s="3" t="s">
        <v>7509</v>
      </c>
      <c r="D42" s="3" t="s">
        <v>7510</v>
      </c>
      <c r="E42" s="3" t="s">
        <v>7511</v>
      </c>
      <c r="F42" s="3" t="s">
        <v>7512</v>
      </c>
      <c r="G42" s="3" t="s">
        <v>7513</v>
      </c>
      <c r="H42" s="3" t="s">
        <v>7514</v>
      </c>
      <c r="I42" s="5" t="str">
        <f>J42</f>
        <v>蝙蝠</v>
      </c>
      <c r="J42" s="3" t="s">
        <v>7515</v>
      </c>
    </row>
    <row r="43">
      <c r="A43" s="5" t="str">
        <f>CONCATENATE("CATEGORY_",UPPER(Pokemon!B43))</f>
        <v>CATEGORY_GOLBAT</v>
      </c>
      <c r="B43" s="5" t="str">
        <f t="shared" ref="B43:J43" si="21">B42</f>
        <v>Bat</v>
      </c>
      <c r="C43" s="5" t="str">
        <f t="shared" si="21"/>
        <v>こうもり</v>
      </c>
      <c r="D43" s="5" t="str">
        <f t="shared" si="21"/>
        <v>Chovsouris</v>
      </c>
      <c r="E43" s="5" t="str">
        <f t="shared" si="21"/>
        <v>Fledermaus</v>
      </c>
      <c r="F43" s="5" t="str">
        <f t="shared" si="21"/>
        <v>Murciélago</v>
      </c>
      <c r="G43" s="5" t="str">
        <f t="shared" si="21"/>
        <v>Pipistrello</v>
      </c>
      <c r="H43" s="5" t="str">
        <f t="shared" si="21"/>
        <v>박쥐</v>
      </c>
      <c r="I43" s="5" t="str">
        <f t="shared" si="21"/>
        <v>蝙蝠</v>
      </c>
      <c r="J43" s="5" t="str">
        <f t="shared" si="21"/>
        <v>蝙蝠</v>
      </c>
    </row>
    <row r="44">
      <c r="A44" s="5" t="str">
        <f>CONCATENATE("CATEGORY_",UPPER(Pokemon!B44))</f>
        <v>CATEGORY_ODDISH</v>
      </c>
      <c r="B44" s="3" t="s">
        <v>7516</v>
      </c>
      <c r="C44" s="3" t="s">
        <v>7517</v>
      </c>
      <c r="D44" s="3" t="s">
        <v>7518</v>
      </c>
      <c r="E44" s="3" t="s">
        <v>7519</v>
      </c>
      <c r="F44" s="3" t="s">
        <v>7520</v>
      </c>
      <c r="G44" s="3" t="s">
        <v>7521</v>
      </c>
      <c r="H44" s="3" t="s">
        <v>7522</v>
      </c>
      <c r="I44" s="3" t="s">
        <v>7523</v>
      </c>
      <c r="J44" s="5" t="str">
        <f>IFERROR(__xludf.DUMMYFUNCTION("GOOGLETRANSLATE(I44, ""zh_HANT"",""zh_HANS"")"),"杂草")</f>
        <v>杂草</v>
      </c>
    </row>
    <row r="45">
      <c r="A45" s="5" t="str">
        <f>CONCATENATE("CATEGORY_",UPPER(Pokemon!B45))</f>
        <v>CATEGORY_GLOOM</v>
      </c>
      <c r="B45" s="5" t="str">
        <f t="shared" ref="B45:J45" si="22">B44</f>
        <v>Weed</v>
      </c>
      <c r="C45" s="5" t="str">
        <f t="shared" si="22"/>
        <v>ぎっそう</v>
      </c>
      <c r="D45" s="5" t="str">
        <f t="shared" si="22"/>
        <v>Racine</v>
      </c>
      <c r="E45" s="5" t="str">
        <f t="shared" si="22"/>
        <v>Unkraut</v>
      </c>
      <c r="F45" s="5" t="str">
        <f t="shared" si="22"/>
        <v>Hierbajo</v>
      </c>
      <c r="G45" s="5" t="str">
        <f t="shared" si="22"/>
        <v>Malerba</v>
      </c>
      <c r="H45" s="5" t="str">
        <f t="shared" si="22"/>
        <v>잡초</v>
      </c>
      <c r="I45" s="5" t="str">
        <f t="shared" si="22"/>
        <v>雜草</v>
      </c>
      <c r="J45" s="5" t="str">
        <f t="shared" si="22"/>
        <v>杂草</v>
      </c>
    </row>
    <row r="46">
      <c r="A46" s="5" t="str">
        <f>CONCATENATE("CATEGORY_",UPPER(Pokemon!B46))</f>
        <v>CATEGORY_VILEPLUME</v>
      </c>
      <c r="B46" s="3" t="s">
        <v>7524</v>
      </c>
      <c r="C46" s="3" t="s">
        <v>7525</v>
      </c>
      <c r="D46" s="3" t="s">
        <v>7526</v>
      </c>
      <c r="E46" s="3" t="s">
        <v>7527</v>
      </c>
      <c r="F46" s="3" t="s">
        <v>7528</v>
      </c>
      <c r="G46" s="3" t="s">
        <v>7529</v>
      </c>
      <c r="H46" s="3" t="s">
        <v>7530</v>
      </c>
      <c r="I46" s="3" t="s">
        <v>7531</v>
      </c>
      <c r="J46" s="5" t="str">
        <f t="shared" ref="J46:J47" si="23">I46</f>
        <v>花</v>
      </c>
    </row>
    <row r="47">
      <c r="A47" s="5" t="str">
        <f>CONCATENATE("CATEGORY_",UPPER(Pokemon!B47))</f>
        <v>CATEGORY_PARAS</v>
      </c>
      <c r="B47" s="3" t="s">
        <v>7532</v>
      </c>
      <c r="C47" s="3" t="s">
        <v>7533</v>
      </c>
      <c r="D47" s="3" t="s">
        <v>7534</v>
      </c>
      <c r="E47" s="3" t="s">
        <v>7535</v>
      </c>
      <c r="F47" s="3" t="s">
        <v>7536</v>
      </c>
      <c r="G47" s="3" t="s">
        <v>7537</v>
      </c>
      <c r="H47" s="3" t="s">
        <v>7538</v>
      </c>
      <c r="I47" s="3" t="s">
        <v>7539</v>
      </c>
      <c r="J47" s="5" t="str">
        <f t="shared" si="23"/>
        <v>蘑菇</v>
      </c>
    </row>
    <row r="48">
      <c r="A48" s="5" t="str">
        <f>CONCATENATE("CATEGORY_",UPPER(Pokemon!B48))</f>
        <v>CATEGORY_PARASECT</v>
      </c>
      <c r="B48" s="5" t="str">
        <f t="shared" ref="B48:J48" si="24">B47</f>
        <v>Mushroom</v>
      </c>
      <c r="C48" s="5" t="str">
        <f t="shared" si="24"/>
        <v>きのこ</v>
      </c>
      <c r="D48" s="5" t="str">
        <f t="shared" si="24"/>
        <v>Champignon</v>
      </c>
      <c r="E48" s="5" t="str">
        <f t="shared" si="24"/>
        <v>Pilz</v>
      </c>
      <c r="F48" s="5" t="str">
        <f t="shared" si="24"/>
        <v>Hongo</v>
      </c>
      <c r="G48" s="5" t="str">
        <f t="shared" si="24"/>
        <v>Fungo</v>
      </c>
      <c r="H48" s="5" t="str">
        <f t="shared" si="24"/>
        <v>버섯</v>
      </c>
      <c r="I48" s="5" t="str">
        <f t="shared" si="24"/>
        <v>蘑菇</v>
      </c>
      <c r="J48" s="5" t="str">
        <f t="shared" si="24"/>
        <v>蘑菇</v>
      </c>
    </row>
    <row r="49">
      <c r="A49" s="5" t="str">
        <f>CONCATENATE("CATEGORY_",UPPER(Pokemon!B49))</f>
        <v>CATEGORY_VENONAT</v>
      </c>
      <c r="B49" s="3" t="s">
        <v>7540</v>
      </c>
      <c r="C49" s="3" t="s">
        <v>7541</v>
      </c>
      <c r="D49" s="3" t="s">
        <v>7542</v>
      </c>
      <c r="E49" s="3" t="s">
        <v>7543</v>
      </c>
      <c r="F49" s="3" t="s">
        <v>7544</v>
      </c>
      <c r="G49" s="3" t="s">
        <v>7545</v>
      </c>
      <c r="H49" s="3" t="s">
        <v>7546</v>
      </c>
      <c r="I49" s="3" t="s">
        <v>7547</v>
      </c>
      <c r="J49" s="5" t="str">
        <f>IFERROR(__xludf.DUMMYFUNCTION("GOOGLETRANSLATE(I49, ""zh_HANT"",""zh_HANS"")"),"昆虫")</f>
        <v>昆虫</v>
      </c>
    </row>
    <row r="50">
      <c r="A50" s="5" t="str">
        <f>CONCATENATE("CATEGORY_",UPPER(Pokemon!B50))</f>
        <v>CATEGORY_VENOMOTH</v>
      </c>
      <c r="B50" s="3" t="s">
        <v>7548</v>
      </c>
      <c r="C50" s="3" t="s">
        <v>7549</v>
      </c>
      <c r="D50" s="3" t="s">
        <v>7550</v>
      </c>
      <c r="E50" s="3" t="s">
        <v>7551</v>
      </c>
      <c r="F50" s="3" t="s">
        <v>7552</v>
      </c>
      <c r="G50" s="3" t="s">
        <v>7553</v>
      </c>
      <c r="H50" s="3" t="s">
        <v>7554</v>
      </c>
      <c r="I50" s="3" t="s">
        <v>7555</v>
      </c>
      <c r="J50" s="5" t="str">
        <f>I50</f>
        <v>毒蛾</v>
      </c>
    </row>
    <row r="51">
      <c r="A51" s="5" t="str">
        <f>CONCATENATE("CATEGORY_",UPPER(Pokemon!B51))</f>
        <v>CATEGORY_DIGLETT</v>
      </c>
      <c r="B51" s="3" t="s">
        <v>7556</v>
      </c>
      <c r="C51" s="3" t="s">
        <v>7557</v>
      </c>
      <c r="D51" s="3" t="s">
        <v>7558</v>
      </c>
      <c r="E51" s="3" t="s">
        <v>7559</v>
      </c>
      <c r="F51" s="3" t="s">
        <v>7447</v>
      </c>
      <c r="G51" s="3" t="s">
        <v>7560</v>
      </c>
      <c r="H51" s="3" t="s">
        <v>7561</v>
      </c>
      <c r="I51" s="3" t="s">
        <v>7562</v>
      </c>
      <c r="J51" s="5" t="str">
        <f>IFERROR(__xludf.DUMMYFUNCTION("GOOGLETRANSLATE(I51, ""zh_HANT"",""zh_HANS"")"),"鼹鼠")</f>
        <v>鼹鼠</v>
      </c>
    </row>
    <row r="52">
      <c r="A52" s="5" t="str">
        <f>CONCATENATE("CATEGORY_",UPPER(Pokemon!B52))</f>
        <v>CATEGORY_DUGTRIO</v>
      </c>
      <c r="B52" s="5" t="str">
        <f t="shared" ref="B52:J52" si="25">B51</f>
        <v>Mole</v>
      </c>
      <c r="C52" s="5" t="str">
        <f t="shared" si="25"/>
        <v>もぐら</v>
      </c>
      <c r="D52" s="5" t="str">
        <f t="shared" si="25"/>
        <v>Taupe</v>
      </c>
      <c r="E52" s="5" t="str">
        <f t="shared" si="25"/>
        <v>Maulwurf</v>
      </c>
      <c r="F52" s="5" t="str">
        <f t="shared" si="25"/>
        <v>Topo</v>
      </c>
      <c r="G52" s="5" t="str">
        <f t="shared" si="25"/>
        <v>Talpa</v>
      </c>
      <c r="H52" s="5" t="str">
        <f t="shared" si="25"/>
        <v>두더지</v>
      </c>
      <c r="I52" s="5" t="str">
        <f t="shared" si="25"/>
        <v>鼴鼠</v>
      </c>
      <c r="J52" s="5" t="str">
        <f t="shared" si="25"/>
        <v>鼹鼠</v>
      </c>
    </row>
    <row r="53">
      <c r="A53" s="5" t="str">
        <f>CONCATENATE("CATEGORY_",UPPER(Pokemon!B53))</f>
        <v>CATEGORY_MEOWTH</v>
      </c>
      <c r="B53" s="3" t="s">
        <v>7563</v>
      </c>
      <c r="C53" s="3" t="s">
        <v>7564</v>
      </c>
      <c r="D53" s="3" t="s">
        <v>7565</v>
      </c>
      <c r="E53" s="3" t="s">
        <v>7566</v>
      </c>
      <c r="F53" s="3" t="s">
        <v>7567</v>
      </c>
      <c r="G53" s="3" t="s">
        <v>7568</v>
      </c>
      <c r="H53" s="3" t="s">
        <v>7569</v>
      </c>
      <c r="I53" s="3" t="s">
        <v>7570</v>
      </c>
      <c r="J53" s="5" t="str">
        <f>IFERROR(__xludf.DUMMYFUNCTION("GOOGLETRANSLATE(I53, ""zh_HANT"",""zh_HANS"")"),"妖怪猫")</f>
        <v>妖怪猫</v>
      </c>
    </row>
    <row r="54">
      <c r="A54" s="5" t="str">
        <f>CONCATENATE("CATEGORY_",UPPER(Pokemon!B54))</f>
        <v>CATEGORY_PERSIAN</v>
      </c>
      <c r="B54" s="3" t="s">
        <v>7571</v>
      </c>
      <c r="C54" s="3" t="s">
        <v>7572</v>
      </c>
      <c r="D54" s="3" t="s">
        <v>7573</v>
      </c>
      <c r="E54" s="3" t="s">
        <v>7574</v>
      </c>
      <c r="F54" s="3" t="s">
        <v>7575</v>
      </c>
      <c r="G54" s="3" t="s">
        <v>7576</v>
      </c>
      <c r="H54" s="3" t="s">
        <v>7577</v>
      </c>
      <c r="I54" s="3" t="s">
        <v>7578</v>
      </c>
      <c r="J54" s="5" t="str">
        <f>IFERROR(__xludf.DUMMYFUNCTION("GOOGLETRANSLATE(I54, ""zh_HANT"",""zh_HANS"")"),"暹罗猫")</f>
        <v>暹罗猫</v>
      </c>
    </row>
    <row r="55">
      <c r="A55" s="5" t="str">
        <f>CONCATENATE("CATEGORY_",UPPER(Pokemon!B55))</f>
        <v>CATEGORY_PSYDUCK</v>
      </c>
      <c r="B55" s="3" t="s">
        <v>7579</v>
      </c>
      <c r="C55" s="3" t="s">
        <v>7580</v>
      </c>
      <c r="D55" s="3" t="s">
        <v>7581</v>
      </c>
      <c r="E55" s="3" t="s">
        <v>7582</v>
      </c>
      <c r="F55" s="3" t="s">
        <v>7583</v>
      </c>
      <c r="G55" s="3" t="s">
        <v>7584</v>
      </c>
      <c r="H55" s="3" t="s">
        <v>7585</v>
      </c>
      <c r="I55" s="3" t="s">
        <v>7586</v>
      </c>
      <c r="J55" s="5" t="str">
        <f>IFERROR(__xludf.DUMMYFUNCTION("GOOGLETRANSLATE(I55, ""zh_HANT"",""zh_HANS"")"),"鸭")</f>
        <v>鸭</v>
      </c>
    </row>
    <row r="56">
      <c r="A56" s="5" t="str">
        <f>CONCATENATE("CATEGORY_",UPPER(Pokemon!B56))</f>
        <v>CATEGORY_GOLDUCK</v>
      </c>
      <c r="B56" s="5" t="str">
        <f t="shared" ref="B56:J56" si="26">B55</f>
        <v>Duck</v>
      </c>
      <c r="C56" s="5" t="str">
        <f t="shared" si="26"/>
        <v>あひる</v>
      </c>
      <c r="D56" s="5" t="str">
        <f t="shared" si="26"/>
        <v>Canard</v>
      </c>
      <c r="E56" s="5" t="str">
        <f t="shared" si="26"/>
        <v>Ente</v>
      </c>
      <c r="F56" s="5" t="str">
        <f t="shared" si="26"/>
        <v>Pato</v>
      </c>
      <c r="G56" s="5" t="str">
        <f t="shared" si="26"/>
        <v>Papero</v>
      </c>
      <c r="H56" s="5" t="str">
        <f t="shared" si="26"/>
        <v>오리</v>
      </c>
      <c r="I56" s="5" t="str">
        <f t="shared" si="26"/>
        <v>鴨</v>
      </c>
      <c r="J56" s="5" t="str">
        <f t="shared" si="26"/>
        <v>鸭</v>
      </c>
    </row>
    <row r="57">
      <c r="A57" s="5" t="str">
        <f>CONCATENATE("CATEGORY_",UPPER(Pokemon!B57))</f>
        <v>CATEGORY_MANKEY</v>
      </c>
      <c r="B57" s="3" t="s">
        <v>7587</v>
      </c>
      <c r="C57" s="3" t="s">
        <v>7588</v>
      </c>
      <c r="D57" s="3" t="s">
        <v>7589</v>
      </c>
      <c r="E57" s="3" t="s">
        <v>7590</v>
      </c>
      <c r="F57" s="3" t="s">
        <v>7591</v>
      </c>
      <c r="G57" s="3" t="s">
        <v>7592</v>
      </c>
      <c r="H57" s="3" t="s">
        <v>7593</v>
      </c>
      <c r="I57" s="3" t="s">
        <v>7594</v>
      </c>
      <c r="J57" s="5" t="str">
        <f>IFERROR(__xludf.DUMMYFUNCTION("GOOGLETRANSLATE(I57, ""zh_HANT"",""zh_HANS"")"),"猪猴")</f>
        <v>猪猴</v>
      </c>
    </row>
    <row r="58">
      <c r="A58" s="5" t="str">
        <f>CONCATENATE("CATEGORY_",UPPER(Pokemon!B58))</f>
        <v>CATEGORY_PRIMAPE</v>
      </c>
      <c r="B58" s="5" t="str">
        <f t="shared" ref="B58:J58" si="27">B57</f>
        <v>Pig Monkey</v>
      </c>
      <c r="C58" s="5" t="str">
        <f t="shared" si="27"/>
        <v>ぶたざる</v>
      </c>
      <c r="D58" s="5" t="str">
        <f t="shared" si="27"/>
        <v>Porsinge</v>
      </c>
      <c r="E58" s="5" t="str">
        <f t="shared" si="27"/>
        <v>Schwein / Affe</v>
      </c>
      <c r="F58" s="5" t="str">
        <f t="shared" si="27"/>
        <v>Mono Cerdo</v>
      </c>
      <c r="G58" s="5" t="str">
        <f t="shared" si="27"/>
        <v>Suinpanzé</v>
      </c>
      <c r="H58" s="5" t="str">
        <f t="shared" si="27"/>
        <v>돈숭이</v>
      </c>
      <c r="I58" s="5" t="str">
        <f t="shared" si="27"/>
        <v>豬猴</v>
      </c>
      <c r="J58" s="5" t="str">
        <f t="shared" si="27"/>
        <v>猪猴</v>
      </c>
    </row>
    <row r="59">
      <c r="A59" s="5" t="str">
        <f>CONCATENATE("CATEGORY_",UPPER(Pokemon!B59))</f>
        <v>CATEGORY_GROWLITHE</v>
      </c>
      <c r="B59" s="3" t="s">
        <v>7595</v>
      </c>
      <c r="C59" s="3" t="s">
        <v>7596</v>
      </c>
      <c r="D59" s="3" t="s">
        <v>7597</v>
      </c>
      <c r="E59" s="3" t="s">
        <v>7598</v>
      </c>
      <c r="F59" s="3" t="s">
        <v>7599</v>
      </c>
      <c r="G59" s="3" t="s">
        <v>7600</v>
      </c>
      <c r="H59" s="3" t="s">
        <v>7601</v>
      </c>
      <c r="I59" s="3" t="s">
        <v>7602</v>
      </c>
      <c r="J59" s="5" t="str">
        <f>I59</f>
        <v>小狗</v>
      </c>
    </row>
    <row r="60">
      <c r="A60" s="5" t="str">
        <f>CONCATENATE(A59,"-H")</f>
        <v>CATEGORY_GROWLITHE-H</v>
      </c>
      <c r="B60" s="3" t="str">
        <f t="shared" ref="B60:J60" si="28">B172</f>
        <v>Scout</v>
      </c>
      <c r="C60" s="3" t="str">
        <f t="shared" si="28"/>
        <v>みはり</v>
      </c>
      <c r="D60" s="3" t="str">
        <f t="shared" si="28"/>
        <v>Espion</v>
      </c>
      <c r="E60" s="3" t="str">
        <f t="shared" si="28"/>
        <v>Späher</v>
      </c>
      <c r="F60" s="3" t="str">
        <f t="shared" si="28"/>
        <v>Explorador</v>
      </c>
      <c r="G60" s="3" t="str">
        <f t="shared" si="28"/>
        <v>Esplorante</v>
      </c>
      <c r="H60" s="3" t="str">
        <f t="shared" si="28"/>
        <v>망보기</v>
      </c>
      <c r="I60" s="3" t="str">
        <f t="shared" si="28"/>
        <v>放哨</v>
      </c>
      <c r="J60" s="3" t="str">
        <f t="shared" si="28"/>
        <v>放哨</v>
      </c>
    </row>
    <row r="61">
      <c r="A61" s="5" t="str">
        <f>CONCATENATE("CATEGORY_",UPPER(Pokemon!B60))</f>
        <v>CATEGORY_ARCANINE</v>
      </c>
      <c r="B61" s="3" t="s">
        <v>7603</v>
      </c>
      <c r="C61" s="3" t="s">
        <v>7604</v>
      </c>
      <c r="D61" s="3" t="s">
        <v>7605</v>
      </c>
      <c r="E61" s="3" t="s">
        <v>7606</v>
      </c>
      <c r="F61" s="3" t="s">
        <v>7607</v>
      </c>
      <c r="G61" s="3" t="s">
        <v>7608</v>
      </c>
      <c r="H61" s="3" t="s">
        <v>7609</v>
      </c>
      <c r="I61" s="3" t="s">
        <v>7610</v>
      </c>
      <c r="J61" s="5" t="str">
        <f>IFERROR(__xludf.DUMMYFUNCTION("GOOGLETRANSLATE(I61, ""zh_HANT"",""zh_HANS"")"),"传说")</f>
        <v>传说</v>
      </c>
    </row>
    <row r="62">
      <c r="A62" s="5" t="str">
        <f>CONCATENATE("CATEGORY_",UPPER(Pokemon!B61))</f>
        <v>CATEGORY_POLIWAG</v>
      </c>
      <c r="B62" s="3" t="s">
        <v>7611</v>
      </c>
      <c r="C62" s="3" t="s">
        <v>7612</v>
      </c>
      <c r="D62" s="3" t="s">
        <v>7613</v>
      </c>
      <c r="E62" s="3" t="s">
        <v>7614</v>
      </c>
      <c r="F62" s="3" t="s">
        <v>7615</v>
      </c>
      <c r="G62" s="3" t="s">
        <v>7616</v>
      </c>
      <c r="H62" s="3" t="s">
        <v>7617</v>
      </c>
      <c r="I62" s="8" t="s">
        <v>7618</v>
      </c>
      <c r="J62" s="5" t="str">
        <f>I62</f>
        <v>蝌蚪</v>
      </c>
    </row>
    <row r="63">
      <c r="A63" s="5" t="str">
        <f>CONCATENATE("CATEGORY_",UPPER(Pokemon!B62))</f>
        <v>CATEGORY_POLIWHIRL</v>
      </c>
      <c r="B63" s="5" t="str">
        <f t="shared" ref="B63:J63" si="29">B62</f>
        <v>Tadpole</v>
      </c>
      <c r="C63" s="5" t="str">
        <f t="shared" si="29"/>
        <v>おたま</v>
      </c>
      <c r="D63" s="5" t="str">
        <f t="shared" si="29"/>
        <v>Têtard</v>
      </c>
      <c r="E63" s="5" t="str">
        <f t="shared" si="29"/>
        <v>Kaulquappe</v>
      </c>
      <c r="F63" s="5" t="str">
        <f t="shared" si="29"/>
        <v>Renacuajo</v>
      </c>
      <c r="G63" s="5" t="str">
        <f t="shared" si="29"/>
        <v>Girino</v>
      </c>
      <c r="H63" s="5" t="str">
        <f t="shared" si="29"/>
        <v>올챙이</v>
      </c>
      <c r="I63" s="5" t="str">
        <f t="shared" si="29"/>
        <v>蝌蚪</v>
      </c>
      <c r="J63" s="5" t="str">
        <f t="shared" si="29"/>
        <v>蝌蚪</v>
      </c>
    </row>
    <row r="64">
      <c r="A64" s="5" t="str">
        <f>CONCATENATE("CATEGORY_",UPPER(Pokemon!B63))</f>
        <v>CATEGORY_POLIWRATH</v>
      </c>
      <c r="B64" s="5" t="str">
        <f t="shared" ref="B64:J64" si="30">B62</f>
        <v>Tadpole</v>
      </c>
      <c r="C64" s="5" t="str">
        <f t="shared" si="30"/>
        <v>おたま</v>
      </c>
      <c r="D64" s="5" t="str">
        <f t="shared" si="30"/>
        <v>Têtard</v>
      </c>
      <c r="E64" s="5" t="str">
        <f t="shared" si="30"/>
        <v>Kaulquappe</v>
      </c>
      <c r="F64" s="5" t="str">
        <f t="shared" si="30"/>
        <v>Renacuajo</v>
      </c>
      <c r="G64" s="5" t="str">
        <f t="shared" si="30"/>
        <v>Girino</v>
      </c>
      <c r="H64" s="5" t="str">
        <f t="shared" si="30"/>
        <v>올챙이</v>
      </c>
      <c r="I64" s="5" t="str">
        <f t="shared" si="30"/>
        <v>蝌蚪</v>
      </c>
      <c r="J64" s="5" t="str">
        <f t="shared" si="30"/>
        <v>蝌蚪</v>
      </c>
    </row>
    <row r="65">
      <c r="A65" s="5" t="str">
        <f>CONCATENATE("CATEGORY_",UPPER(Pokemon!B64))</f>
        <v>CATEGORY_ABRA</v>
      </c>
      <c r="B65" s="3" t="s">
        <v>7619</v>
      </c>
      <c r="C65" s="3" t="s">
        <v>7620</v>
      </c>
      <c r="D65" s="3" t="s">
        <v>7621</v>
      </c>
      <c r="E65" s="5" t="str">
        <f>B65</f>
        <v>Psi</v>
      </c>
      <c r="F65" s="5" t="str">
        <f>B65</f>
        <v>Psi</v>
      </c>
      <c r="G65" s="3" t="s">
        <v>7622</v>
      </c>
      <c r="H65" s="3" t="s">
        <v>7623</v>
      </c>
      <c r="I65" s="3" t="s">
        <v>7624</v>
      </c>
      <c r="J65" s="5" t="str">
        <f>I65</f>
        <v>念力</v>
      </c>
    </row>
    <row r="66">
      <c r="A66" s="5" t="str">
        <f>CONCATENATE("CATEGORY_",UPPER(Pokemon!B65))</f>
        <v>CATEGORY_KADABRA</v>
      </c>
      <c r="B66" s="5" t="str">
        <f t="shared" ref="B66:J66" si="31">B65</f>
        <v>Psi</v>
      </c>
      <c r="C66" s="5" t="str">
        <f t="shared" si="31"/>
        <v>ねんりき</v>
      </c>
      <c r="D66" s="5" t="str">
        <f t="shared" si="31"/>
        <v>Psy</v>
      </c>
      <c r="E66" s="5" t="str">
        <f t="shared" si="31"/>
        <v>Psi</v>
      </c>
      <c r="F66" s="5" t="str">
        <f t="shared" si="31"/>
        <v>Psi</v>
      </c>
      <c r="G66" s="5" t="str">
        <f t="shared" si="31"/>
        <v>Psico</v>
      </c>
      <c r="H66" s="5" t="str">
        <f t="shared" si="31"/>
        <v>초능력</v>
      </c>
      <c r="I66" s="5" t="str">
        <f t="shared" si="31"/>
        <v>念力</v>
      </c>
      <c r="J66" s="5" t="str">
        <f t="shared" si="31"/>
        <v>念力</v>
      </c>
    </row>
    <row r="67">
      <c r="A67" s="5" t="str">
        <f>CONCATENATE("CATEGORY_",UPPER(Pokemon!B66))</f>
        <v>CATEGORY_ALAKAZAM</v>
      </c>
      <c r="B67" s="5" t="str">
        <f t="shared" ref="B67:J67" si="32">B65</f>
        <v>Psi</v>
      </c>
      <c r="C67" s="5" t="str">
        <f t="shared" si="32"/>
        <v>ねんりき</v>
      </c>
      <c r="D67" s="5" t="str">
        <f t="shared" si="32"/>
        <v>Psy</v>
      </c>
      <c r="E67" s="5" t="str">
        <f t="shared" si="32"/>
        <v>Psi</v>
      </c>
      <c r="F67" s="5" t="str">
        <f t="shared" si="32"/>
        <v>Psi</v>
      </c>
      <c r="G67" s="5" t="str">
        <f t="shared" si="32"/>
        <v>Psico</v>
      </c>
      <c r="H67" s="5" t="str">
        <f t="shared" si="32"/>
        <v>초능력</v>
      </c>
      <c r="I67" s="5" t="str">
        <f t="shared" si="32"/>
        <v>念力</v>
      </c>
      <c r="J67" s="5" t="str">
        <f t="shared" si="32"/>
        <v>念力</v>
      </c>
    </row>
    <row r="68">
      <c r="A68" s="5" t="str">
        <f>CONCATENATE("CATEGORY_",UPPER(Pokemon!B67))</f>
        <v>CATEGORY_MACHOP</v>
      </c>
      <c r="B68" s="3" t="s">
        <v>7625</v>
      </c>
      <c r="C68" s="3" t="s">
        <v>7626</v>
      </c>
      <c r="D68" s="3" t="s">
        <v>7627</v>
      </c>
      <c r="E68" s="3" t="s">
        <v>7628</v>
      </c>
      <c r="F68" s="3" t="s">
        <v>7629</v>
      </c>
      <c r="G68" s="3" t="s">
        <v>7630</v>
      </c>
      <c r="H68" s="3" t="s">
        <v>7631</v>
      </c>
      <c r="I68" s="3" t="s">
        <v>384</v>
      </c>
      <c r="J68" s="5" t="str">
        <f>I68</f>
        <v>怪力</v>
      </c>
    </row>
    <row r="69">
      <c r="A69" s="5" t="str">
        <f>CONCATENATE("CATEGORY_",UPPER(Pokemon!B68))</f>
        <v>CATEGORY_MACHOKE</v>
      </c>
      <c r="B69" s="5" t="str">
        <f t="shared" ref="B69:J69" si="33">B68</f>
        <v>Superpower</v>
      </c>
      <c r="C69" s="5" t="str">
        <f t="shared" si="33"/>
        <v>かいりき</v>
      </c>
      <c r="D69" s="5" t="str">
        <f t="shared" si="33"/>
        <v>Colosse</v>
      </c>
      <c r="E69" s="5" t="str">
        <f t="shared" si="33"/>
        <v>Kraftprotz</v>
      </c>
      <c r="F69" s="5" t="str">
        <f t="shared" si="33"/>
        <v>Superpoder</v>
      </c>
      <c r="G69" s="5" t="str">
        <f t="shared" si="33"/>
        <v>Megaforza</v>
      </c>
      <c r="H69" s="5" t="str">
        <f t="shared" si="33"/>
        <v>괴력</v>
      </c>
      <c r="I69" s="5" t="str">
        <f t="shared" si="33"/>
        <v>怪力</v>
      </c>
      <c r="J69" s="5" t="str">
        <f t="shared" si="33"/>
        <v>怪力</v>
      </c>
    </row>
    <row r="70">
      <c r="A70" s="5" t="str">
        <f>CONCATENATE("CATEGORY_",UPPER(Pokemon!B69))</f>
        <v>CATEGORY_MACHAMP</v>
      </c>
      <c r="B70" s="5" t="str">
        <f t="shared" ref="B70:J70" si="34">B68</f>
        <v>Superpower</v>
      </c>
      <c r="C70" s="5" t="str">
        <f t="shared" si="34"/>
        <v>かいりき</v>
      </c>
      <c r="D70" s="5" t="str">
        <f t="shared" si="34"/>
        <v>Colosse</v>
      </c>
      <c r="E70" s="5" t="str">
        <f t="shared" si="34"/>
        <v>Kraftprotz</v>
      </c>
      <c r="F70" s="5" t="str">
        <f t="shared" si="34"/>
        <v>Superpoder</v>
      </c>
      <c r="G70" s="5" t="str">
        <f t="shared" si="34"/>
        <v>Megaforza</v>
      </c>
      <c r="H70" s="5" t="str">
        <f t="shared" si="34"/>
        <v>괴력</v>
      </c>
      <c r="I70" s="5" t="str">
        <f t="shared" si="34"/>
        <v>怪力</v>
      </c>
      <c r="J70" s="5" t="str">
        <f t="shared" si="34"/>
        <v>怪力</v>
      </c>
    </row>
    <row r="71">
      <c r="A71" s="5" t="str">
        <f>CONCATENATE("CATEGORY_",UPPER(Pokemon!B70))</f>
        <v>CATEGORY_BELLSPROUT</v>
      </c>
      <c r="B71" s="5" t="str">
        <f t="shared" ref="B71:J71" si="35">B46</f>
        <v>Flower</v>
      </c>
      <c r="C71" s="5" t="str">
        <f t="shared" si="35"/>
        <v>フラワー</v>
      </c>
      <c r="D71" s="5" t="str">
        <f t="shared" si="35"/>
        <v>Fleur</v>
      </c>
      <c r="E71" s="5" t="str">
        <f t="shared" si="35"/>
        <v>Blume</v>
      </c>
      <c r="F71" s="5" t="str">
        <f t="shared" si="35"/>
        <v>Flor</v>
      </c>
      <c r="G71" s="5" t="str">
        <f t="shared" si="35"/>
        <v>Fiore</v>
      </c>
      <c r="H71" s="5" t="str">
        <f t="shared" si="35"/>
        <v>꽃</v>
      </c>
      <c r="I71" s="5" t="str">
        <f t="shared" si="35"/>
        <v>花</v>
      </c>
      <c r="J71" s="5" t="str">
        <f t="shared" si="35"/>
        <v>花</v>
      </c>
    </row>
    <row r="72">
      <c r="A72" s="5" t="str">
        <f>CONCATENATE("CATEGORY_",UPPER(Pokemon!B71))</f>
        <v>CATEGORY_WEEPINBELL</v>
      </c>
      <c r="B72" s="3" t="s">
        <v>7632</v>
      </c>
      <c r="C72" s="3" t="s">
        <v>7633</v>
      </c>
      <c r="D72" s="3" t="s">
        <v>7634</v>
      </c>
      <c r="E72" s="3" t="s">
        <v>7635</v>
      </c>
      <c r="F72" s="3" t="s">
        <v>7636</v>
      </c>
      <c r="G72" s="3" t="s">
        <v>7637</v>
      </c>
      <c r="H72" s="3" t="s">
        <v>7638</v>
      </c>
      <c r="I72" s="3" t="s">
        <v>7639</v>
      </c>
      <c r="J72" s="5" t="str">
        <f>IFERROR(__xludf.DUMMYFUNCTION("GOOGLETRANSLATE(I72, ""zh_HANT"",""zh_HANS"")"),"捕蝇")</f>
        <v>捕蝇</v>
      </c>
    </row>
    <row r="73">
      <c r="A73" s="5" t="str">
        <f>CONCATENATE("CATEGORY_",UPPER(Pokemon!B72))</f>
        <v>CATEGORY_VICTREEBEL</v>
      </c>
      <c r="B73" s="5" t="str">
        <f t="shared" ref="B73:J73" si="36">B72</f>
        <v>Flycatcher</v>
      </c>
      <c r="C73" s="5" t="str">
        <f t="shared" si="36"/>
        <v>ハエトリ</v>
      </c>
      <c r="D73" s="5" t="str">
        <f t="shared" si="36"/>
        <v>Carnivore</v>
      </c>
      <c r="E73" s="5" t="str">
        <f t="shared" si="36"/>
        <v>Fliegentot</v>
      </c>
      <c r="F73" s="5" t="str">
        <f t="shared" si="36"/>
        <v>Matamoscas</v>
      </c>
      <c r="G73" s="5" t="str">
        <f t="shared" si="36"/>
        <v>Moschivoro</v>
      </c>
      <c r="H73" s="5" t="str">
        <f t="shared" si="36"/>
        <v>파리잡이</v>
      </c>
      <c r="I73" s="5" t="str">
        <f t="shared" si="36"/>
        <v>捕蠅</v>
      </c>
      <c r="J73" s="5" t="str">
        <f t="shared" si="36"/>
        <v>捕蝇</v>
      </c>
    </row>
    <row r="74">
      <c r="A74" s="5" t="str">
        <f>CONCATENATE("CATEGORY_",UPPER(Pokemon!B73))</f>
        <v>CATEGORY_TENTACOOL</v>
      </c>
      <c r="B74" s="3" t="s">
        <v>7640</v>
      </c>
      <c r="C74" s="3" t="s">
        <v>7641</v>
      </c>
      <c r="D74" s="3" t="s">
        <v>7642</v>
      </c>
      <c r="E74" s="3" t="s">
        <v>7643</v>
      </c>
      <c r="F74" s="3" t="s">
        <v>7644</v>
      </c>
      <c r="G74" s="5" t="str">
        <f>F74</f>
        <v>Medusa</v>
      </c>
      <c r="H74" s="3" t="s">
        <v>7645</v>
      </c>
      <c r="I74" s="3" t="s">
        <v>7646</v>
      </c>
      <c r="J74" s="5" t="str">
        <f>I74</f>
        <v>水母</v>
      </c>
    </row>
    <row r="75">
      <c r="A75" s="5" t="str">
        <f>CONCATENATE("CATEGORY_",UPPER(Pokemon!B74))</f>
        <v>CATEGORY_TENTACRUEL</v>
      </c>
      <c r="B75" s="5" t="str">
        <f t="shared" ref="B75:J75" si="37">B74</f>
        <v>Jellyfish</v>
      </c>
      <c r="C75" s="5" t="str">
        <f t="shared" si="37"/>
        <v>くらげ</v>
      </c>
      <c r="D75" s="5" t="str">
        <f t="shared" si="37"/>
        <v>Mollusque</v>
      </c>
      <c r="E75" s="5" t="str">
        <f t="shared" si="37"/>
        <v>Qualle</v>
      </c>
      <c r="F75" s="5" t="str">
        <f t="shared" si="37"/>
        <v>Medusa</v>
      </c>
      <c r="G75" s="5" t="str">
        <f t="shared" si="37"/>
        <v>Medusa</v>
      </c>
      <c r="H75" s="5" t="str">
        <f t="shared" si="37"/>
        <v>해파리</v>
      </c>
      <c r="I75" s="5" t="str">
        <f t="shared" si="37"/>
        <v>水母</v>
      </c>
      <c r="J75" s="5" t="str">
        <f t="shared" si="37"/>
        <v>水母</v>
      </c>
    </row>
    <row r="76">
      <c r="A76" s="5" t="str">
        <f>CONCATENATE("CATEGORY_",UPPER(Pokemon!B75))</f>
        <v>CATEGORY_GEODUDE</v>
      </c>
      <c r="B76" s="3" t="str">
        <f>Types!B7</f>
        <v>Rock</v>
      </c>
      <c r="C76" s="3" t="s">
        <v>7647</v>
      </c>
      <c r="D76" s="3" t="str">
        <f>Types!D7</f>
        <v>Roche</v>
      </c>
      <c r="E76" s="3" t="str">
        <f>Types!E7</f>
        <v>Gestein</v>
      </c>
      <c r="F76" s="3" t="str">
        <f>Types!F7</f>
        <v>Roca</v>
      </c>
      <c r="G76" s="3" t="str">
        <f>Types!G7</f>
        <v>Roccia</v>
      </c>
      <c r="H76" s="3" t="s">
        <v>7648</v>
      </c>
      <c r="I76" s="3" t="str">
        <f>Types!I7</f>
        <v>岩石</v>
      </c>
      <c r="J76" s="3" t="str">
        <f>Types!J7</f>
        <v>岩石</v>
      </c>
    </row>
    <row r="77">
      <c r="A77" s="5" t="str">
        <f>CONCATENATE("CATEGORY_",UPPER(Pokemon!B76))</f>
        <v>CATEGORY_GRAVELER</v>
      </c>
      <c r="B77" s="5" t="str">
        <f t="shared" ref="B77:J77" si="38">B76</f>
        <v>Rock</v>
      </c>
      <c r="C77" s="5" t="str">
        <f t="shared" si="38"/>
        <v>がんせき</v>
      </c>
      <c r="D77" s="5" t="str">
        <f t="shared" si="38"/>
        <v>Roche</v>
      </c>
      <c r="E77" s="5" t="str">
        <f t="shared" si="38"/>
        <v>Gestein</v>
      </c>
      <c r="F77" s="5" t="str">
        <f t="shared" si="38"/>
        <v>Roca</v>
      </c>
      <c r="G77" s="5" t="str">
        <f t="shared" si="38"/>
        <v>Roccia</v>
      </c>
      <c r="H77" s="5" t="str">
        <f t="shared" si="38"/>
        <v>암석</v>
      </c>
      <c r="I77" s="5" t="str">
        <f t="shared" si="38"/>
        <v>岩石</v>
      </c>
      <c r="J77" s="5" t="str">
        <f t="shared" si="38"/>
        <v>岩石</v>
      </c>
    </row>
    <row r="78">
      <c r="A78" s="5" t="str">
        <f>CONCATENATE("CATEGORY_",UPPER(Pokemon!B77))</f>
        <v>CATEGORY_GOLEM</v>
      </c>
      <c r="B78" s="3" t="s">
        <v>7649</v>
      </c>
      <c r="C78" s="3" t="s">
        <v>7650</v>
      </c>
      <c r="D78" s="3" t="s">
        <v>7651</v>
      </c>
      <c r="E78" s="3" t="s">
        <v>7652</v>
      </c>
      <c r="F78" s="3" t="s">
        <v>7653</v>
      </c>
      <c r="G78" s="3" t="s">
        <v>7654</v>
      </c>
      <c r="H78" s="3" t="s">
        <v>7655</v>
      </c>
      <c r="I78" s="3" t="s">
        <v>7656</v>
      </c>
      <c r="J78" s="5" t="str">
        <f>IFERROR(__xludf.DUMMYFUNCTION("GOOGLETRANSLATE(I78, ""zh_HANT"",""zh_HANS"")"),"重量级")</f>
        <v>重量级</v>
      </c>
    </row>
    <row r="79">
      <c r="A79" s="5" t="str">
        <f>CONCATENATE("CATEGORY_",UPPER(Pokemon!B78))</f>
        <v>CATEGORY_PONYTA</v>
      </c>
      <c r="B79" s="3" t="s">
        <v>7657</v>
      </c>
      <c r="C79" s="3" t="s">
        <v>7658</v>
      </c>
      <c r="D79" s="3" t="s">
        <v>7659</v>
      </c>
      <c r="E79" s="3" t="s">
        <v>7660</v>
      </c>
      <c r="F79" s="3" t="s">
        <v>7661</v>
      </c>
      <c r="G79" s="3" t="s">
        <v>7662</v>
      </c>
      <c r="H79" s="3" t="s">
        <v>7663</v>
      </c>
      <c r="I79" s="3" t="s">
        <v>7664</v>
      </c>
      <c r="J79" s="5" t="str">
        <f>IFERROR(__xludf.DUMMYFUNCTION("GOOGLETRANSLATE(I79, ""zh_HANT"",""zh_HANS"")"),"火马")</f>
        <v>火马</v>
      </c>
    </row>
    <row r="80">
      <c r="A80" s="5" t="str">
        <f>CONCATENATE(A79,"-G")</f>
        <v>CATEGORY_PONYTA-G</v>
      </c>
      <c r="B80" s="3" t="s">
        <v>7665</v>
      </c>
      <c r="C80" s="3" t="s">
        <v>7666</v>
      </c>
      <c r="D80" s="3" t="s">
        <v>7667</v>
      </c>
      <c r="E80" s="3" t="s">
        <v>7668</v>
      </c>
      <c r="F80" s="3" t="s">
        <v>7669</v>
      </c>
      <c r="G80" s="3" t="s">
        <v>7670</v>
      </c>
      <c r="H80" s="3" t="s">
        <v>7671</v>
      </c>
      <c r="I80" s="5" t="str">
        <f>J80</f>
        <v>一角</v>
      </c>
      <c r="J80" s="3" t="s">
        <v>7672</v>
      </c>
    </row>
    <row r="81">
      <c r="A81" s="5" t="str">
        <f>CONCATENATE("CATEGORY_",UPPER(Pokemon!B79))</f>
        <v>CATEGORY_RAPIDASH</v>
      </c>
      <c r="B81" s="5" t="str">
        <f t="shared" ref="B81:J81" si="39">B79</f>
        <v>Fire Horse</v>
      </c>
      <c r="C81" s="5" t="str">
        <f t="shared" si="39"/>
        <v>ひのうま</v>
      </c>
      <c r="D81" s="5" t="str">
        <f t="shared" si="39"/>
        <v>Cheval Feu</v>
      </c>
      <c r="E81" s="5" t="str">
        <f t="shared" si="39"/>
        <v>Feuerpferd</v>
      </c>
      <c r="F81" s="5" t="str">
        <f t="shared" si="39"/>
        <v>Caballo F.</v>
      </c>
      <c r="G81" s="5" t="str">
        <f t="shared" si="39"/>
        <v>Cavalfuoco</v>
      </c>
      <c r="H81" s="5" t="str">
        <f t="shared" si="39"/>
        <v>불의말</v>
      </c>
      <c r="I81" s="5" t="str">
        <f t="shared" si="39"/>
        <v>火馬</v>
      </c>
      <c r="J81" s="5" t="str">
        <f t="shared" si="39"/>
        <v>火马</v>
      </c>
    </row>
    <row r="82">
      <c r="A82" s="5" t="str">
        <f>CONCATENATE(A81,"-G")</f>
        <v>CATEGORY_RAPIDASH-G</v>
      </c>
      <c r="B82" s="5" t="str">
        <f t="shared" ref="B82:J82" si="40">B80</f>
        <v>Unique Horn</v>
      </c>
      <c r="C82" s="5" t="str">
        <f t="shared" si="40"/>
        <v>いっかく</v>
      </c>
      <c r="D82" s="5" t="str">
        <f t="shared" si="40"/>
        <v>Monocorne</v>
      </c>
      <c r="E82" s="5" t="str">
        <f t="shared" si="40"/>
        <v>Einhorn</v>
      </c>
      <c r="F82" s="5" t="str">
        <f t="shared" si="40"/>
        <v>Unicorne</v>
      </c>
      <c r="G82" s="5" t="str">
        <f t="shared" si="40"/>
        <v>Singolcorno</v>
      </c>
      <c r="H82" s="5" t="str">
        <f t="shared" si="40"/>
        <v>일각</v>
      </c>
      <c r="I82" s="5" t="str">
        <f t="shared" si="40"/>
        <v>一角</v>
      </c>
      <c r="J82" s="5" t="str">
        <f t="shared" si="40"/>
        <v>一角</v>
      </c>
    </row>
    <row r="83">
      <c r="A83" s="5" t="str">
        <f>CONCATENATE("CATEGORY_",UPPER(Pokemon!B80))</f>
        <v>CATEGORY_SLOWPOKE</v>
      </c>
      <c r="B83" s="3" t="s">
        <v>7673</v>
      </c>
      <c r="C83" s="3" t="s">
        <v>7674</v>
      </c>
      <c r="D83" s="3" t="s">
        <v>7675</v>
      </c>
      <c r="E83" s="3" t="s">
        <v>7676</v>
      </c>
      <c r="F83" s="3" t="s">
        <v>7677</v>
      </c>
      <c r="G83" s="3" t="s">
        <v>7678</v>
      </c>
      <c r="H83" s="3" t="s">
        <v>7679</v>
      </c>
      <c r="I83" s="3" t="s">
        <v>7680</v>
      </c>
      <c r="J83" s="5" t="str">
        <f t="shared" ref="J83:J84" si="41">I83</f>
        <v>憨憨</v>
      </c>
    </row>
    <row r="84">
      <c r="A84" s="5" t="str">
        <f>CONCATENATE("CATEGORY_",UPPER(Pokemon!B81))</f>
        <v>CATEGORY_SLOWBRO</v>
      </c>
      <c r="B84" s="3" t="s">
        <v>7681</v>
      </c>
      <c r="C84" s="3" t="s">
        <v>7682</v>
      </c>
      <c r="D84" s="3" t="s">
        <v>7683</v>
      </c>
      <c r="E84" s="5" t="str">
        <f>D84</f>
        <v>Symbiose</v>
      </c>
      <c r="F84" s="3" t="s">
        <v>7684</v>
      </c>
      <c r="G84" s="3" t="s">
        <v>7685</v>
      </c>
      <c r="H84" s="3" t="s">
        <v>7686</v>
      </c>
      <c r="I84" s="3" t="s">
        <v>7687</v>
      </c>
      <c r="J84" s="5" t="str">
        <f t="shared" si="41"/>
        <v>寄居蟹</v>
      </c>
    </row>
    <row r="85">
      <c r="A85" s="5" t="str">
        <f>CONCATENATE("CATEGORY_",UPPER(Pokemon!B82))</f>
        <v>CATEGORY_MAGNEMITE</v>
      </c>
      <c r="B85" s="3" t="str">
        <f>Items!B306</f>
        <v>Magnet</v>
      </c>
      <c r="C85" s="3" t="str">
        <f>Items!C306</f>
        <v>じしゃく</v>
      </c>
      <c r="D85" s="3" t="s">
        <v>7688</v>
      </c>
      <c r="E85" s="3" t="str">
        <f>Items!E306</f>
        <v>Magnet</v>
      </c>
      <c r="F85" s="3" t="str">
        <f>Items!F306</f>
        <v>Imán</v>
      </c>
      <c r="G85" s="3" t="str">
        <f>Items!G306</f>
        <v>Calamita</v>
      </c>
      <c r="H85" s="3" t="s">
        <v>7689</v>
      </c>
      <c r="I85" s="3" t="s">
        <v>7690</v>
      </c>
      <c r="J85" s="5" t="str">
        <f>IFERROR(__xludf.DUMMYFUNCTION("GOOGLETRANSLATE(I85, ""zh_HANT"",""zh_HANS"")"),"磁铁")</f>
        <v>磁铁</v>
      </c>
    </row>
    <row r="86">
      <c r="A86" s="5" t="str">
        <f>CONCATENATE("CATEGORY_",UPPER(Pokemon!B83))</f>
        <v>CATEGORY_MAGNETON</v>
      </c>
      <c r="B86" s="5" t="str">
        <f t="shared" ref="B86:J86" si="42">B85</f>
        <v>Magnet</v>
      </c>
      <c r="C86" s="5" t="str">
        <f t="shared" si="42"/>
        <v>じしゃく</v>
      </c>
      <c r="D86" s="5" t="str">
        <f t="shared" si="42"/>
        <v>Magnétique</v>
      </c>
      <c r="E86" s="5" t="str">
        <f t="shared" si="42"/>
        <v>Magnet</v>
      </c>
      <c r="F86" s="5" t="str">
        <f t="shared" si="42"/>
        <v>Imán</v>
      </c>
      <c r="G86" s="5" t="str">
        <f t="shared" si="42"/>
        <v>Calamita</v>
      </c>
      <c r="H86" s="5" t="str">
        <f t="shared" si="42"/>
        <v>자석</v>
      </c>
      <c r="I86" s="5" t="str">
        <f t="shared" si="42"/>
        <v>磁鐵</v>
      </c>
      <c r="J86" s="5" t="str">
        <f t="shared" si="42"/>
        <v>磁铁</v>
      </c>
    </row>
    <row r="87">
      <c r="A87" s="5" t="str">
        <f>CONCATENATE("CATEGORY_",UPPER(Pokemon!B84))</f>
        <v>CATEGORY_FARFETCH'D</v>
      </c>
      <c r="B87" s="3" t="s">
        <v>7691</v>
      </c>
      <c r="C87" s="3" t="s">
        <v>7692</v>
      </c>
      <c r="D87" s="3" t="s">
        <v>7693</v>
      </c>
      <c r="E87" s="3" t="s">
        <v>7694</v>
      </c>
      <c r="F87" s="3" t="s">
        <v>7695</v>
      </c>
      <c r="G87" s="3" t="s">
        <v>7696</v>
      </c>
      <c r="H87" s="3" t="s">
        <v>7697</v>
      </c>
      <c r="I87" s="3" t="s">
        <v>7698</v>
      </c>
      <c r="J87" s="5" t="str">
        <f>IFERROR(__xludf.DUMMYFUNCTION("GOOGLETRANSLATE(I87, ""zh_HANT"",""zh_HANS"")"),"黄嘴鸭")</f>
        <v>黄嘴鸭</v>
      </c>
    </row>
    <row r="88">
      <c r="A88" s="5" t="str">
        <f>CONCATENATE("CATEGORY_",UPPER(Pokemon!B85))</f>
        <v>CATEGORY_DODUO</v>
      </c>
      <c r="B88" s="3" t="s">
        <v>7699</v>
      </c>
      <c r="C88" s="3" t="s">
        <v>7700</v>
      </c>
      <c r="D88" s="3" t="s">
        <v>7701</v>
      </c>
      <c r="E88" s="3" t="s">
        <v>7702</v>
      </c>
      <c r="F88" s="3" t="s">
        <v>7703</v>
      </c>
      <c r="G88" s="3" t="s">
        <v>7704</v>
      </c>
      <c r="H88" s="3" t="s">
        <v>7705</v>
      </c>
      <c r="I88" s="3" t="s">
        <v>7706</v>
      </c>
      <c r="J88" s="5" t="str">
        <f>IFERROR(__xludf.DUMMYFUNCTION("GOOGLETRANSLATE(I88, ""zh_HANT"",""zh_HANS"")"),"两头鸟")</f>
        <v>两头鸟</v>
      </c>
    </row>
    <row r="89">
      <c r="A89" s="5" t="str">
        <f>CONCATENATE("CATEGORY_",UPPER(Pokemon!B86))</f>
        <v>CATEGORY_DODRIO</v>
      </c>
      <c r="B89" s="3" t="s">
        <v>7707</v>
      </c>
      <c r="C89" s="3" t="s">
        <v>7708</v>
      </c>
      <c r="D89" s="3" t="s">
        <v>7709</v>
      </c>
      <c r="E89" s="3" t="s">
        <v>7710</v>
      </c>
      <c r="F89" s="3" t="s">
        <v>7711</v>
      </c>
      <c r="G89" s="3" t="s">
        <v>7712</v>
      </c>
      <c r="H89" s="3" t="s">
        <v>7713</v>
      </c>
      <c r="I89" s="3" t="s">
        <v>7714</v>
      </c>
      <c r="J89" s="5" t="str">
        <f>IFERROR(__xludf.DUMMYFUNCTION("GOOGLETRANSLATE(I89, ""zh_HANT"",""zh_HANS"")"),"三头鸟")</f>
        <v>三头鸟</v>
      </c>
    </row>
    <row r="90">
      <c r="A90" s="5" t="str">
        <f>CONCATENATE("CATEGORY_",UPPER(Pokemon!B87))</f>
        <v>CATEGORY_SEEL</v>
      </c>
      <c r="B90" s="3" t="s">
        <v>7715</v>
      </c>
      <c r="C90" s="3" t="s">
        <v>7716</v>
      </c>
      <c r="D90" s="3" t="s">
        <v>7717</v>
      </c>
      <c r="E90" s="3" t="s">
        <v>7718</v>
      </c>
      <c r="F90" s="3" t="s">
        <v>7719</v>
      </c>
      <c r="G90" s="3" t="s">
        <v>483</v>
      </c>
      <c r="H90" s="3" t="s">
        <v>7720</v>
      </c>
      <c r="I90" s="3" t="s">
        <v>7721</v>
      </c>
      <c r="J90" s="5" t="str">
        <f>IFERROR(__xludf.DUMMYFUNCTION("GOOGLETRANSLATE(I90, ""zh_HANT"",""zh_HANS"")"),"海狮")</f>
        <v>海狮</v>
      </c>
    </row>
    <row r="91">
      <c r="A91" s="5" t="str">
        <f>CONCATENATE("CATEGORY_",UPPER(Pokemon!B88))</f>
        <v>CATEGORY_DEWGONG</v>
      </c>
      <c r="B91" s="5" t="str">
        <f t="shared" ref="B91:J91" si="43">B90</f>
        <v>Sea Lion</v>
      </c>
      <c r="C91" s="5" t="str">
        <f t="shared" si="43"/>
        <v>あしか</v>
      </c>
      <c r="D91" s="5" t="str">
        <f t="shared" si="43"/>
        <v>Otarie</v>
      </c>
      <c r="E91" s="5" t="str">
        <f t="shared" si="43"/>
        <v>Seehund</v>
      </c>
      <c r="F91" s="5" t="str">
        <f t="shared" si="43"/>
        <v>León Marino</v>
      </c>
      <c r="G91" s="5" t="str">
        <f t="shared" si="43"/>
        <v>Otaria</v>
      </c>
      <c r="H91" s="5" t="str">
        <f t="shared" si="43"/>
        <v>강치</v>
      </c>
      <c r="I91" s="5" t="str">
        <f t="shared" si="43"/>
        <v>海獅</v>
      </c>
      <c r="J91" s="5" t="str">
        <f t="shared" si="43"/>
        <v>海狮</v>
      </c>
    </row>
    <row r="92">
      <c r="A92" s="5" t="str">
        <f>CONCATENATE("CATEGORY_",UPPER(Pokemon!B89))</f>
        <v>CATEGORY_GRIMER</v>
      </c>
      <c r="B92" s="3" t="str">
        <f>Moves!B125</f>
        <v>Sludge</v>
      </c>
      <c r="C92" s="3" t="s">
        <v>7722</v>
      </c>
      <c r="D92" s="3" t="s">
        <v>7723</v>
      </c>
      <c r="E92" s="3" t="s">
        <v>7724</v>
      </c>
      <c r="F92" s="3" t="s">
        <v>7725</v>
      </c>
      <c r="G92" s="3" t="s">
        <v>7726</v>
      </c>
      <c r="H92" s="3" t="s">
        <v>7727</v>
      </c>
      <c r="I92" s="3" t="s">
        <v>7728</v>
      </c>
      <c r="J92" s="5" t="str">
        <f>I92</f>
        <v>污泥</v>
      </c>
    </row>
    <row r="93">
      <c r="A93" s="5" t="str">
        <f>CONCATENATE("CATEGORY_",UPPER(Pokemon!B90))</f>
        <v>CATEGORY_MUK</v>
      </c>
      <c r="B93" s="5" t="str">
        <f t="shared" ref="B93:J93" si="44">B92</f>
        <v>Sludge</v>
      </c>
      <c r="C93" s="5" t="str">
        <f t="shared" si="44"/>
        <v>ヘドロ</v>
      </c>
      <c r="D93" s="5" t="str">
        <f t="shared" si="44"/>
        <v>Dégueu</v>
      </c>
      <c r="E93" s="5" t="str">
        <f t="shared" si="44"/>
        <v>Schlamm</v>
      </c>
      <c r="F93" s="5" t="str">
        <f t="shared" si="44"/>
        <v>Lodo</v>
      </c>
      <c r="G93" s="5" t="str">
        <f t="shared" si="44"/>
        <v>Melma</v>
      </c>
      <c r="H93" s="5" t="str">
        <f t="shared" si="44"/>
        <v>진흙</v>
      </c>
      <c r="I93" s="5" t="str">
        <f t="shared" si="44"/>
        <v>污泥</v>
      </c>
      <c r="J93" s="5" t="str">
        <f t="shared" si="44"/>
        <v>污泥</v>
      </c>
    </row>
    <row r="94">
      <c r="A94" s="5" t="str">
        <f>CONCATENATE("CATEGORY_",UPPER(Pokemon!B91))</f>
        <v>CATEGORY_SHELLDER</v>
      </c>
      <c r="B94" s="3" t="s">
        <v>7729</v>
      </c>
      <c r="C94" s="3" t="s">
        <v>7730</v>
      </c>
      <c r="D94" s="3" t="s">
        <v>7729</v>
      </c>
      <c r="E94" s="3" t="s">
        <v>7731</v>
      </c>
      <c r="F94" s="3" t="s">
        <v>7732</v>
      </c>
      <c r="G94" s="5" t="str">
        <f>B94</f>
        <v>Bivalve</v>
      </c>
      <c r="H94" s="3" t="s">
        <v>7733</v>
      </c>
      <c r="I94" s="3" t="s">
        <v>7734</v>
      </c>
      <c r="J94" s="5" t="str">
        <f>IFERROR(__xludf.DUMMYFUNCTION("GOOGLETRANSLATE(I94, ""zh_HANT"",""zh_HANS"")"),"双壳贝")</f>
        <v>双壳贝</v>
      </c>
    </row>
    <row r="95">
      <c r="A95" s="5" t="str">
        <f>CONCATENATE("CATEGORY_",UPPER(Pokemon!B92))</f>
        <v>CATEGORY_CLOYSTER</v>
      </c>
      <c r="B95" s="5" t="str">
        <f t="shared" ref="B95:J95" si="45">B94</f>
        <v>Bivalve</v>
      </c>
      <c r="C95" s="5" t="str">
        <f t="shared" si="45"/>
        <v>２まいがい</v>
      </c>
      <c r="D95" s="5" t="str">
        <f t="shared" si="45"/>
        <v>Bivalve</v>
      </c>
      <c r="E95" s="5" t="str">
        <f t="shared" si="45"/>
        <v>Muschel</v>
      </c>
      <c r="F95" s="5" t="str">
        <f t="shared" si="45"/>
        <v>Bivalvo</v>
      </c>
      <c r="G95" s="5" t="str">
        <f t="shared" si="45"/>
        <v>Bivalve</v>
      </c>
      <c r="H95" s="5" t="str">
        <f t="shared" si="45"/>
        <v>두조개</v>
      </c>
      <c r="I95" s="5" t="str">
        <f t="shared" si="45"/>
        <v>雙殼貝</v>
      </c>
      <c r="J95" s="5" t="str">
        <f t="shared" si="45"/>
        <v>双壳贝</v>
      </c>
    </row>
    <row r="96">
      <c r="A96" s="5" t="str">
        <f>CONCATENATE("CATEGORY_",UPPER(Pokemon!B93))</f>
        <v>CATEGORY_GASTLY</v>
      </c>
      <c r="B96" s="3" t="s">
        <v>7735</v>
      </c>
      <c r="C96" s="3" t="s">
        <v>7736</v>
      </c>
      <c r="D96" s="3" t="s">
        <v>7737</v>
      </c>
      <c r="E96" s="5" t="str">
        <f>B96</f>
        <v>Gas</v>
      </c>
      <c r="F96" s="5" t="str">
        <f>B96</f>
        <v>Gas</v>
      </c>
      <c r="G96" s="5" t="str">
        <f>B96</f>
        <v>Gas</v>
      </c>
      <c r="H96" s="3" t="s">
        <v>7738</v>
      </c>
      <c r="I96" s="3" t="s">
        <v>7739</v>
      </c>
      <c r="J96" s="5" t="str">
        <f>IFERROR(__xludf.DUMMYFUNCTION("GOOGLETRANSLATE(I96, ""zh_HANT"",""zh_HANS"")"),"气体状")</f>
        <v>气体状</v>
      </c>
    </row>
    <row r="97">
      <c r="A97" s="5" t="str">
        <f>CONCATENATE("CATEGORY_",UPPER(Pokemon!B94))</f>
        <v>CATEGORY_HAUNTER</v>
      </c>
      <c r="B97" s="5" t="str">
        <f t="shared" ref="B97:J97" si="46">B96</f>
        <v>Gas</v>
      </c>
      <c r="C97" s="5" t="str">
        <f t="shared" si="46"/>
        <v>ガスじょう</v>
      </c>
      <c r="D97" s="5" t="str">
        <f t="shared" si="46"/>
        <v>Gaz</v>
      </c>
      <c r="E97" s="5" t="str">
        <f t="shared" si="46"/>
        <v>Gas</v>
      </c>
      <c r="F97" s="5" t="str">
        <f t="shared" si="46"/>
        <v>Gas</v>
      </c>
      <c r="G97" s="5" t="str">
        <f t="shared" si="46"/>
        <v>Gas</v>
      </c>
      <c r="H97" s="5" t="str">
        <f t="shared" si="46"/>
        <v>가스</v>
      </c>
      <c r="I97" s="5" t="str">
        <f t="shared" si="46"/>
        <v>氣體狀</v>
      </c>
      <c r="J97" s="5" t="str">
        <f t="shared" si="46"/>
        <v>气体状</v>
      </c>
    </row>
    <row r="98">
      <c r="A98" s="5" t="str">
        <f>CONCATENATE("CATEGORY_",UPPER(Pokemon!B95))</f>
        <v>CATEGORY_GENGAR</v>
      </c>
      <c r="B98" s="3" t="s">
        <v>7740</v>
      </c>
      <c r="C98" s="3" t="s">
        <v>7741</v>
      </c>
      <c r="D98" s="3" t="s">
        <v>7742</v>
      </c>
      <c r="E98" s="3" t="s">
        <v>7743</v>
      </c>
      <c r="F98" s="3" t="s">
        <v>7744</v>
      </c>
      <c r="G98" s="3" t="s">
        <v>7745</v>
      </c>
      <c r="H98" s="3" t="s">
        <v>7746</v>
      </c>
      <c r="I98" s="3" t="s">
        <v>7747</v>
      </c>
      <c r="J98" s="5" t="str">
        <f t="shared" ref="J98:J100" si="47">I98</f>
        <v>影子</v>
      </c>
    </row>
    <row r="99">
      <c r="A99" s="5" t="str">
        <f>CONCATENATE("CATEGORY_",UPPER(Pokemon!B96))</f>
        <v>CATEGORY_ONIX</v>
      </c>
      <c r="B99" s="3" t="s">
        <v>7748</v>
      </c>
      <c r="C99" s="3" t="s">
        <v>7749</v>
      </c>
      <c r="D99" s="3" t="s">
        <v>7750</v>
      </c>
      <c r="E99" s="3" t="s">
        <v>7751</v>
      </c>
      <c r="F99" s="3" t="s">
        <v>7752</v>
      </c>
      <c r="G99" s="3" t="s">
        <v>7753</v>
      </c>
      <c r="H99" s="3" t="s">
        <v>7754</v>
      </c>
      <c r="I99" s="3" t="s">
        <v>7755</v>
      </c>
      <c r="J99" s="5" t="str">
        <f t="shared" si="47"/>
        <v>岩蛇</v>
      </c>
    </row>
    <row r="100">
      <c r="A100" s="5" t="str">
        <f>CONCATENATE("CATEGORY_",UPPER(Pokemon!B97))</f>
        <v>CATEGORY_DROWZEE</v>
      </c>
      <c r="B100" s="3" t="str">
        <f>Moves!B96</f>
        <v>Hypnosis</v>
      </c>
      <c r="C100" s="3" t="s">
        <v>7756</v>
      </c>
      <c r="D100" s="3" t="str">
        <f>Moves!D96</f>
        <v>Hypnose</v>
      </c>
      <c r="E100" s="3" t="str">
        <f>Moves!E96</f>
        <v>Hypnose</v>
      </c>
      <c r="F100" s="3" t="str">
        <f>Moves!F96</f>
        <v>Hipnosis</v>
      </c>
      <c r="G100" s="3" t="str">
        <f>Moves!G96</f>
        <v>Ipnosi</v>
      </c>
      <c r="H100" s="3" t="s">
        <v>7757</v>
      </c>
      <c r="I100" s="3" t="s">
        <v>7758</v>
      </c>
      <c r="J100" s="5" t="str">
        <f t="shared" si="47"/>
        <v>催眠</v>
      </c>
    </row>
    <row r="101">
      <c r="A101" s="5" t="str">
        <f>CONCATENATE("CATEGORY_",UPPER(Pokemon!B98))</f>
        <v>CATEGORY_HYPNO</v>
      </c>
      <c r="B101" s="5" t="str">
        <f t="shared" ref="B101:J101" si="48">B100</f>
        <v>Hypnosis</v>
      </c>
      <c r="C101" s="5" t="str">
        <f t="shared" si="48"/>
        <v>さいみん</v>
      </c>
      <c r="D101" s="5" t="str">
        <f t="shared" si="48"/>
        <v>Hypnose</v>
      </c>
      <c r="E101" s="5" t="str">
        <f t="shared" si="48"/>
        <v>Hypnose</v>
      </c>
      <c r="F101" s="5" t="str">
        <f t="shared" si="48"/>
        <v>Hipnosis</v>
      </c>
      <c r="G101" s="5" t="str">
        <f t="shared" si="48"/>
        <v>Ipnosi</v>
      </c>
      <c r="H101" s="5" t="str">
        <f t="shared" si="48"/>
        <v>최면</v>
      </c>
      <c r="I101" s="5" t="str">
        <f t="shared" si="48"/>
        <v>催眠</v>
      </c>
      <c r="J101" s="5" t="str">
        <f t="shared" si="48"/>
        <v>催眠</v>
      </c>
    </row>
    <row r="102">
      <c r="A102" s="5" t="str">
        <f>CONCATENATE("CATEGORY_",UPPER(Pokemon!B99))</f>
        <v>CATEGORY_KRABBY</v>
      </c>
      <c r="B102" s="3" t="s">
        <v>7759</v>
      </c>
      <c r="C102" s="3" t="s">
        <v>7760</v>
      </c>
      <c r="D102" s="3" t="s">
        <v>7761</v>
      </c>
      <c r="E102" s="3" t="s">
        <v>7762</v>
      </c>
      <c r="F102" s="3" t="s">
        <v>7763</v>
      </c>
      <c r="G102" s="3" t="s">
        <v>7764</v>
      </c>
      <c r="H102" s="3" t="s">
        <v>7765</v>
      </c>
      <c r="I102" s="3" t="s">
        <v>7766</v>
      </c>
      <c r="J102" s="5" t="str">
        <f>I102</f>
        <v>清水蟹</v>
      </c>
    </row>
    <row r="103">
      <c r="A103" s="5" t="str">
        <f>CONCATENATE("CATEGORY_",UPPER(Pokemon!B100))</f>
        <v>CATEGORY_KINGLER</v>
      </c>
      <c r="B103" s="3" t="s">
        <v>7767</v>
      </c>
      <c r="C103" s="3" t="s">
        <v>7768</v>
      </c>
      <c r="D103" s="3" t="s">
        <v>7769</v>
      </c>
      <c r="E103" s="3" t="s">
        <v>7770</v>
      </c>
      <c r="F103" s="3" t="s">
        <v>7771</v>
      </c>
      <c r="G103" s="3" t="s">
        <v>7772</v>
      </c>
      <c r="H103" s="3" t="s">
        <v>7773</v>
      </c>
      <c r="I103" s="3" t="s">
        <v>7774</v>
      </c>
      <c r="J103" s="5" t="str">
        <f>IFERROR(__xludf.DUMMYFUNCTION("GOOGLETRANSLATE(I103, ""zh_HANT"",""zh_HANS"")"),"钳子")</f>
        <v>钳子</v>
      </c>
    </row>
    <row r="104">
      <c r="A104" s="5" t="str">
        <f>CONCATENATE("CATEGORY_",UPPER(Pokemon!B101))</f>
        <v>CATEGORY_VOLTORB</v>
      </c>
      <c r="B104" s="3" t="s">
        <v>7775</v>
      </c>
      <c r="C104" s="3" t="s">
        <v>7776</v>
      </c>
      <c r="D104" s="3" t="s">
        <v>7777</v>
      </c>
      <c r="E104" s="5" t="str">
        <f>B104</f>
        <v>Ball</v>
      </c>
      <c r="F104" s="3" t="s">
        <v>7778</v>
      </c>
      <c r="G104" s="5" t="str">
        <f>B104</f>
        <v>Ball</v>
      </c>
      <c r="H104" s="3" t="s">
        <v>7779</v>
      </c>
      <c r="I104" s="3" t="s">
        <v>7780</v>
      </c>
      <c r="J104" s="5" t="str">
        <f>I104</f>
        <v>球</v>
      </c>
    </row>
    <row r="105">
      <c r="A105" s="3" t="s">
        <v>7781</v>
      </c>
      <c r="B105" s="3" t="s">
        <v>7782</v>
      </c>
      <c r="C105" s="3" t="s">
        <v>7783</v>
      </c>
      <c r="D105" s="3" t="s">
        <v>7784</v>
      </c>
      <c r="E105" s="3" t="s">
        <v>7785</v>
      </c>
      <c r="F105" s="3" t="s">
        <v>7786</v>
      </c>
      <c r="G105" s="3" t="s">
        <v>7787</v>
      </c>
      <c r="H105" s="3" t="s">
        <v>7788</v>
      </c>
      <c r="I105" s="5" t="str">
        <f>J105</f>
        <v>丸</v>
      </c>
      <c r="J105" s="3" t="s">
        <v>7789</v>
      </c>
    </row>
    <row r="106">
      <c r="A106" s="5" t="str">
        <f>CONCATENATE("CATEGORY_",UPPER(Pokemon!B102))</f>
        <v>CATEGORY_ELECTRODE</v>
      </c>
      <c r="B106" s="5" t="str">
        <f t="shared" ref="B106:J106" si="49">B104</f>
        <v>Ball</v>
      </c>
      <c r="C106" s="5" t="str">
        <f t="shared" si="49"/>
        <v>ボール</v>
      </c>
      <c r="D106" s="5" t="str">
        <f t="shared" si="49"/>
        <v>Balle</v>
      </c>
      <c r="E106" s="5" t="str">
        <f t="shared" si="49"/>
        <v>Ball</v>
      </c>
      <c r="F106" s="5" t="str">
        <f t="shared" si="49"/>
        <v>Bola</v>
      </c>
      <c r="G106" s="5" t="str">
        <f t="shared" si="49"/>
        <v>Ball</v>
      </c>
      <c r="H106" s="5" t="str">
        <f t="shared" si="49"/>
        <v>볼</v>
      </c>
      <c r="I106" s="5" t="str">
        <f t="shared" si="49"/>
        <v>球</v>
      </c>
      <c r="J106" s="5" t="str">
        <f t="shared" si="49"/>
        <v>球</v>
      </c>
    </row>
    <row r="107">
      <c r="A107" s="3" t="s">
        <v>7790</v>
      </c>
      <c r="B107" s="5" t="str">
        <f t="shared" ref="B107:J107" si="50">B105</f>
        <v>Sphere</v>
      </c>
      <c r="C107" s="5" t="str">
        <f t="shared" si="50"/>
        <v>きゅうたい</v>
      </c>
      <c r="D107" s="5" t="str">
        <f t="shared" si="50"/>
        <v>Sphère</v>
      </c>
      <c r="E107" s="5" t="str">
        <f t="shared" si="50"/>
        <v>Kugel</v>
      </c>
      <c r="F107" s="5" t="str">
        <f t="shared" si="50"/>
        <v>Esfera</v>
      </c>
      <c r="G107" s="5" t="str">
        <f t="shared" si="50"/>
        <v>Sfera</v>
      </c>
      <c r="H107" s="5" t="str">
        <f t="shared" si="50"/>
        <v>구체</v>
      </c>
      <c r="I107" s="5" t="str">
        <f t="shared" si="50"/>
        <v>丸</v>
      </c>
      <c r="J107" s="5" t="str">
        <f t="shared" si="50"/>
        <v>丸</v>
      </c>
    </row>
    <row r="108">
      <c r="A108" s="5" t="str">
        <f>CONCATENATE("CATEGORY_",UPPER(Pokemon!B103))</f>
        <v>CATEGORY_EXEGGCUTE</v>
      </c>
      <c r="B108" s="3" t="s">
        <v>7791</v>
      </c>
      <c r="C108" s="3" t="s">
        <v>7792</v>
      </c>
      <c r="D108" s="13" t="s">
        <v>7793</v>
      </c>
      <c r="E108" s="3" t="s">
        <v>7794</v>
      </c>
      <c r="F108" s="3" t="s">
        <v>7795</v>
      </c>
      <c r="G108" s="3" t="s">
        <v>7796</v>
      </c>
      <c r="H108" s="3" t="s">
        <v>7797</v>
      </c>
      <c r="I108" s="3" t="s">
        <v>7798</v>
      </c>
      <c r="J108" s="5" t="str">
        <f t="shared" ref="J108:J109" si="51">I108</f>
        <v>蛋</v>
      </c>
    </row>
    <row r="109">
      <c r="A109" s="5" t="str">
        <f>CONCATENATE("CATEGORY_",UPPER(Pokemon!B104))</f>
        <v>CATEGORY_EXEGGUTOR</v>
      </c>
      <c r="B109" s="3" t="s">
        <v>7799</v>
      </c>
      <c r="C109" s="3" t="s">
        <v>7800</v>
      </c>
      <c r="D109" s="3" t="s">
        <v>7801</v>
      </c>
      <c r="E109" s="3" t="s">
        <v>7802</v>
      </c>
      <c r="F109" s="3" t="s">
        <v>7803</v>
      </c>
      <c r="G109" s="3" t="s">
        <v>7804</v>
      </c>
      <c r="H109" s="3" t="s">
        <v>7805</v>
      </c>
      <c r="I109" s="3" t="s">
        <v>7806</v>
      </c>
      <c r="J109" s="5" t="str">
        <f t="shared" si="51"/>
        <v>椰子</v>
      </c>
    </row>
    <row r="110">
      <c r="A110" s="5" t="str">
        <f>CONCATENATE("CATEGORY_",UPPER(Pokemon!B105))</f>
        <v>CATEGORY_CUBONE</v>
      </c>
      <c r="B110" s="3" t="str">
        <f>Natures!B15</f>
        <v>Lonely</v>
      </c>
      <c r="C110" s="3" t="s">
        <v>7807</v>
      </c>
      <c r="D110" s="3" t="s">
        <v>7808</v>
      </c>
      <c r="E110" s="3" t="s">
        <v>7809</v>
      </c>
      <c r="F110" s="3" t="s">
        <v>7810</v>
      </c>
      <c r="G110" s="5" t="str">
        <f>F110</f>
        <v>Solitario</v>
      </c>
      <c r="H110" s="3" t="s">
        <v>7811</v>
      </c>
      <c r="I110" s="3" t="s">
        <v>7812</v>
      </c>
      <c r="J110" s="5" t="str">
        <f>IFERROR(__xludf.DUMMYFUNCTION("GOOGLETRANSLATE(I110, ""zh_HANT"",""zh_HANS"")"),"孤独")</f>
        <v>孤独</v>
      </c>
    </row>
    <row r="111">
      <c r="A111" s="5" t="str">
        <f>CONCATENATE("CATEGORY_",UPPER(Pokemon!B106))</f>
        <v>CATEGORY_MAROWAK</v>
      </c>
      <c r="B111" s="3" t="s">
        <v>7813</v>
      </c>
      <c r="C111" s="3" t="s">
        <v>7814</v>
      </c>
      <c r="D111" s="3" t="s">
        <v>7815</v>
      </c>
      <c r="E111" s="3" t="s">
        <v>7816</v>
      </c>
      <c r="F111" s="3" t="s">
        <v>7817</v>
      </c>
      <c r="G111" s="3" t="s">
        <v>7818</v>
      </c>
      <c r="H111" s="3" t="s">
        <v>7819</v>
      </c>
      <c r="I111" s="3" t="s">
        <v>7820</v>
      </c>
      <c r="J111" s="5" t="str">
        <f>IFERROR(__xludf.DUMMYFUNCTION("GOOGLETRANSLATE(I111, ""zh_HANT"",""zh_HANS"")"),"爱骨")</f>
        <v>爱骨</v>
      </c>
    </row>
    <row r="112">
      <c r="A112" s="5" t="str">
        <f>CONCATENATE("CATEGORY_",UPPER(Pokemon!B107))</f>
        <v>CATEGORY_HITMONLEE</v>
      </c>
      <c r="B112" s="3" t="s">
        <v>7821</v>
      </c>
      <c r="C112" s="3" t="s">
        <v>7822</v>
      </c>
      <c r="D112" s="3" t="s">
        <v>7823</v>
      </c>
      <c r="E112" s="3" t="s">
        <v>7824</v>
      </c>
      <c r="F112" s="3" t="s">
        <v>7825</v>
      </c>
      <c r="G112" s="3" t="s">
        <v>7826</v>
      </c>
      <c r="H112" s="3" t="s">
        <v>7827</v>
      </c>
      <c r="I112" s="3" t="s">
        <v>7828</v>
      </c>
      <c r="J112" s="5" t="str">
        <f>I112</f>
        <v>踢腿</v>
      </c>
    </row>
    <row r="113">
      <c r="A113" s="5" t="str">
        <f>CONCATENATE("CATEGORY_",UPPER(Pokemon!B108))</f>
        <v>CATEGORY_HITMONCHAN</v>
      </c>
      <c r="B113" s="3" t="s">
        <v>7829</v>
      </c>
      <c r="C113" s="3" t="s">
        <v>7830</v>
      </c>
      <c r="D113" s="3" t="s">
        <v>7831</v>
      </c>
      <c r="E113" s="3" t="s">
        <v>7832</v>
      </c>
      <c r="F113" s="3" t="s">
        <v>7833</v>
      </c>
      <c r="G113" s="3" t="s">
        <v>7834</v>
      </c>
      <c r="H113" s="3" t="s">
        <v>7835</v>
      </c>
      <c r="I113" s="3" t="s">
        <v>7836</v>
      </c>
      <c r="J113" s="5" t="str">
        <f>IFERROR(__xludf.DUMMYFUNCTION("GOOGLETRANSLATE(I113, ""zh_HANT"",""zh_HANS"")"),"拳击")</f>
        <v>拳击</v>
      </c>
    </row>
    <row r="114">
      <c r="A114" s="5" t="str">
        <f>CONCATENATE("CATEGORY_",UPPER(Pokemon!B109))</f>
        <v>CATEGORY_LICKITUNG</v>
      </c>
      <c r="B114" s="3" t="s">
        <v>7837</v>
      </c>
      <c r="C114" s="3" t="s">
        <v>7838</v>
      </c>
      <c r="D114" s="3" t="s">
        <v>7839</v>
      </c>
      <c r="E114" s="3" t="s">
        <v>7840</v>
      </c>
      <c r="F114" s="3" t="s">
        <v>7841</v>
      </c>
      <c r="G114" s="3" t="s">
        <v>7842</v>
      </c>
      <c r="H114" s="3" t="s">
        <v>7843</v>
      </c>
      <c r="I114" s="3" t="s">
        <v>7844</v>
      </c>
      <c r="J114" s="5" t="str">
        <f>I114</f>
        <v>舔舔</v>
      </c>
    </row>
    <row r="115">
      <c r="A115" s="5" t="str">
        <f>CONCATENATE("CATEGORY_",UPPER(Pokemon!B110))</f>
        <v>CATEGORY_KOFFING</v>
      </c>
      <c r="B115" s="3" t="str">
        <f>Moves!B140</f>
        <v>Poison Gas</v>
      </c>
      <c r="C115" s="3" t="str">
        <f>Moves!C140</f>
        <v>どくガス</v>
      </c>
      <c r="D115" s="3" t="s">
        <v>7845</v>
      </c>
      <c r="E115" s="3" t="str">
        <f>Moves!E140</f>
        <v>Giftwolke</v>
      </c>
      <c r="F115" s="3" t="str">
        <f>Moves!F140</f>
        <v>Gas Venenoso</v>
      </c>
      <c r="G115" s="3" t="s">
        <v>7846</v>
      </c>
      <c r="H115" s="3" t="s">
        <v>7847</v>
      </c>
      <c r="I115" s="3" t="s">
        <v>7848</v>
      </c>
      <c r="J115" s="5" t="str">
        <f>IFERROR(__xludf.DUMMYFUNCTION("GOOGLETRANSLATE(I115, ""zh_HANT"",""zh_HANS"")"),"毒气")</f>
        <v>毒气</v>
      </c>
    </row>
    <row r="116">
      <c r="A116" s="5" t="str">
        <f>CONCATENATE("CATEGORY_",UPPER(Pokemon!B111))</f>
        <v>CATEGORY_WEEZING</v>
      </c>
      <c r="B116" s="5" t="str">
        <f t="shared" ref="B116:J116" si="52">B115</f>
        <v>Poison Gas</v>
      </c>
      <c r="C116" s="5" t="str">
        <f t="shared" si="52"/>
        <v>どくガス</v>
      </c>
      <c r="D116" s="5" t="str">
        <f t="shared" si="52"/>
        <v>Gaz Mortel</v>
      </c>
      <c r="E116" s="5" t="str">
        <f t="shared" si="52"/>
        <v>Giftwolke</v>
      </c>
      <c r="F116" s="5" t="str">
        <f t="shared" si="52"/>
        <v>Gas Venenoso</v>
      </c>
      <c r="G116" s="5" t="str">
        <f t="shared" si="52"/>
        <v>Velenuvola</v>
      </c>
      <c r="H116" s="5" t="str">
        <f t="shared" si="52"/>
        <v>독가스</v>
      </c>
      <c r="I116" s="5" t="str">
        <f t="shared" si="52"/>
        <v>毒氣</v>
      </c>
      <c r="J116" s="5" t="str">
        <f t="shared" si="52"/>
        <v>毒气</v>
      </c>
    </row>
    <row r="117">
      <c r="A117" s="5" t="str">
        <f>CONCATENATE("CATEGORY_",UPPER(Pokemon!B112))</f>
        <v>CATEGORY_RHYHORN</v>
      </c>
      <c r="B117" s="3" t="str">
        <f>Moves!B192</f>
        <v>Spikes</v>
      </c>
      <c r="C117" s="3" t="s">
        <v>7849</v>
      </c>
      <c r="D117" s="3" t="s">
        <v>7850</v>
      </c>
      <c r="E117" s="3" t="str">
        <f>Moves!E192</f>
        <v>Stachler</v>
      </c>
      <c r="F117" s="3" t="s">
        <v>7851</v>
      </c>
      <c r="G117" s="3" t="s">
        <v>7852</v>
      </c>
      <c r="H117" s="3" t="s">
        <v>7853</v>
      </c>
      <c r="I117" s="3" t="s">
        <v>7854</v>
      </c>
      <c r="J117" s="5" t="str">
        <f>I117</f>
        <v>尖尖</v>
      </c>
    </row>
    <row r="118">
      <c r="A118" s="5" t="str">
        <f>CONCATENATE("CATEGORY_",UPPER(Pokemon!B113))</f>
        <v>CATEGORY_RHYDON</v>
      </c>
      <c r="B118" s="5" t="str">
        <f t="shared" ref="B118:J118" si="53">B32</f>
        <v>Drill</v>
      </c>
      <c r="C118" s="5" t="str">
        <f t="shared" si="53"/>
        <v>ドリル</v>
      </c>
      <c r="D118" s="5" t="str">
        <f t="shared" si="53"/>
        <v>Perceur</v>
      </c>
      <c r="E118" s="5" t="str">
        <f t="shared" si="53"/>
        <v>Bohrer</v>
      </c>
      <c r="F118" s="5" t="str">
        <f t="shared" si="53"/>
        <v>Taladro</v>
      </c>
      <c r="G118" s="5" t="str">
        <f t="shared" si="53"/>
        <v>Trapano</v>
      </c>
      <c r="H118" s="5" t="str">
        <f t="shared" si="53"/>
        <v>드릴</v>
      </c>
      <c r="I118" s="5" t="str">
        <f t="shared" si="53"/>
        <v>鑽錐</v>
      </c>
      <c r="J118" s="5" t="str">
        <f t="shared" si="53"/>
        <v>钻锥</v>
      </c>
    </row>
    <row r="119">
      <c r="A119" s="5" t="str">
        <f>CONCATENATE("CATEGORY_",UPPER(Pokemon!B114))</f>
        <v>CATEGORY_CHANSEY</v>
      </c>
      <c r="B119" s="5" t="str">
        <f t="shared" ref="B119:J119" si="54">B108</f>
        <v>Egg</v>
      </c>
      <c r="C119" s="5" t="str">
        <f t="shared" si="54"/>
        <v>たまご</v>
      </c>
      <c r="D119" s="5" t="str">
        <f t="shared" si="54"/>
        <v>Œuf</v>
      </c>
      <c r="E119" s="5" t="str">
        <f t="shared" si="54"/>
        <v>Ei</v>
      </c>
      <c r="F119" s="5" t="str">
        <f t="shared" si="54"/>
        <v>Huevo</v>
      </c>
      <c r="G119" s="5" t="str">
        <f t="shared" si="54"/>
        <v>Uovo</v>
      </c>
      <c r="H119" s="5" t="str">
        <f t="shared" si="54"/>
        <v>알</v>
      </c>
      <c r="I119" s="5" t="str">
        <f t="shared" si="54"/>
        <v>蛋</v>
      </c>
      <c r="J119" s="5" t="str">
        <f t="shared" si="54"/>
        <v>蛋</v>
      </c>
    </row>
    <row r="120">
      <c r="A120" s="5" t="str">
        <f>CONCATENATE("CATEGORY_",UPPER(Pokemon!B115))</f>
        <v>CATEGORY_TANGELA</v>
      </c>
      <c r="B120" s="3" t="s">
        <v>7855</v>
      </c>
      <c r="C120" s="3" t="s">
        <v>7856</v>
      </c>
      <c r="D120" s="3" t="s">
        <v>7857</v>
      </c>
      <c r="E120" s="3" t="s">
        <v>7858</v>
      </c>
      <c r="F120" s="3" t="s">
        <v>7859</v>
      </c>
      <c r="G120" s="3" t="s">
        <v>7860</v>
      </c>
      <c r="H120" s="3" t="s">
        <v>7861</v>
      </c>
      <c r="I120" s="3" t="s">
        <v>7862</v>
      </c>
      <c r="J120" s="5" t="str">
        <f>IFERROR(__xludf.DUMMYFUNCTION("GOOGLETRANSLATE(I120, ""zh_HANT"",""zh_HANS"")"),"藤蔓状")</f>
        <v>藤蔓状</v>
      </c>
    </row>
    <row r="121">
      <c r="A121" s="5" t="str">
        <f>CONCATENATE("CATEGORY_",UPPER(Pokemon!B116))</f>
        <v>CATEGORY_KANGASKHAN</v>
      </c>
      <c r="B121" s="3" t="s">
        <v>7863</v>
      </c>
      <c r="C121" s="3" t="s">
        <v>7864</v>
      </c>
      <c r="D121" s="3" t="s">
        <v>7865</v>
      </c>
      <c r="E121" s="3" t="s">
        <v>7866</v>
      </c>
      <c r="F121" s="3" t="s">
        <v>7867</v>
      </c>
      <c r="G121" s="3" t="s">
        <v>7868</v>
      </c>
      <c r="H121" s="3" t="s">
        <v>7869</v>
      </c>
      <c r="I121" s="3" t="s">
        <v>7870</v>
      </c>
      <c r="J121" s="5" t="str">
        <f>IFERROR(__xludf.DUMMYFUNCTION("GOOGLETRANSLATE(I121, ""zh_HANT"",""zh_HANS"")"),"亲子")</f>
        <v>亲子</v>
      </c>
    </row>
    <row r="122">
      <c r="A122" s="5" t="str">
        <f>CONCATENATE("CATEGORY_",UPPER(Pokemon!B117))</f>
        <v>CATEGORY_HORSEA</v>
      </c>
      <c r="B122" s="3" t="str">
        <f>Types!B17</f>
        <v>Dragon</v>
      </c>
      <c r="C122" s="3" t="str">
        <f>Types!C17</f>
        <v>ドラゴン</v>
      </c>
      <c r="D122" s="3" t="str">
        <f>Types!D17</f>
        <v>Dragon</v>
      </c>
      <c r="E122" s="3" t="str">
        <f>Types!E17</f>
        <v>Drache</v>
      </c>
      <c r="F122" s="3" t="str">
        <f>Types!F17</f>
        <v>Dragón</v>
      </c>
      <c r="G122" s="3" t="str">
        <f>Types!G17</f>
        <v>Drago</v>
      </c>
      <c r="H122" s="3" t="str">
        <f>Types!H17</f>
        <v>드개곤</v>
      </c>
      <c r="I122" s="3" t="str">
        <f>Types!I17</f>
        <v>龍</v>
      </c>
      <c r="J122" s="3" t="str">
        <f>Types!J17</f>
        <v>龙</v>
      </c>
    </row>
    <row r="123">
      <c r="A123" s="5" t="str">
        <f>CONCATENATE("CATEGORY_",UPPER(Pokemon!B118))</f>
        <v>CATEGORY_SEADRA</v>
      </c>
      <c r="B123" s="5" t="str">
        <f t="shared" ref="B123:J123" si="55">B122</f>
        <v>Dragon</v>
      </c>
      <c r="C123" s="5" t="str">
        <f t="shared" si="55"/>
        <v>ドラゴン</v>
      </c>
      <c r="D123" s="5" t="str">
        <f t="shared" si="55"/>
        <v>Dragon</v>
      </c>
      <c r="E123" s="5" t="str">
        <f t="shared" si="55"/>
        <v>Drache</v>
      </c>
      <c r="F123" s="5" t="str">
        <f t="shared" si="55"/>
        <v>Dragón</v>
      </c>
      <c r="G123" s="5" t="str">
        <f t="shared" si="55"/>
        <v>Drago</v>
      </c>
      <c r="H123" s="5" t="str">
        <f t="shared" si="55"/>
        <v>드개곤</v>
      </c>
      <c r="I123" s="5" t="str">
        <f t="shared" si="55"/>
        <v>龍</v>
      </c>
      <c r="J123" s="5" t="str">
        <f t="shared" si="55"/>
        <v>龙</v>
      </c>
    </row>
    <row r="124">
      <c r="A124" s="5" t="str">
        <f>CONCATENATE("CATEGORY_",UPPER(Pokemon!B119))</f>
        <v>CATEGORY_GOLDEEN</v>
      </c>
      <c r="B124" s="3" t="s">
        <v>7871</v>
      </c>
      <c r="C124" s="3" t="s">
        <v>7872</v>
      </c>
      <c r="D124" s="3" t="s">
        <v>7873</v>
      </c>
      <c r="E124" s="3" t="s">
        <v>7874</v>
      </c>
      <c r="F124" s="3" t="s">
        <v>7875</v>
      </c>
      <c r="G124" s="3" t="s">
        <v>7876</v>
      </c>
      <c r="H124" s="3" t="s">
        <v>7877</v>
      </c>
      <c r="I124" s="3" t="s">
        <v>7878</v>
      </c>
      <c r="J124" s="5" t="str">
        <f>IFERROR(__xludf.DUMMYFUNCTION("GOOGLETRANSLATE(I124, ""zh_HANT"",""zh_HANS"")"),"金鱼")</f>
        <v>金鱼</v>
      </c>
    </row>
    <row r="125">
      <c r="A125" s="5" t="str">
        <f>CONCATENATE("CATEGORY_",UPPER(Pokemon!B120))</f>
        <v>CATEGORY_SEAKING</v>
      </c>
      <c r="B125" s="5" t="str">
        <f t="shared" ref="B125:J125" si="56">B124</f>
        <v>Goldfish</v>
      </c>
      <c r="C125" s="5" t="str">
        <f t="shared" si="56"/>
        <v>きんぎょ</v>
      </c>
      <c r="D125" s="5" t="str">
        <f t="shared" si="56"/>
        <v>Poisson</v>
      </c>
      <c r="E125" s="5" t="str">
        <f t="shared" si="56"/>
        <v>Goldfisch</v>
      </c>
      <c r="F125" s="5" t="str">
        <f t="shared" si="56"/>
        <v>Pez Color</v>
      </c>
      <c r="G125" s="5" t="str">
        <f t="shared" si="56"/>
        <v>Pescerosso</v>
      </c>
      <c r="H125" s="5" t="str">
        <f t="shared" si="56"/>
        <v>금붕어</v>
      </c>
      <c r="I125" s="5" t="str">
        <f t="shared" si="56"/>
        <v>金魚</v>
      </c>
      <c r="J125" s="5" t="str">
        <f t="shared" si="56"/>
        <v>金鱼</v>
      </c>
    </row>
    <row r="126">
      <c r="A126" s="5" t="str">
        <f>CONCATENATE("CATEGORY_",UPPER(Pokemon!B121))</f>
        <v>CATEGORY_STARYU</v>
      </c>
      <c r="B126" s="3" t="s">
        <v>7879</v>
      </c>
      <c r="C126" s="3" t="s">
        <v>7880</v>
      </c>
      <c r="D126" s="3" t="s">
        <v>7881</v>
      </c>
      <c r="E126" s="3" t="s">
        <v>7882</v>
      </c>
      <c r="F126" s="3" t="s">
        <v>7883</v>
      </c>
      <c r="G126" s="3" t="s">
        <v>7884</v>
      </c>
      <c r="H126" s="3" t="s">
        <v>7885</v>
      </c>
      <c r="I126" s="3" t="s">
        <v>7886</v>
      </c>
      <c r="J126" s="5" t="str">
        <f>I126</f>
        <v>星形</v>
      </c>
    </row>
    <row r="127">
      <c r="A127" s="5" t="str">
        <f>CONCATENATE("CATEGORY_",UPPER(Pokemon!B122))</f>
        <v>CATEGORY_STARMIE</v>
      </c>
      <c r="B127" s="3" t="s">
        <v>7887</v>
      </c>
      <c r="C127" s="3" t="s">
        <v>7888</v>
      </c>
      <c r="D127" s="3" t="s">
        <v>7889</v>
      </c>
      <c r="E127" s="3" t="s">
        <v>7890</v>
      </c>
      <c r="F127" s="7" t="s">
        <v>7891</v>
      </c>
      <c r="G127" s="5" t="str">
        <f>F127</f>
        <v>Misterioso</v>
      </c>
      <c r="H127" s="3" t="s">
        <v>7892</v>
      </c>
      <c r="I127" s="3" t="s">
        <v>7893</v>
      </c>
      <c r="J127" s="5" t="str">
        <f>IFERROR(__xludf.DUMMYFUNCTION("GOOGLETRANSLATE(I127, ""zh_HANT"",""zh_HANS"")"),"谜")</f>
        <v>谜</v>
      </c>
    </row>
    <row r="128">
      <c r="A128" s="3" t="s">
        <v>7894</v>
      </c>
      <c r="B128" s="3" t="str">
        <f>Moves!B113</f>
        <v>Barrier</v>
      </c>
      <c r="C128" s="3" t="str">
        <f>Moves!C113</f>
        <v>バリアー</v>
      </c>
      <c r="D128" s="3" t="s">
        <v>7895</v>
      </c>
      <c r="E128" s="3" t="s">
        <v>7896</v>
      </c>
      <c r="F128" s="3" t="str">
        <f>Moves!F113</f>
        <v>Barrera</v>
      </c>
      <c r="G128" s="3" t="str">
        <f>Moves!G113</f>
        <v>Barriera</v>
      </c>
      <c r="H128" s="3" t="str">
        <f>Moves!H113</f>
        <v>배리어</v>
      </c>
      <c r="I128" s="3" t="str">
        <f>Moves!I113</f>
        <v>屏障</v>
      </c>
      <c r="J128" s="3" t="str">
        <f>Moves!J113</f>
        <v>屏障</v>
      </c>
    </row>
    <row r="129">
      <c r="A129" s="3" t="str">
        <f>CONCATENATE(A128,"-G")</f>
        <v>CATEGORY_MRMIME-G</v>
      </c>
      <c r="B129" s="3" t="str">
        <f t="shared" ref="B129:J129" si="57">B764</f>
        <v>Dancing</v>
      </c>
      <c r="C129" s="3" t="str">
        <f t="shared" si="57"/>
        <v>ダンス</v>
      </c>
      <c r="D129" s="3" t="str">
        <f t="shared" si="57"/>
        <v>Danse</v>
      </c>
      <c r="E129" s="3" t="str">
        <f t="shared" si="57"/>
        <v>Tanz</v>
      </c>
      <c r="F129" s="3" t="str">
        <f t="shared" si="57"/>
        <v>Danza</v>
      </c>
      <c r="G129" s="3" t="str">
        <f t="shared" si="57"/>
        <v>Danza</v>
      </c>
      <c r="H129" s="3" t="str">
        <f t="shared" si="57"/>
        <v>댄스</v>
      </c>
      <c r="I129" s="3" t="str">
        <f t="shared" si="57"/>
        <v>舞蹈</v>
      </c>
      <c r="J129" s="3" t="str">
        <f t="shared" si="57"/>
        <v>舞蹈</v>
      </c>
    </row>
    <row r="130">
      <c r="A130" s="5" t="str">
        <f>CONCATENATE("CATEGORY_",UPPER(Pokemon!B124))</f>
        <v>CATEGORY_SCYTHER</v>
      </c>
      <c r="B130" s="3" t="s">
        <v>7897</v>
      </c>
      <c r="C130" s="3" t="s">
        <v>7898</v>
      </c>
      <c r="D130" s="3" t="s">
        <v>7899</v>
      </c>
      <c r="E130" s="5" t="str">
        <f>B130</f>
        <v>Mantis</v>
      </c>
      <c r="F130" s="5" t="str">
        <f>B130</f>
        <v>Mantis</v>
      </c>
      <c r="G130" s="3" t="s">
        <v>7900</v>
      </c>
      <c r="H130" s="3" t="s">
        <v>7901</v>
      </c>
      <c r="I130" s="3" t="s">
        <v>7902</v>
      </c>
      <c r="J130" s="5" t="str">
        <f t="shared" ref="J130:J131" si="58">I130</f>
        <v>螳螂</v>
      </c>
    </row>
    <row r="131">
      <c r="A131" s="5" t="str">
        <f>CONCATENATE("CATEGORY_",UPPER(Pokemon!B125))</f>
        <v>CATEGORY_JYNX</v>
      </c>
      <c r="B131" s="3" t="s">
        <v>7903</v>
      </c>
      <c r="C131" s="3" t="s">
        <v>7904</v>
      </c>
      <c r="D131" s="3" t="s">
        <v>7905</v>
      </c>
      <c r="E131" s="3" t="s">
        <v>7906</v>
      </c>
      <c r="F131" s="3" t="s">
        <v>7907</v>
      </c>
      <c r="G131" s="3" t="s">
        <v>7908</v>
      </c>
      <c r="H131" s="3" t="s">
        <v>7909</v>
      </c>
      <c r="I131" s="7" t="s">
        <v>7910</v>
      </c>
      <c r="J131" s="5" t="str">
        <f t="shared" si="58"/>
        <v>人形</v>
      </c>
    </row>
    <row r="132">
      <c r="A132" s="5" t="str">
        <f>CONCATENATE("CATEGORY_",UPPER(Pokemon!B126))</f>
        <v>CATEGORY_ELECTABUZZ</v>
      </c>
      <c r="B132" s="3" t="str">
        <f>Types!B14</f>
        <v>Electric</v>
      </c>
      <c r="C132" s="3" t="s">
        <v>7911</v>
      </c>
      <c r="D132" s="3" t="s">
        <v>7912</v>
      </c>
      <c r="E132" s="3" t="str">
        <f>Types!E14</f>
        <v>Elektro</v>
      </c>
      <c r="F132" s="3" t="str">
        <f>Types!F14</f>
        <v>Eléctrico</v>
      </c>
      <c r="G132" s="7" t="s">
        <v>7913</v>
      </c>
      <c r="H132" s="3" t="str">
        <f>Types!H14</f>
        <v>전기</v>
      </c>
      <c r="I132" s="3" t="s">
        <v>7914</v>
      </c>
      <c r="J132" s="5" t="str">
        <f>IFERROR(__xludf.DUMMYFUNCTION("GOOGLETRANSLATE(I132, ""zh_HANT"",""zh_HANS"")"),"电击")</f>
        <v>电击</v>
      </c>
    </row>
    <row r="133">
      <c r="A133" s="5" t="str">
        <f>CONCATENATE("CATEGORY_",UPPER(Pokemon!B127))</f>
        <v>CATEGORY_MAGMAR</v>
      </c>
      <c r="B133" s="3" t="s">
        <v>7915</v>
      </c>
      <c r="C133" s="3" t="s">
        <v>7916</v>
      </c>
      <c r="D133" s="3" t="s">
        <v>7917</v>
      </c>
      <c r="E133" s="3" t="s">
        <v>7918</v>
      </c>
      <c r="F133" s="3" t="s">
        <v>7919</v>
      </c>
      <c r="G133" s="3" t="s">
        <v>7920</v>
      </c>
      <c r="H133" s="3" t="s">
        <v>7921</v>
      </c>
      <c r="I133" s="3" t="s">
        <v>7922</v>
      </c>
      <c r="J133" s="5" t="str">
        <f>I133</f>
        <v>吐火</v>
      </c>
    </row>
    <row r="134">
      <c r="A134" s="5" t="str">
        <f>CONCATENATE("CATEGORY_",UPPER(Pokemon!B128))</f>
        <v>CATEGORY_PINISIR</v>
      </c>
      <c r="B134" s="3" t="s">
        <v>7923</v>
      </c>
      <c r="C134" s="3" t="s">
        <v>7924</v>
      </c>
      <c r="D134" s="3" t="s">
        <v>7925</v>
      </c>
      <c r="E134" s="3" t="s">
        <v>7926</v>
      </c>
      <c r="F134" s="3" t="s">
        <v>7927</v>
      </c>
      <c r="G134" s="3" t="s">
        <v>7928</v>
      </c>
      <c r="H134" s="3" t="s">
        <v>7929</v>
      </c>
      <c r="I134" s="3" t="s">
        <v>7930</v>
      </c>
      <c r="J134" s="5" t="str">
        <f>IFERROR(__xludf.DUMMYFUNCTION("GOOGLETRANSLATE(I134, ""zh_HANT"",""zh_HANS"")"),"锹形虫")</f>
        <v>锹形虫</v>
      </c>
    </row>
    <row r="135">
      <c r="A135" s="5" t="str">
        <f>CONCATENATE("CATEGORY_",UPPER(Pokemon!B129))</f>
        <v>CATEGORY_TAUROS</v>
      </c>
      <c r="B135" s="3" t="s">
        <v>7931</v>
      </c>
      <c r="C135" s="3" t="s">
        <v>7932</v>
      </c>
      <c r="D135" s="3" t="s">
        <v>7933</v>
      </c>
      <c r="E135" s="3" t="s">
        <v>7934</v>
      </c>
      <c r="F135" s="3" t="s">
        <v>7935</v>
      </c>
      <c r="G135" s="3" t="s">
        <v>7936</v>
      </c>
      <c r="H135" s="3" t="s">
        <v>7937</v>
      </c>
      <c r="I135" s="3" t="s">
        <v>7938</v>
      </c>
      <c r="J135" s="5" t="str">
        <f>I135</f>
        <v>暴牛</v>
      </c>
    </row>
    <row r="136">
      <c r="A136" s="5" t="str">
        <f>CONCATENATE("CATEGORY_",UPPER(Pokemon!B130))</f>
        <v>CATEGORY_MAGIKARP</v>
      </c>
      <c r="B136" s="3" t="s">
        <v>7939</v>
      </c>
      <c r="C136" s="3" t="s">
        <v>7940</v>
      </c>
      <c r="D136" s="3" t="str">
        <f>D124</f>
        <v>Poisson</v>
      </c>
      <c r="E136" s="3" t="s">
        <v>7941</v>
      </c>
      <c r="F136" s="3" t="s">
        <v>7942</v>
      </c>
      <c r="G136" s="3" t="s">
        <v>7943</v>
      </c>
      <c r="H136" s="3" t="s">
        <v>7944</v>
      </c>
      <c r="I136" s="3" t="s">
        <v>7945</v>
      </c>
      <c r="J136" s="5" t="str">
        <f>IFERROR(__xludf.DUMMYFUNCTION("GOOGLETRANSLATE(I136, ""zh_HANT"",""zh_HANS"")"),"鱼")</f>
        <v>鱼</v>
      </c>
    </row>
    <row r="137">
      <c r="A137" s="5" t="str">
        <f>CONCATENATE("CATEGORY_",UPPER(Pokemon!B131))</f>
        <v>CATEGORY_GYRADOS</v>
      </c>
      <c r="B137" s="3" t="s">
        <v>7946</v>
      </c>
      <c r="C137" s="3" t="s">
        <v>7947</v>
      </c>
      <c r="D137" s="3" t="s">
        <v>7948</v>
      </c>
      <c r="E137" s="3" t="s">
        <v>7949</v>
      </c>
      <c r="F137" s="3" t="s">
        <v>7950</v>
      </c>
      <c r="G137" s="3" t="s">
        <v>7951</v>
      </c>
      <c r="H137" s="3" t="s">
        <v>7952</v>
      </c>
      <c r="I137" s="3" t="s">
        <v>7953</v>
      </c>
      <c r="J137" s="5" t="str">
        <f>IFERROR(__xludf.DUMMYFUNCTION("GOOGLETRANSLATE(I137, ""zh_HANT"",""zh_HANS"")"),"凶恶")</f>
        <v>凶恶</v>
      </c>
    </row>
    <row r="138">
      <c r="A138" s="5" t="str">
        <f>CONCATENATE("CATEGORY_",UPPER(Pokemon!B132))</f>
        <v>CATEGORY_LAPRAS</v>
      </c>
      <c r="B138" s="3" t="s">
        <v>7954</v>
      </c>
      <c r="C138" s="3" t="s">
        <v>7955</v>
      </c>
      <c r="D138" s="3" t="s">
        <v>7954</v>
      </c>
      <c r="E138" s="5" t="str">
        <f t="shared" ref="E138:E140" si="59">B138</f>
        <v>Transport</v>
      </c>
      <c r="F138" s="3" t="s">
        <v>7956</v>
      </c>
      <c r="G138" s="3" t="s">
        <v>7957</v>
      </c>
      <c r="H138" s="3" t="s">
        <v>7958</v>
      </c>
      <c r="I138" s="3" t="s">
        <v>7959</v>
      </c>
      <c r="J138" s="5" t="str">
        <f>IFERROR(__xludf.DUMMYFUNCTION("GOOGLETRANSLATE(I138, ""zh_HANT"",""zh_HANS"")"),"乘载")</f>
        <v>乘载</v>
      </c>
    </row>
    <row r="139">
      <c r="A139" s="5" t="str">
        <f>CONCATENATE("CATEGORY_",UPPER(Pokemon!B133))</f>
        <v>CATEGORY_DITTO</v>
      </c>
      <c r="B139" s="3" t="str">
        <f>Moves!B145</f>
        <v>Transform</v>
      </c>
      <c r="C139" s="3" t="str">
        <f>Moves!C145</f>
        <v>へんしん</v>
      </c>
      <c r="D139" s="3" t="str">
        <f>Moves!D145</f>
        <v>Morphing</v>
      </c>
      <c r="E139" s="3" t="str">
        <f t="shared" si="59"/>
        <v>Transform</v>
      </c>
      <c r="F139" s="3" t="str">
        <f>B139</f>
        <v>Transform</v>
      </c>
      <c r="G139" s="3" t="s">
        <v>7960</v>
      </c>
      <c r="H139" s="3" t="str">
        <f>Moves!H145</f>
        <v>변신</v>
      </c>
      <c r="I139" s="3" t="str">
        <f>Moves!I145</f>
        <v>變身</v>
      </c>
      <c r="J139" s="3" t="str">
        <f>Moves!J145</f>
        <v>变身</v>
      </c>
    </row>
    <row r="140">
      <c r="A140" s="5" t="str">
        <f>CONCATENATE("CATEGORY_",UPPER(Pokemon!B134))</f>
        <v>CATEGORY_EEVEE</v>
      </c>
      <c r="B140" s="3" t="s">
        <v>7961</v>
      </c>
      <c r="C140" s="3" t="s">
        <v>7962</v>
      </c>
      <c r="D140" s="3" t="s">
        <v>7963</v>
      </c>
      <c r="E140" s="5" t="str">
        <f t="shared" si="59"/>
        <v>Evolution</v>
      </c>
      <c r="F140" s="7" t="s">
        <v>7964</v>
      </c>
      <c r="G140" s="3" t="s">
        <v>7965</v>
      </c>
      <c r="H140" s="3" t="s">
        <v>7966</v>
      </c>
      <c r="I140" s="3" t="s">
        <v>7967</v>
      </c>
      <c r="J140" s="5" t="str">
        <f>IFERROR(__xludf.DUMMYFUNCTION("GOOGLETRANSLATE(I140, ""zh_HANT"",""zh_HANS"")"),"进化")</f>
        <v>进化</v>
      </c>
    </row>
    <row r="141">
      <c r="A141" s="5" t="str">
        <f>CONCATENATE("CATEGORY_",UPPER(Pokemon!B135))</f>
        <v>CATEGORY_VAPOREON</v>
      </c>
      <c r="B141" s="3" t="s">
        <v>7968</v>
      </c>
      <c r="C141" s="3" t="s">
        <v>7969</v>
      </c>
      <c r="D141" s="3" t="s">
        <v>7970</v>
      </c>
      <c r="E141" s="3" t="s">
        <v>7971</v>
      </c>
      <c r="F141" s="3" t="s">
        <v>7972</v>
      </c>
      <c r="G141" s="3" t="s">
        <v>7973</v>
      </c>
      <c r="H141" s="3" t="s">
        <v>7974</v>
      </c>
      <c r="I141" s="3" t="s">
        <v>7975</v>
      </c>
      <c r="J141" s="5" t="str">
        <f t="shared" ref="J141:J143" si="60">I141</f>
        <v>吐泡</v>
      </c>
    </row>
    <row r="142">
      <c r="A142" s="5" t="str">
        <f>CONCATENATE("CATEGORY_",UPPER(Pokemon!B136))</f>
        <v>CATEGORY_JOLTEON</v>
      </c>
      <c r="B142" s="3" t="s">
        <v>7976</v>
      </c>
      <c r="C142" s="3" t="s">
        <v>7977</v>
      </c>
      <c r="D142" s="3" t="s">
        <v>7978</v>
      </c>
      <c r="E142" s="3" t="s">
        <v>7979</v>
      </c>
      <c r="F142" s="3" t="s">
        <v>7980</v>
      </c>
      <c r="G142" s="3" t="s">
        <v>7981</v>
      </c>
      <c r="H142" s="3" t="s">
        <v>7982</v>
      </c>
      <c r="I142" s="3" t="s">
        <v>7983</v>
      </c>
      <c r="J142" s="5" t="str">
        <f t="shared" si="60"/>
        <v>雷</v>
      </c>
    </row>
    <row r="143">
      <c r="A143" s="5" t="str">
        <f>CONCATENATE("CATEGORY_",UPPER(Pokemon!B137))</f>
        <v>CATEGORY_FLAREON</v>
      </c>
      <c r="B143" s="5" t="str">
        <f>B6</f>
        <v>Flame</v>
      </c>
      <c r="C143" s="3" t="s">
        <v>7984</v>
      </c>
      <c r="D143" s="5" t="str">
        <f t="shared" ref="D143:G143" si="61">D6</f>
        <v>Flamme</v>
      </c>
      <c r="E143" s="5" t="str">
        <f t="shared" si="61"/>
        <v>Flamme</v>
      </c>
      <c r="F143" s="5" t="str">
        <f t="shared" si="61"/>
        <v>Llama</v>
      </c>
      <c r="G143" s="5" t="str">
        <f t="shared" si="61"/>
        <v>Fiamma</v>
      </c>
      <c r="H143" s="3" t="s">
        <v>7985</v>
      </c>
      <c r="I143" s="3" t="s">
        <v>7986</v>
      </c>
      <c r="J143" s="5" t="str">
        <f t="shared" si="60"/>
        <v>火</v>
      </c>
    </row>
    <row r="144">
      <c r="A144" s="5" t="str">
        <f>CONCATENATE("CATEGORY_",UPPER(Pokemon!B138))</f>
        <v>CATEGORY_PORYGON</v>
      </c>
      <c r="B144" s="3" t="s">
        <v>7987</v>
      </c>
      <c r="C144" s="3" t="s">
        <v>7988</v>
      </c>
      <c r="D144" s="3" t="s">
        <v>7989</v>
      </c>
      <c r="E144" s="3" t="s">
        <v>7990</v>
      </c>
      <c r="F144" s="5" t="str">
        <f>B144</f>
        <v>Virtual</v>
      </c>
      <c r="G144" s="3" t="s">
        <v>7991</v>
      </c>
      <c r="H144" s="3" t="s">
        <v>7992</v>
      </c>
      <c r="I144" s="3" t="s">
        <v>7993</v>
      </c>
      <c r="J144" s="5" t="str">
        <f>IFERROR(__xludf.DUMMYFUNCTION("GOOGLETRANSLATE(I144, ""zh_HANT"",""zh_HANS"")"),"虚拟")</f>
        <v>虚拟</v>
      </c>
    </row>
    <row r="145">
      <c r="A145" s="5" t="str">
        <f>CONCATENATE("CATEGORY_",UPPER(Pokemon!B139))</f>
        <v>CATEGORY_OMANYTE</v>
      </c>
      <c r="B145" s="3" t="s">
        <v>7994</v>
      </c>
      <c r="C145" s="3" t="s">
        <v>7995</v>
      </c>
      <c r="D145" s="3" t="s">
        <v>7996</v>
      </c>
      <c r="E145" s="5" t="str">
        <f>D145</f>
        <v>Spirale</v>
      </c>
      <c r="F145" s="3" t="s">
        <v>7997</v>
      </c>
      <c r="G145" s="5" t="str">
        <f>D145</f>
        <v>Spirale</v>
      </c>
      <c r="H145" s="3" t="s">
        <v>7998</v>
      </c>
      <c r="I145" s="3" t="s">
        <v>7999</v>
      </c>
      <c r="J145" s="5" t="str">
        <f>IFERROR(__xludf.DUMMYFUNCTION("GOOGLETRANSLATE(I145, ""zh_HANT"",""zh_HANS"")"),"漩涡")</f>
        <v>漩涡</v>
      </c>
    </row>
    <row r="146">
      <c r="A146" s="5" t="str">
        <f>CONCATENATE("CATEGORY_",UPPER(Pokemon!B140))</f>
        <v>CATEGORY_OMASTAR</v>
      </c>
      <c r="B146" s="5" t="str">
        <f t="shared" ref="B146:J146" si="62">B145</f>
        <v>Spiral</v>
      </c>
      <c r="C146" s="5" t="str">
        <f t="shared" si="62"/>
        <v>うずまき</v>
      </c>
      <c r="D146" s="5" t="str">
        <f t="shared" si="62"/>
        <v>Spirale</v>
      </c>
      <c r="E146" s="5" t="str">
        <f t="shared" si="62"/>
        <v>Spirale</v>
      </c>
      <c r="F146" s="5" t="str">
        <f t="shared" si="62"/>
        <v>Espiral</v>
      </c>
      <c r="G146" s="5" t="str">
        <f t="shared" si="62"/>
        <v>Spirale</v>
      </c>
      <c r="H146" s="5" t="str">
        <f t="shared" si="62"/>
        <v>소용돌이</v>
      </c>
      <c r="I146" s="5" t="str">
        <f t="shared" si="62"/>
        <v>漩渦</v>
      </c>
      <c r="J146" s="5" t="str">
        <f t="shared" si="62"/>
        <v>漩涡</v>
      </c>
    </row>
    <row r="147">
      <c r="A147" s="5" t="str">
        <f>CONCATENATE("CATEGORY_",UPPER(Pokemon!B141))</f>
        <v>CATEGORY_KABUTO</v>
      </c>
      <c r="B147" s="5" t="str">
        <f t="shared" ref="B147:J147" si="63">B10</f>
        <v>Shellfish</v>
      </c>
      <c r="C147" s="5" t="str">
        <f t="shared" si="63"/>
        <v>こうら</v>
      </c>
      <c r="D147" s="5" t="str">
        <f t="shared" si="63"/>
        <v>Carapace</v>
      </c>
      <c r="E147" s="5" t="str">
        <f t="shared" si="63"/>
        <v>Schaltier</v>
      </c>
      <c r="F147" s="5" t="str">
        <f t="shared" si="63"/>
        <v>Marisco</v>
      </c>
      <c r="G147" s="5" t="str">
        <f t="shared" si="63"/>
        <v>Crostaceo</v>
      </c>
      <c r="H147" s="5" t="str">
        <f t="shared" si="63"/>
        <v>껍질</v>
      </c>
      <c r="I147" s="5" t="str">
        <f t="shared" si="63"/>
        <v>甲殼</v>
      </c>
      <c r="J147" s="5" t="str">
        <f t="shared" si="63"/>
        <v>甲壳</v>
      </c>
    </row>
    <row r="148">
      <c r="A148" s="5" t="str">
        <f>CONCATENATE("CATEGORY_",UPPER(Pokemon!B142))</f>
        <v>CATEGORY_KABUTOPS</v>
      </c>
      <c r="B148" s="5" t="str">
        <f t="shared" ref="B148:J148" si="64">B10</f>
        <v>Shellfish</v>
      </c>
      <c r="C148" s="5" t="str">
        <f t="shared" si="64"/>
        <v>こうら</v>
      </c>
      <c r="D148" s="5" t="str">
        <f t="shared" si="64"/>
        <v>Carapace</v>
      </c>
      <c r="E148" s="5" t="str">
        <f t="shared" si="64"/>
        <v>Schaltier</v>
      </c>
      <c r="F148" s="5" t="str">
        <f t="shared" si="64"/>
        <v>Marisco</v>
      </c>
      <c r="G148" s="5" t="str">
        <f t="shared" si="64"/>
        <v>Crostaceo</v>
      </c>
      <c r="H148" s="5" t="str">
        <f t="shared" si="64"/>
        <v>껍질</v>
      </c>
      <c r="I148" s="5" t="str">
        <f t="shared" si="64"/>
        <v>甲殼</v>
      </c>
      <c r="J148" s="5" t="str">
        <f t="shared" si="64"/>
        <v>甲壳</v>
      </c>
    </row>
    <row r="149">
      <c r="A149" s="5" t="str">
        <f>CONCATENATE("CATEGORY_",UPPER(Pokemon!B143))</f>
        <v>CATEGORY_AERODACTYL</v>
      </c>
      <c r="B149" s="3" t="s">
        <v>8000</v>
      </c>
      <c r="C149" s="3" t="s">
        <v>8001</v>
      </c>
      <c r="D149" s="3" t="s">
        <v>8002</v>
      </c>
      <c r="E149" s="5" t="str">
        <f>B149</f>
        <v>Fossil</v>
      </c>
      <c r="F149" s="3" t="s">
        <v>8003</v>
      </c>
      <c r="G149" s="5" t="str">
        <f>D149</f>
        <v>Fossile</v>
      </c>
      <c r="H149" s="3" t="s">
        <v>8004</v>
      </c>
      <c r="I149" s="3" t="s">
        <v>8005</v>
      </c>
      <c r="J149" s="5" t="str">
        <f t="shared" ref="J149:J150" si="65">I149</f>
        <v>化石</v>
      </c>
    </row>
    <row r="150">
      <c r="A150" s="5" t="str">
        <f>CONCATENATE("CATEGORY_",UPPER(Pokemon!B144))</f>
        <v>CATEGORY_SNORLAX</v>
      </c>
      <c r="B150" s="3" t="s">
        <v>8006</v>
      </c>
      <c r="C150" s="3" t="s">
        <v>8007</v>
      </c>
      <c r="D150" s="3" t="s">
        <v>8008</v>
      </c>
      <c r="E150" s="3" t="s">
        <v>8009</v>
      </c>
      <c r="F150" s="3" t="s">
        <v>8010</v>
      </c>
      <c r="G150" s="3" t="s">
        <v>8011</v>
      </c>
      <c r="H150" s="3" t="s">
        <v>8012</v>
      </c>
      <c r="I150" s="3" t="s">
        <v>8013</v>
      </c>
      <c r="J150" s="5" t="str">
        <f t="shared" si="65"/>
        <v>瞌睡</v>
      </c>
    </row>
    <row r="151">
      <c r="A151" s="5" t="str">
        <f>CONCATENATE("CATEGORY_",UPPER(Pokemon!B145))</f>
        <v>CATEGORY_ARTICUNO</v>
      </c>
      <c r="B151" s="3" t="s">
        <v>8014</v>
      </c>
      <c r="C151" s="3" t="s">
        <v>8015</v>
      </c>
      <c r="D151" s="3" t="s">
        <v>8016</v>
      </c>
      <c r="E151" s="3" t="s">
        <v>8017</v>
      </c>
      <c r="F151" s="3" t="s">
        <v>8018</v>
      </c>
      <c r="G151" s="3" t="s">
        <v>8019</v>
      </c>
      <c r="H151" s="3" t="s">
        <v>8020</v>
      </c>
      <c r="I151" s="3" t="s">
        <v>8021</v>
      </c>
      <c r="J151" s="5" t="str">
        <f>IFERROR(__xludf.DUMMYFUNCTION("GOOGLETRANSLATE(I151, ""zh_HANT"",""zh_HANS"")"),"冰冻")</f>
        <v>冰冻</v>
      </c>
    </row>
    <row r="152">
      <c r="A152" s="5" t="str">
        <f>CONCATENATE(A151,"-G")</f>
        <v>CATEGORY_ARTICUNO-G</v>
      </c>
      <c r="B152" s="5" t="str">
        <f t="shared" ref="B152:J152" si="66">B523</f>
        <v>Cruel</v>
      </c>
      <c r="C152" s="5" t="str">
        <f t="shared" si="66"/>
        <v>れいこく</v>
      </c>
      <c r="D152" s="5" t="str">
        <f t="shared" si="66"/>
        <v>Implacable</v>
      </c>
      <c r="E152" s="5" t="str">
        <f t="shared" si="66"/>
        <v>Gefühlskälte</v>
      </c>
      <c r="F152" s="5" t="str">
        <f t="shared" si="66"/>
        <v>Calculador</v>
      </c>
      <c r="G152" s="5" t="str">
        <f t="shared" si="66"/>
        <v>Sanguefreddo</v>
      </c>
      <c r="H152" s="5" t="str">
        <f t="shared" si="66"/>
        <v>냉혹</v>
      </c>
      <c r="I152" s="5" t="str">
        <f t="shared" si="66"/>
        <v>冷酷</v>
      </c>
      <c r="J152" s="5" t="str">
        <f t="shared" si="66"/>
        <v>冷酷</v>
      </c>
    </row>
    <row r="153">
      <c r="A153" s="5" t="str">
        <f>CONCATENATE("CATEGORY_",UPPER(Pokemon!B146))</f>
        <v>CATEGORY_ZAPDOS</v>
      </c>
      <c r="B153" s="5" t="str">
        <f t="shared" ref="B153:D153" si="67">B132</f>
        <v>Electric</v>
      </c>
      <c r="C153" s="5" t="str">
        <f t="shared" si="67"/>
        <v>でんげき</v>
      </c>
      <c r="D153" s="5" t="str">
        <f t="shared" si="67"/>
        <v>Électrique</v>
      </c>
      <c r="E153" s="3" t="s">
        <v>8022</v>
      </c>
      <c r="F153" s="5" t="str">
        <f t="shared" ref="F153:J153" si="68">F132</f>
        <v>Eléctrico</v>
      </c>
      <c r="G153" s="5" t="str">
        <f t="shared" si="68"/>
        <v>Elettrico</v>
      </c>
      <c r="H153" s="5" t="str">
        <f t="shared" si="68"/>
        <v>전기</v>
      </c>
      <c r="I153" s="5" t="str">
        <f t="shared" si="68"/>
        <v>電擊</v>
      </c>
      <c r="J153" s="5" t="str">
        <f t="shared" si="68"/>
        <v>电击</v>
      </c>
    </row>
    <row r="154">
      <c r="A154" s="5" t="str">
        <f>CONCATENATE(A153,"-G")</f>
        <v>CATEGORY_ZAPDOS-G</v>
      </c>
      <c r="B154" s="3" t="s">
        <v>8023</v>
      </c>
      <c r="C154" s="3" t="s">
        <v>8024</v>
      </c>
      <c r="D154" s="3" t="s">
        <v>8025</v>
      </c>
      <c r="E154" s="3" t="s">
        <v>8026</v>
      </c>
      <c r="F154" s="3" t="s">
        <v>8027</v>
      </c>
      <c r="G154" s="3" t="s">
        <v>8028</v>
      </c>
      <c r="H154" s="3" t="s">
        <v>8029</v>
      </c>
      <c r="I154" s="5" t="str">
        <f>IFERROR(__xludf.DUMMYFUNCTION("GOOGLETRANSLATE(J154,""zh_HANS"",""zh_HANT"")"),"健腳")</f>
        <v>健腳</v>
      </c>
      <c r="J154" s="3" t="s">
        <v>8030</v>
      </c>
    </row>
    <row r="155">
      <c r="A155" s="5" t="str">
        <f>CONCATENATE("CATEGORY_",UPPER(Pokemon!B147))</f>
        <v>CATEGORY_MOLTRES</v>
      </c>
      <c r="B155" s="5" t="str">
        <f t="shared" ref="B155:J155" si="69">B6</f>
        <v>Flame</v>
      </c>
      <c r="C155" s="5" t="str">
        <f t="shared" si="69"/>
        <v>かえん</v>
      </c>
      <c r="D155" s="5" t="str">
        <f t="shared" si="69"/>
        <v>Flamme</v>
      </c>
      <c r="E155" s="5" t="str">
        <f t="shared" si="69"/>
        <v>Flamme</v>
      </c>
      <c r="F155" s="5" t="str">
        <f t="shared" si="69"/>
        <v>Llama</v>
      </c>
      <c r="G155" s="5" t="str">
        <f t="shared" si="69"/>
        <v>Fiamma</v>
      </c>
      <c r="H155" s="5" t="str">
        <f t="shared" si="69"/>
        <v>화염</v>
      </c>
      <c r="I155" s="5" t="str">
        <f t="shared" si="69"/>
        <v>火焰</v>
      </c>
      <c r="J155" s="5" t="str">
        <f t="shared" si="69"/>
        <v>火焰</v>
      </c>
    </row>
    <row r="156">
      <c r="A156" s="5" t="str">
        <f>CONCATENATE(A155,"-G")</f>
        <v>CATEGORY_MOLTRES-G</v>
      </c>
      <c r="B156" s="3" t="s">
        <v>8031</v>
      </c>
      <c r="C156" s="3" t="s">
        <v>8032</v>
      </c>
      <c r="D156" s="3" t="s">
        <v>8033</v>
      </c>
      <c r="E156" s="3" t="s">
        <v>8034</v>
      </c>
      <c r="F156" s="3" t="s">
        <v>8035</v>
      </c>
      <c r="G156" s="3" t="s">
        <v>8036</v>
      </c>
      <c r="H156" s="3" t="s">
        <v>8037</v>
      </c>
      <c r="I156" s="3" t="str">
        <f t="shared" ref="I156:J156" si="70">I288</f>
        <v>邪惡</v>
      </c>
      <c r="J156" s="3" t="str">
        <f t="shared" si="70"/>
        <v>邪恶</v>
      </c>
    </row>
    <row r="157">
      <c r="A157" s="5" t="str">
        <f>CONCATENATE("CATEGORY_",UPPER(Pokemon!B148))</f>
        <v>CATEGORY_DRATINI</v>
      </c>
      <c r="B157" s="5" t="str">
        <f t="shared" ref="B157:J157" si="71">B122</f>
        <v>Dragon</v>
      </c>
      <c r="C157" s="5" t="str">
        <f t="shared" si="71"/>
        <v>ドラゴン</v>
      </c>
      <c r="D157" s="5" t="str">
        <f t="shared" si="71"/>
        <v>Dragon</v>
      </c>
      <c r="E157" s="5" t="str">
        <f t="shared" si="71"/>
        <v>Drache</v>
      </c>
      <c r="F157" s="5" t="str">
        <f t="shared" si="71"/>
        <v>Dragón</v>
      </c>
      <c r="G157" s="5" t="str">
        <f t="shared" si="71"/>
        <v>Drago</v>
      </c>
      <c r="H157" s="5" t="str">
        <f t="shared" si="71"/>
        <v>드개곤</v>
      </c>
      <c r="I157" s="5" t="str">
        <f t="shared" si="71"/>
        <v>龍</v>
      </c>
      <c r="J157" s="5" t="str">
        <f t="shared" si="71"/>
        <v>龙</v>
      </c>
    </row>
    <row r="158">
      <c r="A158" s="5" t="str">
        <f>CONCATENATE("CATEGORY_",UPPER(Pokemon!B149))</f>
        <v>CATEGORY_DRAGONAIR</v>
      </c>
      <c r="B158" s="5" t="str">
        <f t="shared" ref="B158:J158" si="72">B122</f>
        <v>Dragon</v>
      </c>
      <c r="C158" s="5" t="str">
        <f t="shared" si="72"/>
        <v>ドラゴン</v>
      </c>
      <c r="D158" s="5" t="str">
        <f t="shared" si="72"/>
        <v>Dragon</v>
      </c>
      <c r="E158" s="5" t="str">
        <f t="shared" si="72"/>
        <v>Drache</v>
      </c>
      <c r="F158" s="5" t="str">
        <f t="shared" si="72"/>
        <v>Dragón</v>
      </c>
      <c r="G158" s="5" t="str">
        <f t="shared" si="72"/>
        <v>Drago</v>
      </c>
      <c r="H158" s="5" t="str">
        <f t="shared" si="72"/>
        <v>드개곤</v>
      </c>
      <c r="I158" s="5" t="str">
        <f t="shared" si="72"/>
        <v>龍</v>
      </c>
      <c r="J158" s="5" t="str">
        <f t="shared" si="72"/>
        <v>龙</v>
      </c>
    </row>
    <row r="159">
      <c r="A159" s="5" t="str">
        <f>CONCATENATE("CATEGORY_",UPPER(Pokemon!B150))</f>
        <v>CATEGORY_DRAGONITE</v>
      </c>
      <c r="B159" s="5" t="str">
        <f t="shared" ref="B159:J159" si="73">B122</f>
        <v>Dragon</v>
      </c>
      <c r="C159" s="5" t="str">
        <f t="shared" si="73"/>
        <v>ドラゴン</v>
      </c>
      <c r="D159" s="5" t="str">
        <f t="shared" si="73"/>
        <v>Dragon</v>
      </c>
      <c r="E159" s="5" t="str">
        <f t="shared" si="73"/>
        <v>Drache</v>
      </c>
      <c r="F159" s="5" t="str">
        <f t="shared" si="73"/>
        <v>Dragón</v>
      </c>
      <c r="G159" s="5" t="str">
        <f t="shared" si="73"/>
        <v>Drago</v>
      </c>
      <c r="H159" s="5" t="str">
        <f t="shared" si="73"/>
        <v>드개곤</v>
      </c>
      <c r="I159" s="5" t="str">
        <f t="shared" si="73"/>
        <v>龍</v>
      </c>
      <c r="J159" s="5" t="str">
        <f t="shared" si="73"/>
        <v>龙</v>
      </c>
    </row>
    <row r="160">
      <c r="A160" s="5" t="str">
        <f>CONCATENATE("CATEGORY_",UPPER(Pokemon!B151))</f>
        <v>CATEGORY_MEWTWO</v>
      </c>
      <c r="B160" s="3" t="s">
        <v>8038</v>
      </c>
      <c r="C160" s="3" t="s">
        <v>8039</v>
      </c>
      <c r="D160" s="3" t="s">
        <v>8040</v>
      </c>
      <c r="E160" s="3" t="s">
        <v>8041</v>
      </c>
      <c r="F160" s="3" t="s">
        <v>8042</v>
      </c>
      <c r="G160" s="3" t="s">
        <v>8043</v>
      </c>
      <c r="H160" s="3" t="s">
        <v>8044</v>
      </c>
      <c r="I160" s="3" t="s">
        <v>8045</v>
      </c>
      <c r="J160" s="5" t="str">
        <f>I160</f>
        <v>基因</v>
      </c>
    </row>
    <row r="161">
      <c r="A161" s="5" t="str">
        <f>CONCATENATE("CATEGORY_",UPPER(Pokemon!B152))</f>
        <v>CATEGORY_MEW</v>
      </c>
      <c r="B161" s="3" t="s">
        <v>8046</v>
      </c>
      <c r="C161" s="3" t="s">
        <v>8047</v>
      </c>
      <c r="D161" s="3" t="s">
        <v>8048</v>
      </c>
      <c r="E161" s="3" t="s">
        <v>8049</v>
      </c>
      <c r="F161" s="3" t="s">
        <v>8050</v>
      </c>
      <c r="G161" s="3" t="s">
        <v>8051</v>
      </c>
      <c r="H161" s="3" t="s">
        <v>8052</v>
      </c>
      <c r="I161" s="3" t="s">
        <v>8053</v>
      </c>
      <c r="J161" s="5" t="str">
        <f>IFERROR(__xludf.DUMMYFUNCTION("GOOGLETRANSLATE(I161, ""zh_HANT"",""zh_HANS"")"),"新种")</f>
        <v>新种</v>
      </c>
    </row>
    <row r="162">
      <c r="A162" s="5" t="str">
        <f>CONCATENATE("CATEGORY_",UPPER(Pokemon!B153))</f>
        <v>CATEGORY_CHIKORITA</v>
      </c>
      <c r="B162" s="3" t="s">
        <v>8054</v>
      </c>
      <c r="C162" s="3" t="s">
        <v>8055</v>
      </c>
      <c r="D162" s="3" t="s">
        <v>8056</v>
      </c>
      <c r="E162" s="3" t="s">
        <v>8057</v>
      </c>
      <c r="F162" s="3" t="s">
        <v>8058</v>
      </c>
      <c r="G162" s="3" t="s">
        <v>8059</v>
      </c>
      <c r="H162" s="3" t="s">
        <v>8060</v>
      </c>
      <c r="I162" s="3" t="s">
        <v>8061</v>
      </c>
      <c r="J162" s="5" t="str">
        <f>IFERROR(__xludf.DUMMYFUNCTION("GOOGLETRANSLATE(I162, ""zh_HANT"",""zh_HANS"")"),"叶子")</f>
        <v>叶子</v>
      </c>
    </row>
    <row r="163">
      <c r="A163" s="5" t="str">
        <f>CONCATENATE("CATEGORY_",UPPER(Pokemon!B154))</f>
        <v>CATEGORY_BAYLEEF</v>
      </c>
      <c r="B163" s="5" t="str">
        <f t="shared" ref="B163:J163" si="74">B162</f>
        <v>Leaf</v>
      </c>
      <c r="C163" s="5" t="str">
        <f t="shared" si="74"/>
        <v>はっぱ</v>
      </c>
      <c r="D163" s="5" t="str">
        <f t="shared" si="74"/>
        <v>Feuille</v>
      </c>
      <c r="E163" s="5" t="str">
        <f t="shared" si="74"/>
        <v>Laub</v>
      </c>
      <c r="F163" s="5" t="str">
        <f t="shared" si="74"/>
        <v>Hoja</v>
      </c>
      <c r="G163" s="5" t="str">
        <f t="shared" si="74"/>
        <v>Foglia</v>
      </c>
      <c r="H163" s="5" t="str">
        <f t="shared" si="74"/>
        <v>잎사귀</v>
      </c>
      <c r="I163" s="5" t="str">
        <f t="shared" si="74"/>
        <v>葉子</v>
      </c>
      <c r="J163" s="5" t="str">
        <f t="shared" si="74"/>
        <v>叶子</v>
      </c>
    </row>
    <row r="164">
      <c r="A164" s="5" t="str">
        <f>CONCATENATE("CATEGORY_",UPPER(Pokemon!B155))</f>
        <v>CATEGORY_MEGANIUM</v>
      </c>
      <c r="B164" s="3" t="s">
        <v>8062</v>
      </c>
      <c r="C164" s="3" t="s">
        <v>8063</v>
      </c>
      <c r="D164" s="3" t="s">
        <v>8064</v>
      </c>
      <c r="E164" s="3" t="s">
        <v>8065</v>
      </c>
      <c r="F164" s="3" t="s">
        <v>8066</v>
      </c>
      <c r="G164" s="3" t="s">
        <v>8067</v>
      </c>
      <c r="H164" s="3" t="s">
        <v>8068</v>
      </c>
      <c r="I164" s="3" t="s">
        <v>8069</v>
      </c>
      <c r="J164" s="5" t="str">
        <f t="shared" ref="J164:J166" si="75">I164</f>
        <v>芳草</v>
      </c>
    </row>
    <row r="165">
      <c r="A165" s="5" t="str">
        <f>CONCATENATE("CATEGORY_",UPPER(Pokemon!B156))</f>
        <v>CATEGORY_CYNDAQUIL</v>
      </c>
      <c r="B165" s="3" t="s">
        <v>8070</v>
      </c>
      <c r="C165" s="3" t="s">
        <v>8071</v>
      </c>
      <c r="D165" s="3" t="s">
        <v>8072</v>
      </c>
      <c r="E165" s="3" t="s">
        <v>8073</v>
      </c>
      <c r="F165" s="3" t="s">
        <v>8074</v>
      </c>
      <c r="G165" s="3" t="s">
        <v>8075</v>
      </c>
      <c r="H165" s="3" t="s">
        <v>8076</v>
      </c>
      <c r="I165" s="3" t="s">
        <v>8077</v>
      </c>
      <c r="J165" s="5" t="str">
        <f t="shared" si="75"/>
        <v>火鼠</v>
      </c>
    </row>
    <row r="166">
      <c r="A166" s="5" t="str">
        <f>CONCATENATE("CATEGORY_",UPPER(Pokemon!B157))</f>
        <v>CATEGORY_QUILAVA</v>
      </c>
      <c r="B166" s="3" t="s">
        <v>8078</v>
      </c>
      <c r="C166" s="3" t="s">
        <v>8079</v>
      </c>
      <c r="D166" s="3" t="s">
        <v>8080</v>
      </c>
      <c r="E166" s="3" t="s">
        <v>8081</v>
      </c>
      <c r="F166" s="3" t="s">
        <v>8082</v>
      </c>
      <c r="G166" s="5" t="str">
        <f>B166</f>
        <v>Volcano</v>
      </c>
      <c r="H166" s="3" t="s">
        <v>8083</v>
      </c>
      <c r="I166" s="3" t="s">
        <v>8084</v>
      </c>
      <c r="J166" s="5" t="str">
        <f t="shared" si="75"/>
        <v>火山</v>
      </c>
    </row>
    <row r="167">
      <c r="A167" s="5" t="str">
        <f>CONCATENATE("CATEGORY_",UPPER(Pokemon!B158))</f>
        <v>CATEGORY_TYPHLOSION</v>
      </c>
      <c r="B167" s="5" t="str">
        <f t="shared" ref="B167:J167" si="76">B166</f>
        <v>Volcano</v>
      </c>
      <c r="C167" s="5" t="str">
        <f t="shared" si="76"/>
        <v>かざん</v>
      </c>
      <c r="D167" s="5" t="str">
        <f t="shared" si="76"/>
        <v>Volcan</v>
      </c>
      <c r="E167" s="5" t="str">
        <f t="shared" si="76"/>
        <v>Vulkan</v>
      </c>
      <c r="F167" s="5" t="str">
        <f t="shared" si="76"/>
        <v>Volcán</v>
      </c>
      <c r="G167" s="5" t="str">
        <f t="shared" si="76"/>
        <v>Volcano</v>
      </c>
      <c r="H167" s="5" t="str">
        <f t="shared" si="76"/>
        <v>화산</v>
      </c>
      <c r="I167" s="5" t="str">
        <f t="shared" si="76"/>
        <v>火山</v>
      </c>
      <c r="J167" s="5" t="str">
        <f t="shared" si="76"/>
        <v>火山</v>
      </c>
    </row>
    <row r="168">
      <c r="A168" s="5" t="str">
        <f>CONCATENATE(A167,"-H")</f>
        <v>CATEGORY_TYPHLOSION-H</v>
      </c>
      <c r="B168" s="3" t="s">
        <v>8085</v>
      </c>
      <c r="C168" s="3" t="s">
        <v>8086</v>
      </c>
      <c r="D168" s="3" t="s">
        <v>8087</v>
      </c>
      <c r="E168" s="3" t="s">
        <v>8088</v>
      </c>
      <c r="F168" s="3" t="s">
        <v>8089</v>
      </c>
      <c r="G168" s="3" t="s">
        <v>8090</v>
      </c>
      <c r="H168" s="3" t="s">
        <v>8091</v>
      </c>
      <c r="I168" s="5" t="str">
        <f>J168</f>
        <v>鬼火</v>
      </c>
      <c r="J168" s="3" t="s">
        <v>8092</v>
      </c>
    </row>
    <row r="169">
      <c r="A169" s="5" t="str">
        <f>CONCATENATE("CATEGORY_",UPPER(Pokemon!B159))</f>
        <v>CATEGORY_TOTODILE</v>
      </c>
      <c r="B169" s="3" t="s">
        <v>8093</v>
      </c>
      <c r="C169" s="3" t="s">
        <v>8094</v>
      </c>
      <c r="D169" s="3" t="s">
        <v>8095</v>
      </c>
      <c r="E169" s="3" t="s">
        <v>8096</v>
      </c>
      <c r="F169" s="3" t="s">
        <v>8097</v>
      </c>
      <c r="G169" s="3" t="s">
        <v>8098</v>
      </c>
      <c r="H169" s="3" t="s">
        <v>8099</v>
      </c>
      <c r="I169" s="3" t="s">
        <v>8100</v>
      </c>
      <c r="J169" s="5" t="str">
        <f>IFERROR(__xludf.DUMMYFUNCTION("GOOGLETRANSLATE(I169, ""zh_HANT"",""zh_HANS"")"),"大颚")</f>
        <v>大颚</v>
      </c>
    </row>
    <row r="170">
      <c r="A170" s="5" t="str">
        <f>CONCATENATE("CATEGORY_",UPPER(Pokemon!B160))</f>
        <v>CATEGORY_CROCONAW</v>
      </c>
      <c r="B170" s="5" t="str">
        <f t="shared" ref="B170:J170" si="77">B169</f>
        <v>Big Jaw</v>
      </c>
      <c r="C170" s="5" t="str">
        <f t="shared" si="77"/>
        <v>おおあご</v>
      </c>
      <c r="D170" s="5" t="str">
        <f t="shared" si="77"/>
        <v>Mâchoire</v>
      </c>
      <c r="E170" s="5" t="str">
        <f t="shared" si="77"/>
        <v>Großmaul</v>
      </c>
      <c r="F170" s="5" t="str">
        <f t="shared" si="77"/>
        <v>Fauces</v>
      </c>
      <c r="G170" s="5" t="str">
        <f t="shared" si="77"/>
        <v>Mascellone</v>
      </c>
      <c r="H170" s="5" t="str">
        <f t="shared" si="77"/>
        <v>큰턱</v>
      </c>
      <c r="I170" s="5" t="str">
        <f t="shared" si="77"/>
        <v>大顎</v>
      </c>
      <c r="J170" s="5" t="str">
        <f t="shared" si="77"/>
        <v>大颚</v>
      </c>
    </row>
    <row r="171">
      <c r="A171" s="5" t="str">
        <f>CONCATENATE("CATEGORY_",UPPER(Pokemon!B161))</f>
        <v>CATEGORY_FERALIGATR</v>
      </c>
      <c r="B171" s="5" t="str">
        <f t="shared" ref="B171:J171" si="78">B169</f>
        <v>Big Jaw</v>
      </c>
      <c r="C171" s="5" t="str">
        <f t="shared" si="78"/>
        <v>おおあご</v>
      </c>
      <c r="D171" s="5" t="str">
        <f t="shared" si="78"/>
        <v>Mâchoire</v>
      </c>
      <c r="E171" s="5" t="str">
        <f t="shared" si="78"/>
        <v>Großmaul</v>
      </c>
      <c r="F171" s="5" t="str">
        <f t="shared" si="78"/>
        <v>Fauces</v>
      </c>
      <c r="G171" s="5" t="str">
        <f t="shared" si="78"/>
        <v>Mascellone</v>
      </c>
      <c r="H171" s="5" t="str">
        <f t="shared" si="78"/>
        <v>큰턱</v>
      </c>
      <c r="I171" s="5" t="str">
        <f t="shared" si="78"/>
        <v>大顎</v>
      </c>
      <c r="J171" s="5" t="str">
        <f t="shared" si="78"/>
        <v>大颚</v>
      </c>
    </row>
    <row r="172">
      <c r="A172" s="5" t="str">
        <f>CONCATENATE("CATEGORY_",UPPER(Pokemon!B162))</f>
        <v>CATEGORY_SENTRET</v>
      </c>
      <c r="B172" s="3" t="s">
        <v>8101</v>
      </c>
      <c r="C172" s="3" t="s">
        <v>8102</v>
      </c>
      <c r="D172" s="3" t="s">
        <v>8103</v>
      </c>
      <c r="E172" s="3" t="s">
        <v>8104</v>
      </c>
      <c r="F172" s="3" t="s">
        <v>8105</v>
      </c>
      <c r="G172" s="3" t="s">
        <v>8106</v>
      </c>
      <c r="H172" s="3" t="s">
        <v>8107</v>
      </c>
      <c r="I172" s="5" t="str">
        <f>J172</f>
        <v>放哨</v>
      </c>
      <c r="J172" s="3" t="s">
        <v>8108</v>
      </c>
    </row>
    <row r="173">
      <c r="A173" s="5" t="str">
        <f>CONCATENATE("CATEGORY_",UPPER(Pokemon!B163))</f>
        <v>CATEGORY_FURRET</v>
      </c>
      <c r="B173" s="3" t="s">
        <v>8109</v>
      </c>
      <c r="C173" s="3" t="s">
        <v>8110</v>
      </c>
      <c r="D173" s="3" t="s">
        <v>8111</v>
      </c>
      <c r="E173" s="3" t="s">
        <v>8112</v>
      </c>
      <c r="F173" s="3" t="s">
        <v>8113</v>
      </c>
      <c r="G173" s="3" t="s">
        <v>8114</v>
      </c>
      <c r="H173" s="3" t="s">
        <v>8115</v>
      </c>
      <c r="I173" s="3" t="s">
        <v>8116</v>
      </c>
      <c r="J173" s="5" t="str">
        <f>IFERROR(__xludf.DUMMYFUNCTION("GOOGLETRANSLATE(I173, ""zh_HANT"",""zh_HANS"")"),"长躯干")</f>
        <v>长躯干</v>
      </c>
    </row>
    <row r="174">
      <c r="A174" s="5" t="str">
        <f>CONCATENATE("CATEGORY_",UPPER(Pokemon!B164))</f>
        <v>CATEGORY_HOOTHOOT</v>
      </c>
      <c r="B174" s="3" t="s">
        <v>8117</v>
      </c>
      <c r="C174" s="3" t="s">
        <v>8118</v>
      </c>
      <c r="D174" s="3" t="s">
        <v>8119</v>
      </c>
      <c r="E174" s="3" t="s">
        <v>8120</v>
      </c>
      <c r="F174" s="3" t="s">
        <v>8121</v>
      </c>
      <c r="G174" s="3" t="s">
        <v>8122</v>
      </c>
      <c r="H174" s="3" t="s">
        <v>8123</v>
      </c>
      <c r="I174" s="3" t="s">
        <v>8124</v>
      </c>
      <c r="J174" s="5" t="str">
        <f>IFERROR(__xludf.DUMMYFUNCTION("GOOGLETRANSLATE(I174, ""zh_HANT"",""zh_HANS"")"),"猫头鹰")</f>
        <v>猫头鹰</v>
      </c>
    </row>
    <row r="175">
      <c r="A175" s="5" t="str">
        <f>CONCATENATE("CATEGORY_",UPPER(Pokemon!B165))</f>
        <v>CATEGORY_NOCTOWL</v>
      </c>
      <c r="B175" s="5" t="str">
        <f t="shared" ref="B175:J175" si="79">B174</f>
        <v>Owl</v>
      </c>
      <c r="C175" s="5" t="str">
        <f t="shared" si="79"/>
        <v>ふくろう</v>
      </c>
      <c r="D175" s="5" t="str">
        <f t="shared" si="79"/>
        <v>Hibou</v>
      </c>
      <c r="E175" s="5" t="str">
        <f t="shared" si="79"/>
        <v>Eule</v>
      </c>
      <c r="F175" s="5" t="str">
        <f t="shared" si="79"/>
        <v>Búho</v>
      </c>
      <c r="G175" s="5" t="str">
        <f t="shared" si="79"/>
        <v>Gufo</v>
      </c>
      <c r="H175" s="5" t="str">
        <f t="shared" si="79"/>
        <v>부엉이</v>
      </c>
      <c r="I175" s="5" t="str">
        <f t="shared" si="79"/>
        <v>貓頭鷹</v>
      </c>
      <c r="J175" s="5" t="str">
        <f t="shared" si="79"/>
        <v>猫头鹰</v>
      </c>
    </row>
    <row r="176">
      <c r="A176" s="5" t="str">
        <f>CONCATENATE("CATEGORY_",UPPER(Pokemon!B166))</f>
        <v>CATEGORY_LEDYBA</v>
      </c>
      <c r="B176" s="3" t="s">
        <v>8125</v>
      </c>
      <c r="C176" s="3" t="s">
        <v>8126</v>
      </c>
      <c r="D176" s="3" t="s">
        <v>8127</v>
      </c>
      <c r="E176" s="3" t="s">
        <v>8128</v>
      </c>
      <c r="F176" s="3" t="s">
        <v>8129</v>
      </c>
      <c r="G176" s="3" t="s">
        <v>8130</v>
      </c>
      <c r="H176" s="3" t="s">
        <v>8131</v>
      </c>
      <c r="I176" s="3" t="s">
        <v>8132</v>
      </c>
      <c r="J176" s="5" t="str">
        <f>I176</f>
        <v>五星</v>
      </c>
    </row>
    <row r="177">
      <c r="A177" s="5" t="str">
        <f>CONCATENATE("CATEGORY_",UPPER(Pokemon!B167))</f>
        <v>CATEGORY_LEDIAN</v>
      </c>
      <c r="B177" s="5" t="str">
        <f t="shared" ref="B177:J177" si="80">B176</f>
        <v>Five Star</v>
      </c>
      <c r="C177" s="5" t="str">
        <f t="shared" si="80"/>
        <v>いつつぼし</v>
      </c>
      <c r="D177" s="5" t="str">
        <f t="shared" si="80"/>
        <v>5 Étoiles</v>
      </c>
      <c r="E177" s="5" t="str">
        <f t="shared" si="80"/>
        <v>Fünf-Punkt</v>
      </c>
      <c r="F177" s="5" t="str">
        <f t="shared" si="80"/>
        <v>5 Estrellas</v>
      </c>
      <c r="G177" s="5" t="str">
        <f t="shared" si="80"/>
        <v>Pentastra</v>
      </c>
      <c r="H177" s="5" t="str">
        <f t="shared" si="80"/>
        <v>별다섯</v>
      </c>
      <c r="I177" s="5" t="str">
        <f t="shared" si="80"/>
        <v>五星</v>
      </c>
      <c r="J177" s="5" t="str">
        <f t="shared" si="80"/>
        <v>五星</v>
      </c>
    </row>
    <row r="178">
      <c r="A178" s="5" t="str">
        <f>CONCATENATE("CATEGORY_",UPPER(Pokemon!B168))</f>
        <v>CATEGORY_SPINARAK</v>
      </c>
      <c r="B178" s="3" t="s">
        <v>8133</v>
      </c>
      <c r="C178" s="3" t="s">
        <v>8134</v>
      </c>
      <c r="D178" s="3" t="s">
        <v>8135</v>
      </c>
      <c r="E178" s="3" t="s">
        <v>8136</v>
      </c>
      <c r="F178" s="3" t="s">
        <v>8137</v>
      </c>
      <c r="G178" s="3" t="s">
        <v>8138</v>
      </c>
      <c r="H178" s="3" t="s">
        <v>8139</v>
      </c>
      <c r="I178" s="3" t="s">
        <v>8140</v>
      </c>
      <c r="J178" s="5" t="str">
        <f>IFERROR(__xludf.DUMMYFUNCTION("GOOGLETRANSLATE(I178, ""zh_HANT"",""zh_HANS"")"),"吐丝")</f>
        <v>吐丝</v>
      </c>
    </row>
    <row r="179">
      <c r="A179" s="5" t="str">
        <f>CONCATENATE("CATEGORY_",UPPER(Pokemon!B169))</f>
        <v>CATEGORY_ARIADOS</v>
      </c>
      <c r="B179" s="3" t="s">
        <v>8141</v>
      </c>
      <c r="C179" s="3" t="s">
        <v>8142</v>
      </c>
      <c r="D179" s="3" t="s">
        <v>8143</v>
      </c>
      <c r="E179" s="3" t="s">
        <v>8144</v>
      </c>
      <c r="F179" s="3" t="s">
        <v>8145</v>
      </c>
      <c r="G179" s="3" t="s">
        <v>8146</v>
      </c>
      <c r="H179" s="3" t="s">
        <v>8147</v>
      </c>
      <c r="I179" s="3" t="s">
        <v>8148</v>
      </c>
      <c r="J179" s="5" t="str">
        <f>IFERROR(__xludf.DUMMYFUNCTION("GOOGLETRANSLATE(I179, ""zh_HANT"",""zh_HANS"")"),"长腿")</f>
        <v>长腿</v>
      </c>
    </row>
    <row r="180">
      <c r="A180" s="5" t="str">
        <f>CONCATENATE("CATEGORY_",UPPER(Pokemon!B170))</f>
        <v>CATEGORY_CROBAT</v>
      </c>
      <c r="B180" s="5" t="str">
        <f t="shared" ref="B180:J180" si="81">B42</f>
        <v>Bat</v>
      </c>
      <c r="C180" s="5" t="str">
        <f t="shared" si="81"/>
        <v>こうもり</v>
      </c>
      <c r="D180" s="5" t="str">
        <f t="shared" si="81"/>
        <v>Chovsouris</v>
      </c>
      <c r="E180" s="5" t="str">
        <f t="shared" si="81"/>
        <v>Fledermaus</v>
      </c>
      <c r="F180" s="5" t="str">
        <f t="shared" si="81"/>
        <v>Murciélago</v>
      </c>
      <c r="G180" s="5" t="str">
        <f t="shared" si="81"/>
        <v>Pipistrello</v>
      </c>
      <c r="H180" s="5" t="str">
        <f t="shared" si="81"/>
        <v>박쥐</v>
      </c>
      <c r="I180" s="5" t="str">
        <f t="shared" si="81"/>
        <v>蝙蝠</v>
      </c>
      <c r="J180" s="5" t="str">
        <f t="shared" si="81"/>
        <v>蝙蝠</v>
      </c>
    </row>
    <row r="181">
      <c r="A181" s="5" t="str">
        <f>CONCATENATE("CATEGORY_",UPPER(Pokemon!B171))</f>
        <v>CATEGORY_CHINCHOU</v>
      </c>
      <c r="B181" s="3" t="s">
        <v>8149</v>
      </c>
      <c r="C181" s="3" t="s">
        <v>8150</v>
      </c>
      <c r="D181" s="3" t="s">
        <v>7873</v>
      </c>
      <c r="E181" s="5" t="str">
        <f>B181</f>
        <v>Angler</v>
      </c>
      <c r="F181" s="3" t="s">
        <v>8151</v>
      </c>
      <c r="G181" s="3" t="s">
        <v>8152</v>
      </c>
      <c r="H181" s="3" t="s">
        <v>8153</v>
      </c>
      <c r="I181" s="3" t="s">
        <v>8154</v>
      </c>
      <c r="J181" s="5" t="str">
        <f>IFERROR(__xludf.DUMMYFUNCTION("GOOGLETRANSLATE(I181, ""zh_HANT"",""zh_HANS"")"),"琵琶鱼")</f>
        <v>琵琶鱼</v>
      </c>
    </row>
    <row r="182">
      <c r="A182" s="5" t="str">
        <f>CONCATENATE("CATEGORY_",UPPER(Pokemon!B172))</f>
        <v>CATEGORY_LANTURN</v>
      </c>
      <c r="B182" s="3" t="s">
        <v>8155</v>
      </c>
      <c r="C182" s="3" t="s">
        <v>8156</v>
      </c>
      <c r="D182" s="3" t="s">
        <v>8157</v>
      </c>
      <c r="E182" s="7" t="s">
        <v>8158</v>
      </c>
      <c r="F182" s="3" t="s">
        <v>8159</v>
      </c>
      <c r="G182" s="3" t="s">
        <v>8160</v>
      </c>
      <c r="H182" s="3" t="s">
        <v>8161</v>
      </c>
      <c r="I182" s="3" t="s">
        <v>8162</v>
      </c>
      <c r="J182" s="5" t="str">
        <f>IFERROR(__xludf.DUMMYFUNCTION("GOOGLETRANSLATE(I182, ""zh_HANT"",""zh_HANS"")"),"灯")</f>
        <v>灯</v>
      </c>
    </row>
    <row r="183">
      <c r="A183" s="5" t="str">
        <f>CONCATENATE("CATEGORY_",UPPER(Pokemon!B173))</f>
        <v>CATEGORY_PICHU</v>
      </c>
      <c r="B183" s="3" t="s">
        <v>8163</v>
      </c>
      <c r="C183" s="3" t="s">
        <v>8164</v>
      </c>
      <c r="D183" s="3" t="s">
        <v>8165</v>
      </c>
      <c r="E183" s="3" t="s">
        <v>8166</v>
      </c>
      <c r="F183" s="3" t="s">
        <v>8167</v>
      </c>
      <c r="G183" s="3" t="s">
        <v>8168</v>
      </c>
      <c r="H183" s="3" t="s">
        <v>8169</v>
      </c>
      <c r="I183" s="3" t="s">
        <v>8170</v>
      </c>
      <c r="J183" s="5" t="str">
        <f>I183</f>
        <v>小鼠</v>
      </c>
    </row>
    <row r="184">
      <c r="A184" s="5" t="str">
        <f>CONCATENATE("CATEGORY_",UPPER(Pokemon!B174))</f>
        <v>CATEGORY_CLEFFA</v>
      </c>
      <c r="B184" s="5" t="str">
        <f t="shared" ref="B184:J184" si="82">B126</f>
        <v>Star Shape</v>
      </c>
      <c r="C184" s="5" t="str">
        <f t="shared" si="82"/>
        <v>ほしがた</v>
      </c>
      <c r="D184" s="5" t="str">
        <f t="shared" si="82"/>
        <v>Étoile</v>
      </c>
      <c r="E184" s="5" t="str">
        <f t="shared" si="82"/>
        <v>Sternform</v>
      </c>
      <c r="F184" s="5" t="str">
        <f t="shared" si="82"/>
        <v>Estrellada</v>
      </c>
      <c r="G184" s="5" t="str">
        <f t="shared" si="82"/>
        <v>Stella</v>
      </c>
      <c r="H184" s="5" t="str">
        <f t="shared" si="82"/>
        <v>별</v>
      </c>
      <c r="I184" s="5" t="str">
        <f t="shared" si="82"/>
        <v>星形</v>
      </c>
      <c r="J184" s="5" t="str">
        <f t="shared" si="82"/>
        <v>星形</v>
      </c>
    </row>
    <row r="185">
      <c r="A185" s="5" t="str">
        <f>CONCATENATE("CATEGORY_",UPPER(Pokemon!B175))</f>
        <v>CATEGORY_IGGLYBUFF</v>
      </c>
      <c r="B185" s="5" t="str">
        <f t="shared" ref="B185:J185" si="83">B40</f>
        <v>Balloon</v>
      </c>
      <c r="C185" s="5" t="str">
        <f t="shared" si="83"/>
        <v>ふうせん</v>
      </c>
      <c r="D185" s="5" t="str">
        <f t="shared" si="83"/>
        <v>Bouboule</v>
      </c>
      <c r="E185" s="5" t="str">
        <f t="shared" si="83"/>
        <v>Ballon</v>
      </c>
      <c r="F185" s="5" t="str">
        <f t="shared" si="83"/>
        <v>Globo</v>
      </c>
      <c r="G185" s="5" t="str">
        <f t="shared" si="83"/>
        <v>Pallone</v>
      </c>
      <c r="H185" s="5" t="str">
        <f t="shared" si="83"/>
        <v>풍선</v>
      </c>
      <c r="I185" s="5" t="str">
        <f t="shared" si="83"/>
        <v>氣球</v>
      </c>
      <c r="J185" s="5" t="str">
        <f t="shared" si="83"/>
        <v>气球</v>
      </c>
    </row>
    <row r="186">
      <c r="A186" s="5" t="str">
        <f>CONCATENATE("CATEGORY_",UPPER(Pokemon!B176))</f>
        <v>CATEGORY_TOGEPI</v>
      </c>
      <c r="B186" s="3" t="s">
        <v>8171</v>
      </c>
      <c r="C186" s="3" t="s">
        <v>8172</v>
      </c>
      <c r="D186" s="3" t="s">
        <v>8173</v>
      </c>
      <c r="E186" s="3" t="s">
        <v>8174</v>
      </c>
      <c r="F186" s="3" t="s">
        <v>8175</v>
      </c>
      <c r="G186" s="3" t="s">
        <v>8176</v>
      </c>
      <c r="H186" s="3" t="s">
        <v>8177</v>
      </c>
      <c r="I186" s="3" t="s">
        <v>8178</v>
      </c>
      <c r="J186" s="5" t="str">
        <f>IFERROR(__xludf.DUMMYFUNCTION("GOOGLETRANSLATE(I186, ""zh_HANT"",""zh_HANS"")"),"针球")</f>
        <v>针球</v>
      </c>
    </row>
    <row r="187">
      <c r="A187" s="5" t="str">
        <f>CONCATENATE("CATEGORY_",UPPER(Pokemon!B177))</f>
        <v>CATEGORY_TOGETIC</v>
      </c>
      <c r="B187" s="3" t="s">
        <v>8179</v>
      </c>
      <c r="C187" s="3" t="s">
        <v>8180</v>
      </c>
      <c r="D187" s="3" t="s">
        <v>8181</v>
      </c>
      <c r="E187" s="3" t="s">
        <v>8182</v>
      </c>
      <c r="F187" s="3" t="s">
        <v>8183</v>
      </c>
      <c r="G187" s="3" t="s">
        <v>8184</v>
      </c>
      <c r="H187" s="3" t="s">
        <v>8185</v>
      </c>
      <c r="I187" s="3" t="s">
        <v>8186</v>
      </c>
      <c r="J187" s="5" t="str">
        <f>I187</f>
        <v>幸福</v>
      </c>
    </row>
    <row r="188">
      <c r="A188" s="5" t="str">
        <f>CONCATENATE("CATEGORY_",UPPER(Pokemon!B178))</f>
        <v>CATEGORY_NATU</v>
      </c>
      <c r="B188" s="5" t="str">
        <f t="shared" ref="B188:J188" si="84">B17</f>
        <v>Tiny Bird</v>
      </c>
      <c r="C188" s="5" t="str">
        <f t="shared" si="84"/>
        <v>ことり</v>
      </c>
      <c r="D188" s="5" t="str">
        <f t="shared" si="84"/>
        <v>Minoiseau</v>
      </c>
      <c r="E188" s="5" t="str">
        <f t="shared" si="84"/>
        <v>Kleinvogel</v>
      </c>
      <c r="F188" s="5" t="str">
        <f t="shared" si="84"/>
        <v>Pajarito</v>
      </c>
      <c r="G188" s="5" t="str">
        <f t="shared" si="84"/>
        <v>Uccellino</v>
      </c>
      <c r="H188" s="5" t="str">
        <f t="shared" si="84"/>
        <v>아기새</v>
      </c>
      <c r="I188" s="5" t="str">
        <f t="shared" si="84"/>
        <v>小鳥</v>
      </c>
      <c r="J188" s="5" t="str">
        <f t="shared" si="84"/>
        <v>小鸟</v>
      </c>
    </row>
    <row r="189">
      <c r="A189" s="5" t="str">
        <f>CONCATENATE("CATEGORY_",UPPER(Pokemon!B179))</f>
        <v>CATEGORY_XATU</v>
      </c>
      <c r="B189" s="3" t="s">
        <v>8187</v>
      </c>
      <c r="C189" s="3" t="s">
        <v>8188</v>
      </c>
      <c r="D189" s="3" t="s">
        <v>8189</v>
      </c>
      <c r="E189" s="3" t="s">
        <v>8190</v>
      </c>
      <c r="F189" s="7" t="s">
        <v>8191</v>
      </c>
      <c r="G189" s="3" t="s">
        <v>8192</v>
      </c>
      <c r="H189" s="3" t="s">
        <v>8193</v>
      </c>
      <c r="I189" s="3" t="s">
        <v>8194</v>
      </c>
      <c r="J189" s="5" t="str">
        <f>I189</f>
        <v>神秘</v>
      </c>
    </row>
    <row r="190">
      <c r="A190" s="5" t="str">
        <f>CONCATENATE("CATEGORY_",UPPER(Pokemon!B180))</f>
        <v>CATEGORY_MAREEP</v>
      </c>
      <c r="B190" s="3" t="s">
        <v>8195</v>
      </c>
      <c r="C190" s="3" t="s">
        <v>8196</v>
      </c>
      <c r="D190" s="3" t="s">
        <v>8197</v>
      </c>
      <c r="E190" s="3" t="s">
        <v>8198</v>
      </c>
      <c r="F190" s="3" t="s">
        <v>8199</v>
      </c>
      <c r="G190" s="5" t="str">
        <f>F190</f>
        <v>Lana</v>
      </c>
      <c r="H190" s="3" t="s">
        <v>8200</v>
      </c>
      <c r="I190" s="3" t="s">
        <v>8201</v>
      </c>
      <c r="J190" s="5" t="str">
        <f>IFERROR(__xludf.DUMMYFUNCTION("GOOGLETRANSLATE(I190, ""zh_HANT"",""zh_HANS"")"),"绵毛")</f>
        <v>绵毛</v>
      </c>
    </row>
    <row r="191">
      <c r="A191" s="5" t="str">
        <f>CONCATENATE("CATEGORY_",UPPER(Pokemon!B181))</f>
        <v>CATEGORY_FLAAFFY</v>
      </c>
      <c r="B191" s="5" t="str">
        <f t="shared" ref="B191:J191" si="85">B190</f>
        <v>Wool</v>
      </c>
      <c r="C191" s="5" t="str">
        <f t="shared" si="85"/>
        <v>わたげ</v>
      </c>
      <c r="D191" s="5" t="str">
        <f t="shared" si="85"/>
        <v>Laine</v>
      </c>
      <c r="E191" s="5" t="str">
        <f t="shared" si="85"/>
        <v>Wolle</v>
      </c>
      <c r="F191" s="5" t="str">
        <f t="shared" si="85"/>
        <v>Lana</v>
      </c>
      <c r="G191" s="5" t="str">
        <f t="shared" si="85"/>
        <v>Lana</v>
      </c>
      <c r="H191" s="5" t="str">
        <f t="shared" si="85"/>
        <v>솜털</v>
      </c>
      <c r="I191" s="5" t="str">
        <f t="shared" si="85"/>
        <v>綿毛</v>
      </c>
      <c r="J191" s="5" t="str">
        <f t="shared" si="85"/>
        <v>绵毛</v>
      </c>
    </row>
    <row r="192">
      <c r="A192" s="5" t="str">
        <f>CONCATENATE("CATEGORY_",UPPER(Pokemon!B182))</f>
        <v>CATEGORY_AMPHAROS</v>
      </c>
      <c r="B192" s="5" t="str">
        <f t="shared" ref="B192:J192" si="86">B182</f>
        <v>Light</v>
      </c>
      <c r="C192" s="5" t="str">
        <f t="shared" si="86"/>
        <v>ライト</v>
      </c>
      <c r="D192" s="5" t="str">
        <f t="shared" si="86"/>
        <v>Lumière</v>
      </c>
      <c r="E192" s="5" t="str">
        <f t="shared" si="86"/>
        <v>Leuchte</v>
      </c>
      <c r="F192" s="5" t="str">
        <f t="shared" si="86"/>
        <v>Luz</v>
      </c>
      <c r="G192" s="5" t="str">
        <f t="shared" si="86"/>
        <v>Luce</v>
      </c>
      <c r="H192" s="5" t="str">
        <f t="shared" si="86"/>
        <v>라이트</v>
      </c>
      <c r="I192" s="5" t="str">
        <f t="shared" si="86"/>
        <v>燈</v>
      </c>
      <c r="J192" s="5" t="str">
        <f t="shared" si="86"/>
        <v>灯</v>
      </c>
    </row>
    <row r="193">
      <c r="A193" s="5" t="str">
        <f>CONCATENATE("CATEGORY_",UPPER(Pokemon!B183))</f>
        <v>CATEGORY_BELLOSSOM</v>
      </c>
      <c r="B193" s="5" t="str">
        <f t="shared" ref="B193:J193" si="87">B46</f>
        <v>Flower</v>
      </c>
      <c r="C193" s="5" t="str">
        <f t="shared" si="87"/>
        <v>フラワー</v>
      </c>
      <c r="D193" s="5" t="str">
        <f t="shared" si="87"/>
        <v>Fleur</v>
      </c>
      <c r="E193" s="5" t="str">
        <f t="shared" si="87"/>
        <v>Blume</v>
      </c>
      <c r="F193" s="5" t="str">
        <f t="shared" si="87"/>
        <v>Flor</v>
      </c>
      <c r="G193" s="5" t="str">
        <f t="shared" si="87"/>
        <v>Fiore</v>
      </c>
      <c r="H193" s="5" t="str">
        <f t="shared" si="87"/>
        <v>꽃</v>
      </c>
      <c r="I193" s="5" t="str">
        <f t="shared" si="87"/>
        <v>花</v>
      </c>
      <c r="J193" s="5" t="str">
        <f t="shared" si="87"/>
        <v>花</v>
      </c>
    </row>
    <row r="194">
      <c r="A194" s="5" t="str">
        <f>CONCATENATE("CATEGORY_",UPPER(Pokemon!B184))</f>
        <v>CATEGORY_MARILL</v>
      </c>
      <c r="B194" s="3" t="s">
        <v>8202</v>
      </c>
      <c r="C194" s="3" t="s">
        <v>8203</v>
      </c>
      <c r="D194" s="3" t="s">
        <v>8204</v>
      </c>
      <c r="E194" s="3" t="s">
        <v>8205</v>
      </c>
      <c r="F194" s="3" t="s">
        <v>8206</v>
      </c>
      <c r="G194" s="3" t="s">
        <v>8207</v>
      </c>
      <c r="H194" s="3" t="s">
        <v>8208</v>
      </c>
      <c r="I194" s="3" t="s">
        <v>8209</v>
      </c>
      <c r="J194" s="5" t="str">
        <f t="shared" ref="J194:J198" si="88">I194</f>
        <v>水鼠</v>
      </c>
    </row>
    <row r="195">
      <c r="A195" s="5" t="str">
        <f>CONCATENATE("CATEGORY_",UPPER(Pokemon!B185))</f>
        <v>CATEGORY_AZUMARILL</v>
      </c>
      <c r="B195" s="3" t="s">
        <v>8210</v>
      </c>
      <c r="C195" s="3" t="s">
        <v>8211</v>
      </c>
      <c r="D195" s="3" t="s">
        <v>8212</v>
      </c>
      <c r="E195" s="3" t="s">
        <v>8213</v>
      </c>
      <c r="F195" s="3" t="s">
        <v>8214</v>
      </c>
      <c r="G195" s="3" t="s">
        <v>8215</v>
      </c>
      <c r="H195" s="3" t="s">
        <v>8216</v>
      </c>
      <c r="I195" s="3" t="s">
        <v>8217</v>
      </c>
      <c r="J195" s="5" t="str">
        <f t="shared" si="88"/>
        <v>水兔</v>
      </c>
    </row>
    <row r="196">
      <c r="A196" s="5" t="str">
        <f>CONCATENATE("CATEGORY_",UPPER(Pokemon!B186))</f>
        <v>CATEGORY_SUDOWOODO</v>
      </c>
      <c r="B196" s="3" t="s">
        <v>8218</v>
      </c>
      <c r="C196" s="3" t="s">
        <v>8219</v>
      </c>
      <c r="D196" s="3" t="s">
        <v>8218</v>
      </c>
      <c r="E196" s="5" t="str">
        <f>B196</f>
        <v>Imitation</v>
      </c>
      <c r="F196" s="3" t="s">
        <v>8220</v>
      </c>
      <c r="G196" s="3" t="s">
        <v>8221</v>
      </c>
      <c r="H196" s="3" t="s">
        <v>8222</v>
      </c>
      <c r="I196" s="3" t="s">
        <v>8223</v>
      </c>
      <c r="J196" s="5" t="str">
        <f t="shared" si="88"/>
        <v>模仿</v>
      </c>
    </row>
    <row r="197">
      <c r="A197" s="5" t="str">
        <f>CONCATENATE("CATEGORY_",UPPER(Pokemon!B187))</f>
        <v>CATEGORY_POLITOED</v>
      </c>
      <c r="B197" s="3" t="s">
        <v>8224</v>
      </c>
      <c r="C197" s="3" t="s">
        <v>8225</v>
      </c>
      <c r="D197" s="3" t="s">
        <v>8226</v>
      </c>
      <c r="E197" s="3" t="s">
        <v>8227</v>
      </c>
      <c r="F197" s="3" t="s">
        <v>8228</v>
      </c>
      <c r="G197" s="5" t="str">
        <f>F197</f>
        <v>Rana</v>
      </c>
      <c r="H197" s="3" t="s">
        <v>8229</v>
      </c>
      <c r="I197" s="3" t="s">
        <v>8230</v>
      </c>
      <c r="J197" s="5" t="str">
        <f t="shared" si="88"/>
        <v>蛙</v>
      </c>
    </row>
    <row r="198">
      <c r="A198" s="5" t="str">
        <f>CONCATENATE("CATEGORY_",UPPER(Pokemon!B188))</f>
        <v>CATEGORY_HOPPIP</v>
      </c>
      <c r="B198" s="3" t="s">
        <v>8231</v>
      </c>
      <c r="C198" s="3" t="s">
        <v>8232</v>
      </c>
      <c r="D198" s="3" t="s">
        <v>8233</v>
      </c>
      <c r="E198" s="3" t="s">
        <v>8234</v>
      </c>
      <c r="F198" s="3" t="s">
        <v>8235</v>
      </c>
      <c r="G198" s="3" t="s">
        <v>8236</v>
      </c>
      <c r="H198" s="3" t="s">
        <v>8237</v>
      </c>
      <c r="I198" s="3" t="s">
        <v>8238</v>
      </c>
      <c r="J198" s="5" t="str">
        <f t="shared" si="88"/>
        <v>棉草</v>
      </c>
    </row>
    <row r="199">
      <c r="A199" s="5" t="str">
        <f>CONCATENATE("CATEGORY_",UPPER(Pokemon!B189))</f>
        <v>CATEGORY_SKIPLOOM</v>
      </c>
      <c r="B199" s="5" t="str">
        <f t="shared" ref="B199:J199" si="89">B198</f>
        <v>Cottonweed</v>
      </c>
      <c r="C199" s="5" t="str">
        <f t="shared" si="89"/>
        <v>わたくさ</v>
      </c>
      <c r="D199" s="5" t="str">
        <f t="shared" si="89"/>
        <v>Pissenlit</v>
      </c>
      <c r="E199" s="5" t="str">
        <f t="shared" si="89"/>
        <v>Löwenzahn</v>
      </c>
      <c r="F199" s="5" t="str">
        <f t="shared" si="89"/>
        <v>Algadón</v>
      </c>
      <c r="G199" s="5" t="str">
        <f t="shared" si="89"/>
        <v>Gramigna</v>
      </c>
      <c r="H199" s="5" t="str">
        <f t="shared" si="89"/>
        <v>솜풀</v>
      </c>
      <c r="I199" s="5" t="str">
        <f t="shared" si="89"/>
        <v>棉草</v>
      </c>
      <c r="J199" s="5" t="str">
        <f t="shared" si="89"/>
        <v>棉草</v>
      </c>
    </row>
    <row r="200">
      <c r="A200" s="5" t="str">
        <f>CONCATENATE("CATEGORY_",UPPER(Pokemon!B190))</f>
        <v>CATEGORY_JUMPLUFF</v>
      </c>
      <c r="B200" s="5" t="str">
        <f t="shared" ref="B200:J200" si="90">B198</f>
        <v>Cottonweed</v>
      </c>
      <c r="C200" s="5" t="str">
        <f t="shared" si="90"/>
        <v>わたくさ</v>
      </c>
      <c r="D200" s="5" t="str">
        <f t="shared" si="90"/>
        <v>Pissenlit</v>
      </c>
      <c r="E200" s="5" t="str">
        <f t="shared" si="90"/>
        <v>Löwenzahn</v>
      </c>
      <c r="F200" s="5" t="str">
        <f t="shared" si="90"/>
        <v>Algadón</v>
      </c>
      <c r="G200" s="5" t="str">
        <f t="shared" si="90"/>
        <v>Gramigna</v>
      </c>
      <c r="H200" s="5" t="str">
        <f t="shared" si="90"/>
        <v>솜풀</v>
      </c>
      <c r="I200" s="5" t="str">
        <f t="shared" si="90"/>
        <v>棉草</v>
      </c>
      <c r="J200" s="5" t="str">
        <f t="shared" si="90"/>
        <v>棉草</v>
      </c>
    </row>
    <row r="201">
      <c r="A201" s="5" t="str">
        <f>CONCATENATE("CATEGORY_",UPPER(Pokemon!B191))</f>
        <v>CATEGORY_AIPOM</v>
      </c>
      <c r="B201" s="3" t="s">
        <v>8239</v>
      </c>
      <c r="C201" s="3" t="s">
        <v>8240</v>
      </c>
      <c r="D201" s="3" t="s">
        <v>8241</v>
      </c>
      <c r="E201" s="3" t="s">
        <v>8242</v>
      </c>
      <c r="F201" s="3" t="s">
        <v>8243</v>
      </c>
      <c r="G201" s="3" t="s">
        <v>8244</v>
      </c>
      <c r="H201" s="3" t="s">
        <v>8245</v>
      </c>
      <c r="I201" s="3" t="s">
        <v>8246</v>
      </c>
      <c r="J201" s="5" t="str">
        <f>IFERROR(__xludf.DUMMYFUNCTION("GOOGLETRANSLATE(I201, ""zh_HANT"",""zh_HANS"")"),"长尾")</f>
        <v>长尾</v>
      </c>
    </row>
    <row r="202">
      <c r="A202" s="5" t="str">
        <f>CONCATENATE("CATEGORY_",UPPER(Pokemon!B192))</f>
        <v>CATEGORY_SUNKERN</v>
      </c>
      <c r="B202" s="5" t="str">
        <f t="shared" ref="B202:J202" si="91">B2</f>
        <v>Seed</v>
      </c>
      <c r="C202" s="5" t="str">
        <f t="shared" si="91"/>
        <v>たね</v>
      </c>
      <c r="D202" s="5" t="str">
        <f t="shared" si="91"/>
        <v>Graine</v>
      </c>
      <c r="E202" s="5" t="str">
        <f t="shared" si="91"/>
        <v>Samen</v>
      </c>
      <c r="F202" s="5" t="str">
        <f t="shared" si="91"/>
        <v>Semilla</v>
      </c>
      <c r="G202" s="5" t="str">
        <f t="shared" si="91"/>
        <v>Seme</v>
      </c>
      <c r="H202" s="5" t="str">
        <f t="shared" si="91"/>
        <v>씨앗</v>
      </c>
      <c r="I202" s="5" t="str">
        <f t="shared" si="91"/>
        <v>種子</v>
      </c>
      <c r="J202" s="5" t="str">
        <f t="shared" si="91"/>
        <v>种子</v>
      </c>
    </row>
    <row r="203">
      <c r="A203" s="5" t="str">
        <f>CONCATENATE("CATEGORY_",UPPER(Pokemon!B193))</f>
        <v>CATEGORY_SUNFLORA</v>
      </c>
      <c r="B203" s="3" t="s">
        <v>8247</v>
      </c>
      <c r="C203" s="3" t="s">
        <v>8248</v>
      </c>
      <c r="D203" s="3" t="s">
        <v>8249</v>
      </c>
      <c r="E203" s="3" t="s">
        <v>8250</v>
      </c>
      <c r="F203" s="3" t="s">
        <v>8251</v>
      </c>
      <c r="G203" s="3" t="s">
        <v>8252</v>
      </c>
      <c r="H203" s="3" t="s">
        <v>8253</v>
      </c>
      <c r="I203" s="3" t="s">
        <v>8254</v>
      </c>
      <c r="J203" s="5" t="str">
        <f>IFERROR(__xludf.DUMMYFUNCTION("GOOGLETRANSLATE(I203, ""zh_HANT"",""zh_HANS"")"),"太阳")</f>
        <v>太阳</v>
      </c>
    </row>
    <row r="204">
      <c r="A204" s="5" t="str">
        <f>CONCATENATE("CATEGORY_",UPPER(Pokemon!B194))</f>
        <v>CATEGORY_YANMA</v>
      </c>
      <c r="B204" s="3" t="s">
        <v>8255</v>
      </c>
      <c r="C204" s="3" t="s">
        <v>8256</v>
      </c>
      <c r="D204" s="3" t="s">
        <v>8257</v>
      </c>
      <c r="E204" s="3" t="s">
        <v>8258</v>
      </c>
      <c r="F204" s="3" t="s">
        <v>8259</v>
      </c>
      <c r="G204" s="3" t="s">
        <v>8260</v>
      </c>
      <c r="H204" s="3" t="s">
        <v>8261</v>
      </c>
      <c r="I204" s="3" t="s">
        <v>8262</v>
      </c>
      <c r="J204" s="5" t="str">
        <f>I204</f>
        <v>薄翼</v>
      </c>
    </row>
    <row r="205">
      <c r="A205" s="5" t="str">
        <f>CONCATENATE("CATEGORY_",UPPER(Pokemon!B195))</f>
        <v>CATEGORY_WOOPER</v>
      </c>
      <c r="B205" s="3" t="s">
        <v>8263</v>
      </c>
      <c r="C205" s="3" t="s">
        <v>8264</v>
      </c>
      <c r="D205" s="5" t="str">
        <f t="shared" ref="D205:E205" si="92">D136</f>
        <v>Poisson</v>
      </c>
      <c r="E205" s="5" t="str">
        <f t="shared" si="92"/>
        <v>Fisch</v>
      </c>
      <c r="F205" s="3" t="s">
        <v>8265</v>
      </c>
      <c r="G205" s="3" t="s">
        <v>8266</v>
      </c>
      <c r="H205" s="3" t="s">
        <v>8267</v>
      </c>
      <c r="I205" s="3" t="s">
        <v>8268</v>
      </c>
      <c r="J205" s="5" t="str">
        <f>IFERROR(__xludf.DUMMYFUNCTION("GOOGLETRANSLATE(I205, ""zh_HANT"",""zh_HANS"")"),"水鱼")</f>
        <v>水鱼</v>
      </c>
    </row>
    <row r="206">
      <c r="A206" s="5" t="str">
        <f>CONCATENATE(A205,"-P")</f>
        <v>CATEGORY_WOOPER-P</v>
      </c>
      <c r="B206" s="3" t="s">
        <v>8269</v>
      </c>
      <c r="C206" s="3" t="s">
        <v>8270</v>
      </c>
      <c r="D206" s="3" t="s">
        <v>8271</v>
      </c>
      <c r="E206" s="3" t="s">
        <v>8272</v>
      </c>
      <c r="F206" s="3" t="s">
        <v>8273</v>
      </c>
      <c r="G206" s="3" t="s">
        <v>8274</v>
      </c>
      <c r="H206" s="3" t="s">
        <v>8275</v>
      </c>
      <c r="I206" s="3" t="s">
        <v>8276</v>
      </c>
      <c r="J206" s="5" t="str">
        <f>IFERROR(__xludf.DUMMYFUNCTION("GOOGLETRANSLATE(I206, ""zh_HANT"",""zh_HANS"")"),"毒鱼")</f>
        <v>毒鱼</v>
      </c>
    </row>
    <row r="207">
      <c r="A207" s="5" t="str">
        <f>CONCATENATE("CATEGORY_",UPPER(Pokemon!B196))</f>
        <v>CATEGORY_QUAGSIRE</v>
      </c>
      <c r="B207" s="5" t="str">
        <f t="shared" ref="B207:J207" si="93">B205</f>
        <v>Water Fish</v>
      </c>
      <c r="C207" s="5" t="str">
        <f t="shared" si="93"/>
        <v>みずうお</v>
      </c>
      <c r="D207" s="5" t="str">
        <f t="shared" si="93"/>
        <v>Poisson</v>
      </c>
      <c r="E207" s="5" t="str">
        <f t="shared" si="93"/>
        <v>Fisch</v>
      </c>
      <c r="F207" s="5" t="str">
        <f t="shared" si="93"/>
        <v>Pez Agua</v>
      </c>
      <c r="G207" s="5" t="str">
        <f t="shared" si="93"/>
        <v>Acquapesce</v>
      </c>
      <c r="H207" s="5" t="str">
        <f t="shared" si="93"/>
        <v>수어</v>
      </c>
      <c r="I207" s="5" t="str">
        <f t="shared" si="93"/>
        <v>水魚</v>
      </c>
      <c r="J207" s="5" t="str">
        <f t="shared" si="93"/>
        <v>水鱼</v>
      </c>
    </row>
    <row r="208">
      <c r="A208" s="5" t="str">
        <f>CONCATENATE("CATEGORY_",UPPER(Pokemon!B197))</f>
        <v>CATEGORY_ESPEON</v>
      </c>
      <c r="B208" s="5" t="str">
        <f t="shared" ref="B208:J208" si="94">B203</f>
        <v>Sun</v>
      </c>
      <c r="C208" s="5" t="str">
        <f t="shared" si="94"/>
        <v>たいよう</v>
      </c>
      <c r="D208" s="5" t="str">
        <f t="shared" si="94"/>
        <v>Soleil</v>
      </c>
      <c r="E208" s="5" t="str">
        <f t="shared" si="94"/>
        <v>Sonne</v>
      </c>
      <c r="F208" s="5" t="str">
        <f t="shared" si="94"/>
        <v>Sol</v>
      </c>
      <c r="G208" s="5" t="str">
        <f t="shared" si="94"/>
        <v>Sole</v>
      </c>
      <c r="H208" s="5" t="str">
        <f t="shared" si="94"/>
        <v>태양</v>
      </c>
      <c r="I208" s="5" t="str">
        <f t="shared" si="94"/>
        <v>太陽</v>
      </c>
      <c r="J208" s="5" t="str">
        <f t="shared" si="94"/>
        <v>太阳</v>
      </c>
    </row>
    <row r="209">
      <c r="A209" s="5" t="str">
        <f>CONCATENATE("CATEGORY_",UPPER(Pokemon!B198))</f>
        <v>CATEGORY_UMBREON</v>
      </c>
      <c r="B209" s="3" t="s">
        <v>8277</v>
      </c>
      <c r="C209" s="3" t="s">
        <v>8278</v>
      </c>
      <c r="D209" s="3" t="s">
        <v>8279</v>
      </c>
      <c r="E209" s="3" t="s">
        <v>8280</v>
      </c>
      <c r="F209" s="3" t="s">
        <v>8281</v>
      </c>
      <c r="G209" s="3" t="s">
        <v>8282</v>
      </c>
      <c r="H209" s="3" t="s">
        <v>8283</v>
      </c>
      <c r="I209" s="3" t="s">
        <v>8284</v>
      </c>
      <c r="J209" s="5" t="str">
        <f t="shared" ref="J209:J211" si="95">I209</f>
        <v>月光</v>
      </c>
    </row>
    <row r="210">
      <c r="A210" s="5" t="str">
        <f>CONCATENATE("CATEGORY_",UPPER(Pokemon!B199))</f>
        <v>CATEGORY_MURKROW</v>
      </c>
      <c r="B210" s="3" t="s">
        <v>8285</v>
      </c>
      <c r="C210" s="3" t="s">
        <v>8286</v>
      </c>
      <c r="D210" s="3" t="s">
        <v>8287</v>
      </c>
      <c r="E210" s="3" t="s">
        <v>8288</v>
      </c>
      <c r="F210" s="3" t="s">
        <v>8289</v>
      </c>
      <c r="G210" s="3" t="s">
        <v>8290</v>
      </c>
      <c r="H210" s="3" t="s">
        <v>8291</v>
      </c>
      <c r="I210" s="3" t="s">
        <v>8292</v>
      </c>
      <c r="J210" s="5" t="str">
        <f t="shared" si="95"/>
        <v>黑暗</v>
      </c>
    </row>
    <row r="211">
      <c r="A211" s="5" t="str">
        <f>CONCATENATE("CATEGORY_",UPPER(Pokemon!B200))</f>
        <v>CATEGORY_SLOWKING</v>
      </c>
      <c r="B211" s="3" t="s">
        <v>8293</v>
      </c>
      <c r="C211" s="3" t="s">
        <v>8294</v>
      </c>
      <c r="D211" s="3" t="s">
        <v>8293</v>
      </c>
      <c r="E211" s="3" t="s">
        <v>8295</v>
      </c>
      <c r="F211" s="3" t="s">
        <v>8296</v>
      </c>
      <c r="G211" s="3" t="s">
        <v>8297</v>
      </c>
      <c r="H211" s="3" t="s">
        <v>8298</v>
      </c>
      <c r="I211" s="3" t="s">
        <v>8299</v>
      </c>
      <c r="J211" s="5" t="str">
        <f t="shared" si="95"/>
        <v>王者</v>
      </c>
    </row>
    <row r="212">
      <c r="A212" s="5" t="str">
        <f>CONCATENATE(A211,"-G")</f>
        <v>CATEGORY_SLOWKING-G</v>
      </c>
      <c r="B212" s="3" t="s">
        <v>8300</v>
      </c>
      <c r="C212" s="3" t="s">
        <v>8301</v>
      </c>
      <c r="D212" s="3" t="s">
        <v>8302</v>
      </c>
      <c r="E212" s="3" t="s">
        <v>8303</v>
      </c>
      <c r="F212" s="3" t="s">
        <v>8304</v>
      </c>
      <c r="G212" s="3" t="s">
        <v>8305</v>
      </c>
      <c r="H212" s="3" t="s">
        <v>8306</v>
      </c>
      <c r="I212" s="5" t="str">
        <f>IFERROR(__xludf.DUMMYFUNCTION("GOOGLETRANSLATE(J212,""zh_HANS"",""zh_HANT"")"),"詛咒師")</f>
        <v>詛咒師</v>
      </c>
      <c r="J212" s="3" t="s">
        <v>8307</v>
      </c>
    </row>
    <row r="213">
      <c r="A213" s="5" t="str">
        <f>CONCATENATE("CATEGORY_",UPPER(Pokemon!B201))</f>
        <v>CATEGORY_MISDREAVUS</v>
      </c>
      <c r="B213" s="3" t="str">
        <f>Moves!B104</f>
        <v>Screech</v>
      </c>
      <c r="C213" s="3" t="s">
        <v>8308</v>
      </c>
      <c r="D213" s="3" t="s">
        <v>8309</v>
      </c>
      <c r="E213" s="3" t="s">
        <v>8310</v>
      </c>
      <c r="F213" s="3" t="str">
        <f>Moves!F104</f>
        <v>Chirrido</v>
      </c>
      <c r="G213" s="3" t="str">
        <f>Moves!G104</f>
        <v>Stridio</v>
      </c>
      <c r="H213" s="3" t="s">
        <v>8311</v>
      </c>
      <c r="I213" s="3" t="s">
        <v>8312</v>
      </c>
      <c r="J213" s="5" t="str">
        <f>I213</f>
        <v>夜啼</v>
      </c>
    </row>
    <row r="214">
      <c r="A214" s="5" t="str">
        <f>CONCATENATE("CATEGORY_",UPPER(Pokemon!B202))</f>
        <v>CATEGORY_UNOWN</v>
      </c>
      <c r="B214" s="3" t="s">
        <v>8313</v>
      </c>
      <c r="C214" s="3" t="s">
        <v>8314</v>
      </c>
      <c r="D214" s="3" t="s">
        <v>8315</v>
      </c>
      <c r="E214" s="5" t="str">
        <f>B214</f>
        <v>Symbol</v>
      </c>
      <c r="F214" s="3" t="s">
        <v>8316</v>
      </c>
      <c r="G214" s="5" t="str">
        <f>F214</f>
        <v>Simbolo</v>
      </c>
      <c r="H214" s="3" t="s">
        <v>8317</v>
      </c>
      <c r="I214" s="3" t="s">
        <v>8318</v>
      </c>
      <c r="J214" s="5" t="str">
        <f>IFERROR(__xludf.DUMMYFUNCTION("GOOGLETRANSLATE(I214, ""zh_HANT"",""zh_HANS"")"),"象征")</f>
        <v>象征</v>
      </c>
    </row>
    <row r="215">
      <c r="A215" s="5" t="str">
        <f>CONCATENATE("CATEGORY_",UPPER(Pokemon!B203))</f>
        <v>CATEGORY_WOBBUFFET</v>
      </c>
      <c r="B215" s="3" t="s">
        <v>8319</v>
      </c>
      <c r="C215" s="3" t="s">
        <v>8320</v>
      </c>
      <c r="D215" s="3" t="str">
        <f>B215</f>
        <v>Patient</v>
      </c>
      <c r="E215" s="3" t="s">
        <v>8321</v>
      </c>
      <c r="F215" s="3" t="s">
        <v>8322</v>
      </c>
      <c r="G215" s="3" t="s">
        <v>8323</v>
      </c>
      <c r="H215" s="3" t="s">
        <v>8324</v>
      </c>
      <c r="I215" s="3" t="s">
        <v>8325</v>
      </c>
      <c r="J215" s="5" t="str">
        <f>I215</f>
        <v>忍耐</v>
      </c>
    </row>
    <row r="216">
      <c r="A216" s="5" t="str">
        <f>CONCATENATE("CATEGORY_",UPPER(Pokemon!B204))</f>
        <v>CATEGORY_GIRAFARIG</v>
      </c>
      <c r="B216" s="3" t="s">
        <v>8326</v>
      </c>
      <c r="C216" s="3" t="s">
        <v>8327</v>
      </c>
      <c r="D216" s="3" t="s">
        <v>8328</v>
      </c>
      <c r="E216" s="3" t="s">
        <v>8329</v>
      </c>
      <c r="F216" s="3" t="s">
        <v>8330</v>
      </c>
      <c r="G216" s="3" t="s">
        <v>8331</v>
      </c>
      <c r="H216" s="3" t="s">
        <v>8332</v>
      </c>
      <c r="I216" s="3" t="s">
        <v>8333</v>
      </c>
      <c r="J216" s="5" t="str">
        <f>IFERROR(__xludf.DUMMYFUNCTION("GOOGLETRANSLATE(I216, ""zh_HANT"",""zh_HANS"")"),"长颈")</f>
        <v>长颈</v>
      </c>
    </row>
    <row r="217">
      <c r="A217" s="5" t="str">
        <f>CONCATENATE("CATEGORY_",UPPER(Pokemon!B205))</f>
        <v>CATEGORY_PINECO</v>
      </c>
      <c r="B217" s="3" t="s">
        <v>8334</v>
      </c>
      <c r="C217" s="3" t="s">
        <v>8335</v>
      </c>
      <c r="D217" s="3" t="s">
        <v>8336</v>
      </c>
      <c r="E217" s="7" t="s">
        <v>8337</v>
      </c>
      <c r="F217" s="3" t="s">
        <v>8338</v>
      </c>
      <c r="G217" s="5" t="str">
        <f>F217</f>
        <v>Larva</v>
      </c>
      <c r="H217" s="3" t="s">
        <v>8339</v>
      </c>
      <c r="I217" s="3" t="s">
        <v>8340</v>
      </c>
      <c r="J217" s="5" t="str">
        <f>IFERROR(__xludf.DUMMYFUNCTION("GOOGLETRANSLATE(I217, ""zh_HANT"",""zh_HANS"")"),"蓑衣虫")</f>
        <v>蓑衣虫</v>
      </c>
    </row>
    <row r="218">
      <c r="A218" s="5" t="str">
        <f>CONCATENATE("CATEGORY_",UPPER(Pokemon!B206))</f>
        <v>CATEGORY_FORRETRESS</v>
      </c>
      <c r="B218" s="5" t="str">
        <f t="shared" ref="B218:J218" si="96">B217</f>
        <v>Bagworm</v>
      </c>
      <c r="C218" s="5" t="str">
        <f t="shared" si="96"/>
        <v>みのむし</v>
      </c>
      <c r="D218" s="5" t="str">
        <f t="shared" si="96"/>
        <v>Ver Caché</v>
      </c>
      <c r="E218" s="5" t="str">
        <f t="shared" si="96"/>
        <v>Beutelwurm</v>
      </c>
      <c r="F218" s="5" t="str">
        <f t="shared" si="96"/>
        <v>Larva</v>
      </c>
      <c r="G218" s="5" t="str">
        <f t="shared" si="96"/>
        <v>Larva</v>
      </c>
      <c r="H218" s="5" t="str">
        <f t="shared" si="96"/>
        <v>도롱이벌레</v>
      </c>
      <c r="I218" s="5" t="str">
        <f t="shared" si="96"/>
        <v>蓑衣蟲</v>
      </c>
      <c r="J218" s="5" t="str">
        <f t="shared" si="96"/>
        <v>蓑衣虫</v>
      </c>
    </row>
    <row r="219">
      <c r="A219" s="5" t="str">
        <f>CONCATENATE("CATEGORY_",UPPER(Pokemon!B207))</f>
        <v>CATEGORY_DUNSPARCE</v>
      </c>
      <c r="B219" s="3" t="s">
        <v>8341</v>
      </c>
      <c r="C219" s="3" t="s">
        <v>8342</v>
      </c>
      <c r="D219" s="3" t="s">
        <v>7460</v>
      </c>
      <c r="E219" s="3" t="s">
        <v>7461</v>
      </c>
      <c r="F219" s="3" t="s">
        <v>8343</v>
      </c>
      <c r="G219" s="3" t="s">
        <v>8344</v>
      </c>
      <c r="H219" s="3" t="s">
        <v>8345</v>
      </c>
      <c r="I219" s="3" t="s">
        <v>8346</v>
      </c>
      <c r="J219" s="5" t="str">
        <f>I219</f>
        <v>地蛇</v>
      </c>
    </row>
    <row r="220">
      <c r="A220" s="5" t="str">
        <f>CONCATENATE("CATEGORY_",UPPER(Pokemon!B208))</f>
        <v>CATEGORY_GLIGAR</v>
      </c>
      <c r="B220" s="3" t="s">
        <v>8347</v>
      </c>
      <c r="C220" s="3" t="s">
        <v>8348</v>
      </c>
      <c r="D220" s="3" t="s">
        <v>8349</v>
      </c>
      <c r="E220" s="3" t="s">
        <v>8350</v>
      </c>
      <c r="F220" s="3" t="s">
        <v>8351</v>
      </c>
      <c r="G220" s="3" t="s">
        <v>8352</v>
      </c>
      <c r="H220" s="3" t="s">
        <v>8353</v>
      </c>
      <c r="I220" s="3" t="s">
        <v>8354</v>
      </c>
      <c r="J220" s="5" t="str">
        <f>IFERROR(__xludf.DUMMYFUNCTION("GOOGLETRANSLATE(I220, ""zh_HANT"",""zh_HANS"")"),"飞蝎")</f>
        <v>飞蝎</v>
      </c>
    </row>
    <row r="221">
      <c r="A221" s="5" t="str">
        <f>CONCATENATE("CATEGORY_",UPPER(Pokemon!B209))</f>
        <v>CATEGORY_STEELIX</v>
      </c>
      <c r="B221" s="3" t="s">
        <v>8355</v>
      </c>
      <c r="C221" s="3" t="s">
        <v>8356</v>
      </c>
      <c r="D221" s="3" t="s">
        <v>8357</v>
      </c>
      <c r="E221" s="3" t="s">
        <v>8358</v>
      </c>
      <c r="F221" s="3" t="s">
        <v>8359</v>
      </c>
      <c r="G221" s="3" t="s">
        <v>8360</v>
      </c>
      <c r="H221" s="3" t="s">
        <v>8361</v>
      </c>
      <c r="I221" s="3" t="s">
        <v>8362</v>
      </c>
      <c r="J221" s="5" t="str">
        <f>IFERROR(__xludf.DUMMYFUNCTION("GOOGLETRANSLATE(I221, ""zh_HANT"",""zh_HANS"")"),"铁蛇")</f>
        <v>铁蛇</v>
      </c>
    </row>
    <row r="222">
      <c r="A222" s="5" t="str">
        <f>CONCATENATE("CATEGORY_",UPPER(Pokemon!B210))</f>
        <v>CATEGORY_SNUBBULL</v>
      </c>
      <c r="B222" s="5" t="str">
        <f t="shared" ref="B222:J222" si="97">B36</f>
        <v>Fairy</v>
      </c>
      <c r="C222" s="5" t="str">
        <f t="shared" si="97"/>
        <v>ようせい</v>
      </c>
      <c r="D222" s="5" t="str">
        <f t="shared" si="97"/>
        <v>Fée</v>
      </c>
      <c r="E222" s="5" t="str">
        <f t="shared" si="97"/>
        <v>Fee</v>
      </c>
      <c r="F222" s="5" t="str">
        <f t="shared" si="97"/>
        <v>Hada</v>
      </c>
      <c r="G222" s="5" t="str">
        <f t="shared" si="97"/>
        <v>Fata</v>
      </c>
      <c r="H222" s="5" t="str">
        <f t="shared" si="97"/>
        <v>요정</v>
      </c>
      <c r="I222" s="5" t="str">
        <f t="shared" si="97"/>
        <v>妖精</v>
      </c>
      <c r="J222" s="5" t="str">
        <f t="shared" si="97"/>
        <v>妖精</v>
      </c>
    </row>
    <row r="223">
      <c r="A223" s="5" t="str">
        <f>CONCATENATE("CATEGORY_",UPPER(Pokemon!B211))</f>
        <v>CATEGORY_GRANBULL</v>
      </c>
      <c r="B223" s="5" t="str">
        <f t="shared" ref="B223:J223" si="98">B36</f>
        <v>Fairy</v>
      </c>
      <c r="C223" s="5" t="str">
        <f t="shared" si="98"/>
        <v>ようせい</v>
      </c>
      <c r="D223" s="5" t="str">
        <f t="shared" si="98"/>
        <v>Fée</v>
      </c>
      <c r="E223" s="5" t="str">
        <f t="shared" si="98"/>
        <v>Fee</v>
      </c>
      <c r="F223" s="5" t="str">
        <f t="shared" si="98"/>
        <v>Hada</v>
      </c>
      <c r="G223" s="5" t="str">
        <f t="shared" si="98"/>
        <v>Fata</v>
      </c>
      <c r="H223" s="5" t="str">
        <f t="shared" si="98"/>
        <v>요정</v>
      </c>
      <c r="I223" s="5" t="str">
        <f t="shared" si="98"/>
        <v>妖精</v>
      </c>
      <c r="J223" s="5" t="str">
        <f t="shared" si="98"/>
        <v>妖精</v>
      </c>
    </row>
    <row r="224">
      <c r="A224" s="5" t="str">
        <f>CONCATENATE("CATEGORY_",UPPER(Pokemon!B212))</f>
        <v>CATEGORY_QWILFISH</v>
      </c>
      <c r="B224" s="5" t="str">
        <f t="shared" ref="B224:J224" si="99">B40</f>
        <v>Balloon</v>
      </c>
      <c r="C224" s="5" t="str">
        <f t="shared" si="99"/>
        <v>ふうせん</v>
      </c>
      <c r="D224" s="5" t="str">
        <f t="shared" si="99"/>
        <v>Bouboule</v>
      </c>
      <c r="E224" s="5" t="str">
        <f t="shared" si="99"/>
        <v>Ballon</v>
      </c>
      <c r="F224" s="5" t="str">
        <f t="shared" si="99"/>
        <v>Globo</v>
      </c>
      <c r="G224" s="5" t="str">
        <f t="shared" si="99"/>
        <v>Pallone</v>
      </c>
      <c r="H224" s="5" t="str">
        <f t="shared" si="99"/>
        <v>풍선</v>
      </c>
      <c r="I224" s="5" t="str">
        <f t="shared" si="99"/>
        <v>氣球</v>
      </c>
      <c r="J224" s="5" t="str">
        <f t="shared" si="99"/>
        <v>气球</v>
      </c>
    </row>
    <row r="225">
      <c r="A225" s="5" t="str">
        <f>CONCATENATE("CATEGORY_",UPPER(Pokemon!B213))</f>
        <v>CATEGORY_SCIZOR</v>
      </c>
      <c r="B225" s="5" t="str">
        <f t="shared" ref="B225:J225" si="100">B103</f>
        <v>Pincer</v>
      </c>
      <c r="C225" s="5" t="str">
        <f t="shared" si="100"/>
        <v>はさみ</v>
      </c>
      <c r="D225" s="5" t="str">
        <f t="shared" si="100"/>
        <v>Pince</v>
      </c>
      <c r="E225" s="5" t="str">
        <f t="shared" si="100"/>
        <v>Kneifer</v>
      </c>
      <c r="F225" s="5" t="str">
        <f t="shared" si="100"/>
        <v>Tenaza</v>
      </c>
      <c r="G225" s="5" t="str">
        <f t="shared" si="100"/>
        <v>Chela</v>
      </c>
      <c r="H225" s="5" t="str">
        <f t="shared" si="100"/>
        <v>집게</v>
      </c>
      <c r="I225" s="5" t="str">
        <f t="shared" si="100"/>
        <v>鉗子</v>
      </c>
      <c r="J225" s="5" t="str">
        <f t="shared" si="100"/>
        <v>钳子</v>
      </c>
    </row>
    <row r="226">
      <c r="A226" s="5" t="str">
        <f>CONCATENATE("CATEGORY_",UPPER(Pokemon!B214))</f>
        <v>CATEGORY_SHUCKLE</v>
      </c>
      <c r="B226" s="3" t="s">
        <v>8363</v>
      </c>
      <c r="C226" s="3" t="s">
        <v>8364</v>
      </c>
      <c r="D226" s="3" t="s">
        <v>8365</v>
      </c>
      <c r="E226" s="3" t="s">
        <v>8366</v>
      </c>
      <c r="F226" s="3" t="s">
        <v>8367</v>
      </c>
      <c r="G226" s="3" t="s">
        <v>8368</v>
      </c>
      <c r="H226" s="3" t="s">
        <v>8369</v>
      </c>
      <c r="I226" s="3" t="s">
        <v>8370</v>
      </c>
      <c r="J226" s="5" t="str">
        <f>IFERROR(__xludf.DUMMYFUNCTION("GOOGLETRANSLATE(I226, ""zh_HANT"",""zh_HANS"")"),"发酵")</f>
        <v>发酵</v>
      </c>
    </row>
    <row r="227">
      <c r="A227" s="5" t="str">
        <f>CONCATENATE("CATEGORY_",UPPER(Pokemon!B215))</f>
        <v>CATEGORY_HERACROSS</v>
      </c>
      <c r="B227" s="3" t="s">
        <v>8371</v>
      </c>
      <c r="C227" s="3" t="s">
        <v>8372</v>
      </c>
      <c r="D227" s="3" t="s">
        <v>7669</v>
      </c>
      <c r="E227" s="3" t="s">
        <v>8373</v>
      </c>
      <c r="F227" s="3" t="s">
        <v>8374</v>
      </c>
      <c r="G227" s="3" t="s">
        <v>8375</v>
      </c>
      <c r="H227" s="3" t="s">
        <v>8376</v>
      </c>
      <c r="I227" s="3" t="s">
        <v>8377</v>
      </c>
      <c r="J227" s="5" t="str">
        <f>IFERROR(__xludf.DUMMYFUNCTION("GOOGLETRANSLATE(I227, ""zh_HANT"",""zh_HANS"")"),"独角")</f>
        <v>独角</v>
      </c>
    </row>
    <row r="228">
      <c r="A228" s="5" t="str">
        <f>CONCATENATE("CATEGORY_",UPPER(Pokemon!B216))</f>
        <v>CATEGORY_SNEASEL</v>
      </c>
      <c r="B228" s="3" t="s">
        <v>8378</v>
      </c>
      <c r="C228" s="3" t="s">
        <v>8379</v>
      </c>
      <c r="D228" s="3" t="s">
        <v>8380</v>
      </c>
      <c r="E228" s="3" t="s">
        <v>8381</v>
      </c>
      <c r="F228" s="3" t="s">
        <v>8382</v>
      </c>
      <c r="G228" s="3" t="s">
        <v>8383</v>
      </c>
      <c r="H228" s="3" t="s">
        <v>8384</v>
      </c>
      <c r="I228" s="3" t="s">
        <v>8385</v>
      </c>
      <c r="J228" s="5" t="str">
        <f>IFERROR(__xludf.DUMMYFUNCTION("GOOGLETRANSLATE(I228, ""zh_HANT"",""zh_HANS"")"),"钩爪")</f>
        <v>钩爪</v>
      </c>
    </row>
    <row r="229">
      <c r="A229" s="5" t="str">
        <f>CONCATENATE("CATEGORY_",UPPER(Pokemon!B217))</f>
        <v>CATEGORY_TEDDIURSA</v>
      </c>
      <c r="B229" s="3" t="s">
        <v>8386</v>
      </c>
      <c r="C229" s="3" t="s">
        <v>8387</v>
      </c>
      <c r="D229" s="3" t="s">
        <v>8388</v>
      </c>
      <c r="E229" s="3" t="s">
        <v>8389</v>
      </c>
      <c r="F229" s="3" t="s">
        <v>8390</v>
      </c>
      <c r="G229" s="3" t="s">
        <v>8391</v>
      </c>
      <c r="H229" s="3" t="s">
        <v>8392</v>
      </c>
      <c r="I229" s="3" t="s">
        <v>8393</v>
      </c>
      <c r="J229" s="5" t="str">
        <f t="shared" ref="J229:J231" si="101">I229</f>
        <v>小熊</v>
      </c>
    </row>
    <row r="230">
      <c r="A230" s="5" t="str">
        <f>CONCATENATE("CATEGORY_",UPPER(Pokemon!B218))</f>
        <v>CATEGORY_URSARING</v>
      </c>
      <c r="B230" s="3" t="s">
        <v>8394</v>
      </c>
      <c r="C230" s="3" t="s">
        <v>8395</v>
      </c>
      <c r="D230" s="3" t="s">
        <v>8396</v>
      </c>
      <c r="E230" s="3" t="s">
        <v>8397</v>
      </c>
      <c r="F230" s="3" t="s">
        <v>8398</v>
      </c>
      <c r="G230" s="3" t="s">
        <v>8399</v>
      </c>
      <c r="H230" s="3" t="s">
        <v>8400</v>
      </c>
      <c r="I230" s="3" t="s">
        <v>8401</v>
      </c>
      <c r="J230" s="5" t="str">
        <f t="shared" si="101"/>
        <v>冬眠</v>
      </c>
    </row>
    <row r="231">
      <c r="A231" s="5" t="str">
        <f>CONCATENATE("CATEGORY_",UPPER(Pokemon!B219))</f>
        <v>CATEGORY_SLUGMA</v>
      </c>
      <c r="B231" s="3" t="s">
        <v>8402</v>
      </c>
      <c r="C231" s="3" t="s">
        <v>8403</v>
      </c>
      <c r="D231" s="3" t="s">
        <v>8404</v>
      </c>
      <c r="E231" s="5" t="str">
        <f>B231</f>
        <v>Lava</v>
      </c>
      <c r="F231" s="5" t="str">
        <f>B231</f>
        <v>Lava</v>
      </c>
      <c r="G231" s="5" t="str">
        <f>B231</f>
        <v>Lava</v>
      </c>
      <c r="H231" s="3" t="s">
        <v>8405</v>
      </c>
      <c r="I231" s="3" t="s">
        <v>8406</v>
      </c>
      <c r="J231" s="5" t="str">
        <f t="shared" si="101"/>
        <v>熔岩</v>
      </c>
    </row>
    <row r="232">
      <c r="A232" s="5" t="str">
        <f>CONCATENATE("CATEGORY_",UPPER(Pokemon!B220))</f>
        <v>CATEGORY_MAGCARGO</v>
      </c>
      <c r="B232" s="5" t="str">
        <f t="shared" ref="B232:J232" si="102">B231</f>
        <v>Lava</v>
      </c>
      <c r="C232" s="5" t="str">
        <f t="shared" si="102"/>
        <v>ようがん</v>
      </c>
      <c r="D232" s="5" t="str">
        <f t="shared" si="102"/>
        <v>Lave</v>
      </c>
      <c r="E232" s="5" t="str">
        <f t="shared" si="102"/>
        <v>Lava</v>
      </c>
      <c r="F232" s="5" t="str">
        <f t="shared" si="102"/>
        <v>Lava</v>
      </c>
      <c r="G232" s="5" t="str">
        <f t="shared" si="102"/>
        <v>Lava</v>
      </c>
      <c r="H232" s="5" t="str">
        <f t="shared" si="102"/>
        <v>용암</v>
      </c>
      <c r="I232" s="5" t="str">
        <f t="shared" si="102"/>
        <v>熔岩</v>
      </c>
      <c r="J232" s="5" t="str">
        <f t="shared" si="102"/>
        <v>熔岩</v>
      </c>
    </row>
    <row r="233">
      <c r="A233" s="5" t="str">
        <f>CONCATENATE("CATEGORY_",UPPER(Pokemon!B221))</f>
        <v>CATEGORY_SWINUB</v>
      </c>
      <c r="B233" s="3" t="s">
        <v>8407</v>
      </c>
      <c r="C233" s="3" t="s">
        <v>8408</v>
      </c>
      <c r="D233" s="3" t="s">
        <v>8409</v>
      </c>
      <c r="E233" s="3" t="s">
        <v>8410</v>
      </c>
      <c r="F233" s="3" t="s">
        <v>8411</v>
      </c>
      <c r="G233" s="3" t="s">
        <v>8412</v>
      </c>
      <c r="H233" s="3" t="s">
        <v>8413</v>
      </c>
      <c r="I233" s="3" t="s">
        <v>8414</v>
      </c>
      <c r="J233" s="5" t="str">
        <f>IFERROR(__xludf.DUMMYFUNCTION("GOOGLETRANSLATE(I233, ""zh_HANT"",""zh_HANS"")"),"小猪")</f>
        <v>小猪</v>
      </c>
    </row>
    <row r="234">
      <c r="A234" s="5" t="str">
        <f>CONCATENATE("CATEGORY_",UPPER(Pokemon!B222))</f>
        <v>CATEGORY_PILOSWINE</v>
      </c>
      <c r="B234" s="3" t="s">
        <v>8415</v>
      </c>
      <c r="C234" s="3" t="s">
        <v>8416</v>
      </c>
      <c r="D234" s="3" t="s">
        <v>8417</v>
      </c>
      <c r="E234" s="3" t="s">
        <v>8418</v>
      </c>
      <c r="F234" s="3" t="s">
        <v>8419</v>
      </c>
      <c r="G234" s="3" t="s">
        <v>8420</v>
      </c>
      <c r="H234" s="3" t="s">
        <v>8421</v>
      </c>
      <c r="I234" s="3" t="s">
        <v>8422</v>
      </c>
      <c r="J234" s="5" t="str">
        <f>IFERROR(__xludf.DUMMYFUNCTION("GOOGLETRANSLATE(I234, ""zh_HANT"",""zh_HANS"")"),"野猪")</f>
        <v>野猪</v>
      </c>
    </row>
    <row r="235">
      <c r="A235" s="5" t="str">
        <f>CONCATENATE("CATEGORY_",UPPER(Pokemon!B223))</f>
        <v>CATEGORY_CORSOLA</v>
      </c>
      <c r="B235" s="3" t="s">
        <v>8423</v>
      </c>
      <c r="C235" s="3" t="s">
        <v>8424</v>
      </c>
      <c r="D235" s="3" t="s">
        <v>8425</v>
      </c>
      <c r="E235" s="7" t="s">
        <v>8426</v>
      </c>
      <c r="F235" s="5" t="str">
        <f>B235</f>
        <v>Coral</v>
      </c>
      <c r="G235" s="3" t="s">
        <v>8427</v>
      </c>
      <c r="H235" s="3" t="s">
        <v>8428</v>
      </c>
      <c r="I235" s="3" t="s">
        <v>8429</v>
      </c>
      <c r="J235" s="5" t="str">
        <f>I235</f>
        <v>珊瑚</v>
      </c>
    </row>
    <row r="236">
      <c r="A236" s="5" t="str">
        <f>CONCATENATE("CATEGORY_",UPPER(Pokemon!B224))</f>
        <v>CATEGORY_REMORAID</v>
      </c>
      <c r="B236" s="3" t="s">
        <v>8430</v>
      </c>
      <c r="C236" s="3" t="s">
        <v>8431</v>
      </c>
      <c r="D236" s="3" t="str">
        <f>B236</f>
        <v>Jet</v>
      </c>
      <c r="E236" s="7" t="s">
        <v>8432</v>
      </c>
      <c r="F236" s="7" t="s">
        <v>8433</v>
      </c>
      <c r="G236" s="5" t="str">
        <f>B236</f>
        <v>Jet</v>
      </c>
      <c r="H236" s="3" t="s">
        <v>8434</v>
      </c>
      <c r="I236" s="3" t="s">
        <v>8435</v>
      </c>
      <c r="J236" s="5" t="str">
        <f>IFERROR(__xludf.DUMMYFUNCTION("GOOGLETRANSLATE(I236, ""zh_HANT"",""zh_HANS"")"),"喷射")</f>
        <v>喷射</v>
      </c>
    </row>
    <row r="237">
      <c r="A237" s="5" t="str">
        <f>CONCATENATE("CATEGORY_",UPPER(Pokemon!B225))</f>
        <v>CATEGORY_OCTILLERY</v>
      </c>
      <c r="B237" s="5" t="str">
        <f t="shared" ref="B237:J237" si="103">B236</f>
        <v>Jet</v>
      </c>
      <c r="C237" s="5" t="str">
        <f t="shared" si="103"/>
        <v>ふんしゃ</v>
      </c>
      <c r="D237" s="5" t="str">
        <f t="shared" si="103"/>
        <v>Jet</v>
      </c>
      <c r="E237" s="5" t="str">
        <f t="shared" si="103"/>
        <v>Hochdruck</v>
      </c>
      <c r="F237" s="5" t="str">
        <f t="shared" si="103"/>
        <v>Reactor</v>
      </c>
      <c r="G237" s="5" t="str">
        <f t="shared" si="103"/>
        <v>Jet</v>
      </c>
      <c r="H237" s="5" t="str">
        <f t="shared" si="103"/>
        <v>분사</v>
      </c>
      <c r="I237" s="5" t="str">
        <f t="shared" si="103"/>
        <v>噴射</v>
      </c>
      <c r="J237" s="5" t="str">
        <f t="shared" si="103"/>
        <v>喷射</v>
      </c>
    </row>
    <row r="238">
      <c r="A238" s="5" t="str">
        <f>CONCATENATE("CATEGORY_",UPPER(Pokemon!B226))</f>
        <v>CATEGORY_DELIBIRD</v>
      </c>
      <c r="B238" s="3" t="s">
        <v>8436</v>
      </c>
      <c r="C238" s="3" t="s">
        <v>8437</v>
      </c>
      <c r="D238" s="3" t="s">
        <v>8438</v>
      </c>
      <c r="E238" s="3" t="s">
        <v>8439</v>
      </c>
      <c r="F238" s="3" t="s">
        <v>8440</v>
      </c>
      <c r="G238" s="3" t="s">
        <v>8441</v>
      </c>
      <c r="H238" s="3" t="s">
        <v>8442</v>
      </c>
      <c r="I238" s="3" t="s">
        <v>8443</v>
      </c>
      <c r="J238" s="5" t="str">
        <f>IFERROR(__xludf.DUMMYFUNCTION("GOOGLETRANSLATE(I238, ""zh_HANT"",""zh_HANS"")"),"搬运")</f>
        <v>搬运</v>
      </c>
    </row>
    <row r="239">
      <c r="A239" s="5" t="str">
        <f>CONCATENATE("CATEGORY_",UPPER(Pokemon!B227))</f>
        <v>CATEGORY_MANTINE</v>
      </c>
      <c r="B239" s="3" t="s">
        <v>8444</v>
      </c>
      <c r="C239" s="3" t="s">
        <v>8445</v>
      </c>
      <c r="D239" s="3" t="s">
        <v>8446</v>
      </c>
      <c r="E239" s="3" t="s">
        <v>8447</v>
      </c>
      <c r="F239" s="3" t="s">
        <v>8448</v>
      </c>
      <c r="G239" s="3" t="s">
        <v>8449</v>
      </c>
      <c r="H239" s="3" t="s">
        <v>8450</v>
      </c>
      <c r="I239" s="3" t="s">
        <v>8451</v>
      </c>
      <c r="J239" s="5" t="str">
        <f>IFERROR(__xludf.DUMMYFUNCTION("GOOGLETRANSLATE(I239, ""zh_HANT"",""zh_HANS"")"),"风筝")</f>
        <v>风筝</v>
      </c>
    </row>
    <row r="240">
      <c r="A240" s="5" t="str">
        <f>CONCATENATE("CATEGORY_",UPPER(Pokemon!B228))</f>
        <v>CATEGORY_SKARMORY</v>
      </c>
      <c r="B240" s="3" t="s">
        <v>8452</v>
      </c>
      <c r="C240" s="3" t="s">
        <v>8453</v>
      </c>
      <c r="D240" s="3" t="s">
        <v>8454</v>
      </c>
      <c r="E240" s="3" t="s">
        <v>8455</v>
      </c>
      <c r="F240" s="3" t="s">
        <v>8456</v>
      </c>
      <c r="G240" s="3" t="s">
        <v>8457</v>
      </c>
      <c r="H240" s="3" t="s">
        <v>8458</v>
      </c>
      <c r="I240" s="3" t="s">
        <v>8459</v>
      </c>
      <c r="J240" s="5" t="str">
        <f>IFERROR(__xludf.DUMMYFUNCTION("GOOGLETRANSLATE(I240, ""zh_HANT"",""zh_HANS"")"),"钢甲鸟")</f>
        <v>钢甲鸟</v>
      </c>
    </row>
    <row r="241">
      <c r="A241" s="5" t="str">
        <f>CONCATENATE("CATEGORY_",UPPER(Pokemon!B229))</f>
        <v>CATEGORY_HOUNDOOR</v>
      </c>
      <c r="B241" s="3" t="s">
        <v>8460</v>
      </c>
      <c r="C241" s="3" t="s">
        <v>8461</v>
      </c>
      <c r="D241" s="3" t="s">
        <v>8462</v>
      </c>
      <c r="E241" s="3" t="s">
        <v>8463</v>
      </c>
      <c r="F241" s="3" t="s">
        <v>8464</v>
      </c>
      <c r="G241" s="3" t="s">
        <v>8465</v>
      </c>
      <c r="H241" s="3" t="s">
        <v>8466</v>
      </c>
      <c r="I241" s="3" t="s">
        <v>8467</v>
      </c>
      <c r="J241" s="5" t="str">
        <f>IFERROR(__xludf.DUMMYFUNCTION("GOOGLETRANSLATE(I241, ""zh_HANT"",""zh_HANS"")"),"阴暗")</f>
        <v>阴暗</v>
      </c>
    </row>
    <row r="242">
      <c r="A242" s="5" t="str">
        <f>CONCATENATE("CATEGORY_",UPPER(Pokemon!B230))</f>
        <v>CATEGORY_HOUNDOOM</v>
      </c>
      <c r="B242" s="5" t="str">
        <f t="shared" ref="B242:J242" si="104">B241</f>
        <v>Dark</v>
      </c>
      <c r="C242" s="5" t="str">
        <f t="shared" si="104"/>
        <v>ダーク</v>
      </c>
      <c r="D242" s="5" t="str">
        <f t="shared" si="104"/>
        <v>Sombre</v>
      </c>
      <c r="E242" s="5" t="str">
        <f t="shared" si="104"/>
        <v>Hades</v>
      </c>
      <c r="F242" s="5" t="str">
        <f t="shared" si="104"/>
        <v>Siniestro</v>
      </c>
      <c r="G242" s="5" t="str">
        <f t="shared" si="104"/>
        <v>Buio</v>
      </c>
      <c r="H242" s="5" t="str">
        <f t="shared" si="104"/>
        <v>다크</v>
      </c>
      <c r="I242" s="5" t="str">
        <f t="shared" si="104"/>
        <v>陰暗</v>
      </c>
      <c r="J242" s="5" t="str">
        <f t="shared" si="104"/>
        <v>阴暗</v>
      </c>
    </row>
    <row r="243">
      <c r="A243" s="5" t="str">
        <f>CONCATENATE("CATEGORY_",UPPER(Pokemon!B231))</f>
        <v>CATEGORY_KINGDRA</v>
      </c>
      <c r="B243" s="5" t="str">
        <f t="shared" ref="B243:J243" si="105">B122</f>
        <v>Dragon</v>
      </c>
      <c r="C243" s="5" t="str">
        <f t="shared" si="105"/>
        <v>ドラゴン</v>
      </c>
      <c r="D243" s="5" t="str">
        <f t="shared" si="105"/>
        <v>Dragon</v>
      </c>
      <c r="E243" s="5" t="str">
        <f t="shared" si="105"/>
        <v>Drache</v>
      </c>
      <c r="F243" s="5" t="str">
        <f t="shared" si="105"/>
        <v>Dragón</v>
      </c>
      <c r="G243" s="5" t="str">
        <f t="shared" si="105"/>
        <v>Drago</v>
      </c>
      <c r="H243" s="5" t="str">
        <f t="shared" si="105"/>
        <v>드개곤</v>
      </c>
      <c r="I243" s="5" t="str">
        <f t="shared" si="105"/>
        <v>龍</v>
      </c>
      <c r="J243" s="5" t="str">
        <f t="shared" si="105"/>
        <v>龙</v>
      </c>
    </row>
    <row r="244">
      <c r="A244" s="5" t="str">
        <f>CONCATENATE("CATEGORY_",UPPER(Pokemon!B232))</f>
        <v>CATEGORY_PHANPY</v>
      </c>
      <c r="B244" s="3" t="s">
        <v>8468</v>
      </c>
      <c r="C244" s="3" t="s">
        <v>8469</v>
      </c>
      <c r="D244" s="3" t="s">
        <v>8470</v>
      </c>
      <c r="E244" s="3" t="s">
        <v>8471</v>
      </c>
      <c r="F244" s="3" t="s">
        <v>8472</v>
      </c>
      <c r="G244" s="3" t="s">
        <v>8473</v>
      </c>
      <c r="H244" s="3" t="s">
        <v>8474</v>
      </c>
      <c r="I244" s="3" t="s">
        <v>8475</v>
      </c>
      <c r="J244" s="5" t="str">
        <f>IFERROR(__xludf.DUMMYFUNCTION("GOOGLETRANSLATE(I244, ""zh_HANT"",""zh_HANS"")"),"长鼻")</f>
        <v>长鼻</v>
      </c>
    </row>
    <row r="245">
      <c r="A245" s="5" t="str">
        <f>CONCATENATE("CATEGORY_",UPPER(Pokemon!B233))</f>
        <v>CATEGORY_DONPHAN</v>
      </c>
      <c r="B245" s="3" t="s">
        <v>8476</v>
      </c>
      <c r="C245" s="3" t="s">
        <v>8477</v>
      </c>
      <c r="D245" s="3" t="s">
        <v>8478</v>
      </c>
      <c r="E245" s="3" t="s">
        <v>8479</v>
      </c>
      <c r="F245" s="3" t="s">
        <v>8480</v>
      </c>
      <c r="G245" s="3" t="s">
        <v>8481</v>
      </c>
      <c r="H245" s="3" t="s">
        <v>8458</v>
      </c>
      <c r="I245" s="3" t="s">
        <v>8482</v>
      </c>
      <c r="J245" s="5" t="str">
        <f>IFERROR(__xludf.DUMMYFUNCTION("GOOGLETRANSLATE(I245, ""zh_HANT"",""zh_HANS"")"),"铠甲")</f>
        <v>铠甲</v>
      </c>
    </row>
    <row r="246">
      <c r="A246" s="5" t="str">
        <f>CONCATENATE("CATEGORY_",UPPER(Pokemon!B234))</f>
        <v>CATEGORY_PORYGON2</v>
      </c>
      <c r="B246" s="5" t="str">
        <f t="shared" ref="B246:J246" si="106">B144</f>
        <v>Virtual</v>
      </c>
      <c r="C246" s="5" t="str">
        <f t="shared" si="106"/>
        <v>バーチャル</v>
      </c>
      <c r="D246" s="5" t="str">
        <f t="shared" si="106"/>
        <v>Virtuel</v>
      </c>
      <c r="E246" s="5" t="str">
        <f t="shared" si="106"/>
        <v>Virtuell</v>
      </c>
      <c r="F246" s="5" t="str">
        <f t="shared" si="106"/>
        <v>Virtual</v>
      </c>
      <c r="G246" s="5" t="str">
        <f t="shared" si="106"/>
        <v>Virtuale</v>
      </c>
      <c r="H246" s="5" t="str">
        <f t="shared" si="106"/>
        <v>가상</v>
      </c>
      <c r="I246" s="5" t="str">
        <f t="shared" si="106"/>
        <v>虛擬</v>
      </c>
      <c r="J246" s="5" t="str">
        <f t="shared" si="106"/>
        <v>虚拟</v>
      </c>
    </row>
    <row r="247">
      <c r="A247" s="5" t="str">
        <f>CONCATENATE("CATEGORY_",UPPER(Pokemon!B235))</f>
        <v>CATEGORY_STANTLER</v>
      </c>
      <c r="B247" s="3" t="s">
        <v>8483</v>
      </c>
      <c r="C247" s="3" t="s">
        <v>8484</v>
      </c>
      <c r="D247" s="3" t="s">
        <v>8485</v>
      </c>
      <c r="E247" s="3" t="s">
        <v>8486</v>
      </c>
      <c r="F247" s="3" t="s">
        <v>8487</v>
      </c>
      <c r="G247" s="3" t="s">
        <v>8488</v>
      </c>
      <c r="H247" s="3" t="s">
        <v>8489</v>
      </c>
      <c r="I247" s="3" t="s">
        <v>8490</v>
      </c>
      <c r="J247" s="5" t="str">
        <f>I247</f>
        <v>大角</v>
      </c>
    </row>
    <row r="248">
      <c r="A248" s="5" t="str">
        <f>CONCATENATE("CATEGORY_",UPPER(Pokemon!B236))</f>
        <v>CATEGORY_SMEARGLE</v>
      </c>
      <c r="B248" s="3" t="s">
        <v>8491</v>
      </c>
      <c r="C248" s="3" t="s">
        <v>8492</v>
      </c>
      <c r="D248" s="3" t="s">
        <v>8493</v>
      </c>
      <c r="E248" s="3" t="s">
        <v>8494</v>
      </c>
      <c r="F248" s="3" t="s">
        <v>8495</v>
      </c>
      <c r="G248" s="3" t="s">
        <v>8496</v>
      </c>
      <c r="H248" s="3" t="s">
        <v>8497</v>
      </c>
      <c r="I248" s="3" t="s">
        <v>8498</v>
      </c>
      <c r="J248" s="5" t="str">
        <f>IFERROR(__xludf.DUMMYFUNCTION("GOOGLETRANSLATE(I248, ""zh_HANT"",""zh_HANS"")"),"画画")</f>
        <v>画画</v>
      </c>
    </row>
    <row r="249">
      <c r="A249" s="5" t="str">
        <f>CONCATENATE("CATEGORY_",UPPER(Pokemon!B237))</f>
        <v>CATEGORY_TYROGUE</v>
      </c>
      <c r="B249" s="3" t="s">
        <v>8499</v>
      </c>
      <c r="C249" s="3" t="s">
        <v>8500</v>
      </c>
      <c r="D249" s="3" t="s">
        <v>8501</v>
      </c>
      <c r="E249" s="3" t="s">
        <v>8502</v>
      </c>
      <c r="F249" s="3" t="s">
        <v>8503</v>
      </c>
      <c r="G249" s="3" t="s">
        <v>8504</v>
      </c>
      <c r="H249" s="3" t="s">
        <v>8505</v>
      </c>
      <c r="I249" s="3" t="s">
        <v>8506</v>
      </c>
      <c r="J249" s="5" t="str">
        <f>IFERROR(__xludf.DUMMYFUNCTION("GOOGLETRANSLATE(I249, ""zh_HANT"",""zh_HANS"")"),"打斗")</f>
        <v>打斗</v>
      </c>
    </row>
    <row r="250">
      <c r="A250" s="5" t="str">
        <f>CONCATENATE("CATEGORY_",UPPER(Pokemon!B238))</f>
        <v>CATEGORY_HITMONTOP</v>
      </c>
      <c r="B250" s="3" t="s">
        <v>8507</v>
      </c>
      <c r="C250" s="3" t="s">
        <v>8508</v>
      </c>
      <c r="D250" s="3" t="s">
        <v>8509</v>
      </c>
      <c r="E250" s="3" t="s">
        <v>8510</v>
      </c>
      <c r="F250" s="3" t="s">
        <v>8511</v>
      </c>
      <c r="G250" s="3" t="s">
        <v>8512</v>
      </c>
      <c r="H250" s="3" t="s">
        <v>8513</v>
      </c>
      <c r="I250" s="3" t="s">
        <v>8514</v>
      </c>
      <c r="J250" s="5" t="str">
        <f>I250</f>
        <v>倒立</v>
      </c>
    </row>
    <row r="251">
      <c r="A251" s="5" t="str">
        <f>CONCATENATE("CATEGORY_",UPPER(Pokemon!B239))</f>
        <v>CATEGORY_SMOOCHUM</v>
      </c>
      <c r="B251" s="3" t="s">
        <v>8515</v>
      </c>
      <c r="C251" s="3" t="s">
        <v>8516</v>
      </c>
      <c r="D251" s="3" t="s">
        <v>8517</v>
      </c>
      <c r="E251" s="3" t="s">
        <v>8518</v>
      </c>
      <c r="F251" s="3" t="s">
        <v>8519</v>
      </c>
      <c r="G251" s="3" t="s">
        <v>8520</v>
      </c>
      <c r="H251" s="3" t="s">
        <v>8521</v>
      </c>
      <c r="I251" s="3" t="s">
        <v>8522</v>
      </c>
      <c r="J251" s="5" t="str">
        <f>IFERROR(__xludf.DUMMYFUNCTION("GOOGLETRANSLATE(I251, ""zh_HANT"",""zh_HANS"")"),"亲吻")</f>
        <v>亲吻</v>
      </c>
    </row>
    <row r="252">
      <c r="A252" s="5" t="str">
        <f>CONCATENATE("CATEGORY_",UPPER(Pokemon!B240))</f>
        <v>CATEGORY_ELEKID</v>
      </c>
      <c r="B252" s="5" t="str">
        <f>B132</f>
        <v>Electric</v>
      </c>
      <c r="C252" s="3" t="str">
        <f>Types!C14</f>
        <v>でんき</v>
      </c>
      <c r="D252" s="5" t="str">
        <f t="shared" ref="D252:G252" si="107">D132</f>
        <v>Électrique</v>
      </c>
      <c r="E252" s="5" t="str">
        <f t="shared" si="107"/>
        <v>Elektro</v>
      </c>
      <c r="F252" s="5" t="str">
        <f t="shared" si="107"/>
        <v>Eléctrico</v>
      </c>
      <c r="G252" s="5" t="str">
        <f t="shared" si="107"/>
        <v>Elettrico</v>
      </c>
      <c r="H252" s="3" t="s">
        <v>8523</v>
      </c>
      <c r="I252" s="3" t="s">
        <v>8524</v>
      </c>
      <c r="J252" s="5" t="str">
        <f>IFERROR(__xludf.DUMMYFUNCTION("GOOGLETRANSLATE(I252, ""zh_HANT"",""zh_HANS"")"),"电气")</f>
        <v>电气</v>
      </c>
    </row>
    <row r="253">
      <c r="A253" s="5" t="str">
        <f>CONCATENATE("CATEGORY_",UPPER(Pokemon!B241))</f>
        <v>CATEGORY_MAGBY</v>
      </c>
      <c r="B253" s="3" t="s">
        <v>8525</v>
      </c>
      <c r="C253" s="3" t="s">
        <v>8526</v>
      </c>
      <c r="D253" s="3" t="s">
        <v>8527</v>
      </c>
      <c r="E253" s="3" t="s">
        <v>8528</v>
      </c>
      <c r="F253" s="3" t="s">
        <v>8529</v>
      </c>
      <c r="G253" s="3" t="s">
        <v>8530</v>
      </c>
      <c r="H253" s="3" t="s">
        <v>8531</v>
      </c>
      <c r="I253" s="3" t="s">
        <v>8532</v>
      </c>
      <c r="J253" s="5" t="str">
        <f>IFERROR(__xludf.DUMMYFUNCTION("GOOGLETRANSLATE(I253, ""zh_HANT"",""zh_HANS"")"),"火种")</f>
        <v>火种</v>
      </c>
    </row>
    <row r="254">
      <c r="A254" s="5" t="str">
        <f>CONCATENATE("CATEGORY_",UPPER(Pokemon!B242))</f>
        <v>CATEGORY_MILTANK</v>
      </c>
      <c r="B254" s="3" t="s">
        <v>8533</v>
      </c>
      <c r="C254" s="3" t="s">
        <v>8534</v>
      </c>
      <c r="D254" s="3" t="s">
        <v>8535</v>
      </c>
      <c r="E254" s="3" t="s">
        <v>8536</v>
      </c>
      <c r="F254" s="3" t="s">
        <v>8537</v>
      </c>
      <c r="G254" s="3" t="s">
        <v>8538</v>
      </c>
      <c r="H254" s="3" t="s">
        <v>8539</v>
      </c>
      <c r="I254" s="3" t="s">
        <v>8540</v>
      </c>
      <c r="J254" s="5" t="str">
        <f>IFERROR(__xludf.DUMMYFUNCTION("GOOGLETRANSLATE(I254, ""zh_HANT"",""zh_HANS"")"),"奶牛")</f>
        <v>奶牛</v>
      </c>
    </row>
    <row r="255">
      <c r="A255" s="5" t="str">
        <f>CONCATENATE("CATEGORY_",UPPER(Pokemon!B243))</f>
        <v>CATEGORY_BLISSEY</v>
      </c>
      <c r="B255" s="5" t="str">
        <f t="shared" ref="B255:J255" si="108">B187</f>
        <v>Happiness</v>
      </c>
      <c r="C255" s="5" t="str">
        <f t="shared" si="108"/>
        <v>しあわせ</v>
      </c>
      <c r="D255" s="5" t="str">
        <f t="shared" si="108"/>
        <v>Bonheur</v>
      </c>
      <c r="E255" s="5" t="str">
        <f t="shared" si="108"/>
        <v>Freude</v>
      </c>
      <c r="F255" s="5" t="str">
        <f t="shared" si="108"/>
        <v>Felicidad</v>
      </c>
      <c r="G255" s="5" t="str">
        <f t="shared" si="108"/>
        <v>Felicità</v>
      </c>
      <c r="H255" s="5" t="str">
        <f t="shared" si="108"/>
        <v>행복</v>
      </c>
      <c r="I255" s="5" t="str">
        <f t="shared" si="108"/>
        <v>幸福</v>
      </c>
      <c r="J255" s="5" t="str">
        <f t="shared" si="108"/>
        <v>幸福</v>
      </c>
    </row>
    <row r="256">
      <c r="A256" s="5" t="str">
        <f>CONCATENATE("CATEGORY_",UPPER(Pokemon!B244))</f>
        <v>CATEGORY_RAIKOU</v>
      </c>
      <c r="B256" s="3" t="str">
        <f>Moves!B88</f>
        <v>Thunder</v>
      </c>
      <c r="C256" s="3" t="s">
        <v>8541</v>
      </c>
      <c r="D256" s="3" t="s">
        <v>8542</v>
      </c>
      <c r="E256" s="3" t="str">
        <f>Moves!E88</f>
        <v>Donner</v>
      </c>
      <c r="F256" s="3" t="str">
        <f>Moves!F88</f>
        <v>Trueno</v>
      </c>
      <c r="G256" s="3" t="str">
        <f>Moves!G88</f>
        <v>Tuono</v>
      </c>
      <c r="H256" s="3" t="s">
        <v>8543</v>
      </c>
      <c r="I256" s="3" t="s">
        <v>8544</v>
      </c>
      <c r="J256" s="5" t="str">
        <f>I256</f>
        <v>天雷</v>
      </c>
    </row>
    <row r="257">
      <c r="A257" s="5" t="str">
        <f>CONCATENATE("CATEGORY_",UPPER(Pokemon!B245))</f>
        <v>CATEGORY_ENTEI</v>
      </c>
      <c r="B257" s="5" t="str">
        <f t="shared" ref="B257:J257" si="109">B166</f>
        <v>Volcano</v>
      </c>
      <c r="C257" s="5" t="str">
        <f t="shared" si="109"/>
        <v>かざん</v>
      </c>
      <c r="D257" s="5" t="str">
        <f t="shared" si="109"/>
        <v>Volcan</v>
      </c>
      <c r="E257" s="5" t="str">
        <f t="shared" si="109"/>
        <v>Vulkan</v>
      </c>
      <c r="F257" s="5" t="str">
        <f t="shared" si="109"/>
        <v>Volcán</v>
      </c>
      <c r="G257" s="5" t="str">
        <f t="shared" si="109"/>
        <v>Volcano</v>
      </c>
      <c r="H257" s="5" t="str">
        <f t="shared" si="109"/>
        <v>화산</v>
      </c>
      <c r="I257" s="5" t="str">
        <f t="shared" si="109"/>
        <v>火山</v>
      </c>
      <c r="J257" s="5" t="str">
        <f t="shared" si="109"/>
        <v>火山</v>
      </c>
    </row>
    <row r="258">
      <c r="A258" s="5" t="str">
        <f>CONCATENATE("CATEGORY_",UPPER(Pokemon!B246))</f>
        <v>CATEGORY_SUICUNE</v>
      </c>
      <c r="B258" s="3" t="s">
        <v>8545</v>
      </c>
      <c r="C258" s="3" t="s">
        <v>8546</v>
      </c>
      <c r="D258" s="3" t="s">
        <v>8547</v>
      </c>
      <c r="E258" s="7" t="s">
        <v>8548</v>
      </c>
      <c r="F258" s="5" t="str">
        <f>B258</f>
        <v>Aurora</v>
      </c>
      <c r="G258" s="5" t="str">
        <f>B258</f>
        <v>Aurora</v>
      </c>
      <c r="H258" s="3" t="s">
        <v>8549</v>
      </c>
      <c r="I258" s="3" t="s">
        <v>8550</v>
      </c>
      <c r="J258" s="5" t="str">
        <f>IFERROR(__xludf.DUMMYFUNCTION("GOOGLETRANSLATE(I258, ""zh_HANT"",""zh_HANS"")"),"极光")</f>
        <v>极光</v>
      </c>
    </row>
    <row r="259">
      <c r="A259" s="5" t="str">
        <f>CONCATENATE("CATEGORY_",UPPER(Pokemon!B247))</f>
        <v>CATEGORY_LARVITAR</v>
      </c>
      <c r="B259" s="3" t="s">
        <v>8551</v>
      </c>
      <c r="C259" s="3" t="s">
        <v>8552</v>
      </c>
      <c r="D259" s="3" t="s">
        <v>8553</v>
      </c>
      <c r="E259" s="3" t="s">
        <v>8554</v>
      </c>
      <c r="F259" s="3" t="s">
        <v>8555</v>
      </c>
      <c r="G259" s="3" t="s">
        <v>8556</v>
      </c>
      <c r="H259" s="3" t="s">
        <v>8557</v>
      </c>
      <c r="I259" s="3" t="s">
        <v>8558</v>
      </c>
      <c r="J259" s="5" t="str">
        <f>IFERROR(__xludf.DUMMYFUNCTION("GOOGLETRANSLATE(I259, ""zh_HANT"",""zh_HANS"")"),"岩石肤")</f>
        <v>岩石肤</v>
      </c>
    </row>
    <row r="260">
      <c r="A260" s="5" t="str">
        <f>CONCATENATE("CATEGORY_",UPPER(Pokemon!B248))</f>
        <v>CATEGORY_PUPITAR</v>
      </c>
      <c r="B260" s="3" t="s">
        <v>8559</v>
      </c>
      <c r="C260" s="3" t="s">
        <v>8560</v>
      </c>
      <c r="D260" s="3" t="s">
        <v>8561</v>
      </c>
      <c r="E260" s="3" t="s">
        <v>8562</v>
      </c>
      <c r="F260" s="3" t="s">
        <v>8563</v>
      </c>
      <c r="G260" s="3" t="s">
        <v>8564</v>
      </c>
      <c r="H260" s="3" t="s">
        <v>8565</v>
      </c>
      <c r="I260" s="3" t="s">
        <v>8566</v>
      </c>
      <c r="J260" s="5" t="str">
        <f>IFERROR(__xludf.DUMMYFUNCTION("GOOGLETRANSLATE(I260, ""zh_HANT"",""zh_HANS"")"),"子弹")</f>
        <v>子弹</v>
      </c>
    </row>
    <row r="261">
      <c r="A261" s="5" t="str">
        <f>CONCATENATE("CATEGORY_",UPPER(Pokemon!B249))</f>
        <v>CATEGORY_TYRANITAR</v>
      </c>
      <c r="B261" s="5" t="str">
        <f t="shared" ref="B261:J261" si="110">B245</f>
        <v>Armor</v>
      </c>
      <c r="C261" s="5" t="str">
        <f t="shared" si="110"/>
        <v>よろい</v>
      </c>
      <c r="D261" s="5" t="str">
        <f t="shared" si="110"/>
        <v>Armure</v>
      </c>
      <c r="E261" s="5" t="str">
        <f t="shared" si="110"/>
        <v>Panzer</v>
      </c>
      <c r="F261" s="5" t="str">
        <f t="shared" si="110"/>
        <v>Coraza</v>
      </c>
      <c r="G261" s="5" t="str">
        <f t="shared" si="110"/>
        <v>Armadura</v>
      </c>
      <c r="H261" s="5" t="str">
        <f t="shared" si="110"/>
        <v>갑옷새</v>
      </c>
      <c r="I261" s="5" t="str">
        <f t="shared" si="110"/>
        <v>鎧甲</v>
      </c>
      <c r="J261" s="5" t="str">
        <f t="shared" si="110"/>
        <v>铠甲</v>
      </c>
    </row>
    <row r="262">
      <c r="A262" s="5" t="str">
        <f>CONCATENATE("CATEGORY_",UPPER(Pokemon!B250))</f>
        <v>CATEGORY_LUGIA</v>
      </c>
      <c r="B262" s="3" t="s">
        <v>8567</v>
      </c>
      <c r="C262" s="3" t="s">
        <v>8568</v>
      </c>
      <c r="D262" s="3" t="s">
        <v>8569</v>
      </c>
      <c r="E262" s="3" t="s">
        <v>8570</v>
      </c>
      <c r="F262" s="3" t="s">
        <v>8571</v>
      </c>
      <c r="G262" s="3" t="s">
        <v>8572</v>
      </c>
      <c r="H262" s="3" t="s">
        <v>8573</v>
      </c>
      <c r="I262" s="3" t="s">
        <v>8574</v>
      </c>
      <c r="J262" s="5" t="str">
        <f>IFERROR(__xludf.DUMMYFUNCTION("GOOGLETRANSLATE(I262, ""zh_HANT"",""zh_HANS"")"),"潜水")</f>
        <v>潜水</v>
      </c>
    </row>
    <row r="263">
      <c r="A263" s="5" t="str">
        <f>CONCATENATE("CATEGORY_",UPPER(Pokemon!B251))</f>
        <v>CATEGORY_HO-OH</v>
      </c>
      <c r="B263" s="3" t="s">
        <v>8575</v>
      </c>
      <c r="C263" s="3" t="s">
        <v>8576</v>
      </c>
      <c r="D263" s="3" t="s">
        <v>8577</v>
      </c>
      <c r="E263" s="3" t="s">
        <v>8578</v>
      </c>
      <c r="F263" s="3" t="s">
        <v>8579</v>
      </c>
      <c r="G263" s="3" t="s">
        <v>8580</v>
      </c>
      <c r="H263" s="3" t="s">
        <v>8581</v>
      </c>
      <c r="I263" s="3" t="s">
        <v>8582</v>
      </c>
      <c r="J263" s="5" t="str">
        <f>I263</f>
        <v>虹色</v>
      </c>
    </row>
    <row r="264">
      <c r="A264" s="5" t="str">
        <f>CONCATENATE("CATEGORY_",UPPER(Pokemon!B252))</f>
        <v>CATEGORY_CELEBI</v>
      </c>
      <c r="B264" s="3" t="s">
        <v>8583</v>
      </c>
      <c r="C264" s="3" t="s">
        <v>8584</v>
      </c>
      <c r="D264" s="3" t="s">
        <v>8585</v>
      </c>
      <c r="E264" s="3" t="s">
        <v>8586</v>
      </c>
      <c r="F264" s="3" t="s">
        <v>8587</v>
      </c>
      <c r="G264" s="3" t="s">
        <v>8588</v>
      </c>
      <c r="H264" s="3" t="s">
        <v>8589</v>
      </c>
      <c r="I264" s="3" t="s">
        <v>8590</v>
      </c>
      <c r="J264" s="5" t="str">
        <f>IFERROR(__xludf.DUMMYFUNCTION("GOOGLETRANSLATE(I264, ""zh_HANT"",""zh_HANS"")"),"时空穿越")</f>
        <v>时空穿越</v>
      </c>
    </row>
    <row r="265">
      <c r="A265" s="5" t="str">
        <f>CONCATENATE("CATEGORY_",UPPER(Pokemon!B253))</f>
        <v>CATEGORY_TREECKO</v>
      </c>
      <c r="B265" s="3" t="s">
        <v>8591</v>
      </c>
      <c r="C265" s="3" t="s">
        <v>8592</v>
      </c>
      <c r="D265" s="3" t="s">
        <v>8593</v>
      </c>
      <c r="E265" s="3" t="s">
        <v>8594</v>
      </c>
      <c r="F265" s="3" t="s">
        <v>8595</v>
      </c>
      <c r="G265" s="3" t="s">
        <v>8596</v>
      </c>
      <c r="H265" s="3" t="s">
        <v>8597</v>
      </c>
      <c r="I265" s="3" t="s">
        <v>8598</v>
      </c>
      <c r="J265" s="5" t="str">
        <f>I265</f>
        <v>林蜥</v>
      </c>
    </row>
    <row r="266">
      <c r="A266" s="5" t="str">
        <f>CONCATENATE("CATEGORY_",UPPER(Pokemon!B254))</f>
        <v>CATEGORY_GROVYLE</v>
      </c>
      <c r="B266" s="5" t="str">
        <f t="shared" ref="B266:J266" si="111">B265</f>
        <v>Wood Gecko</v>
      </c>
      <c r="C266" s="5" t="str">
        <f t="shared" si="111"/>
        <v>もりトカゲ</v>
      </c>
      <c r="D266" s="5" t="str">
        <f t="shared" si="111"/>
        <v>Bois Gecko</v>
      </c>
      <c r="E266" s="5" t="str">
        <f t="shared" si="111"/>
        <v>Waldgecko</v>
      </c>
      <c r="F266" s="5" t="str">
        <f t="shared" si="111"/>
        <v>Geco Bosque</v>
      </c>
      <c r="G266" s="5" t="str">
        <f t="shared" si="111"/>
        <v>Legnogeco</v>
      </c>
      <c r="H266" s="5" t="str">
        <f t="shared" si="111"/>
        <v>숲도마뱀</v>
      </c>
      <c r="I266" s="5" t="str">
        <f t="shared" si="111"/>
        <v>林蜥</v>
      </c>
      <c r="J266" s="5" t="str">
        <f t="shared" si="111"/>
        <v>林蜥</v>
      </c>
    </row>
    <row r="267">
      <c r="A267" s="5" t="str">
        <f>CONCATENATE("CATEGORY_",UPPER(Pokemon!B255))</f>
        <v>CATEGORY_SCEPTILE</v>
      </c>
      <c r="B267" s="3" t="s">
        <v>8599</v>
      </c>
      <c r="C267" s="3" t="s">
        <v>8600</v>
      </c>
      <c r="D267" s="3" t="s">
        <v>8601</v>
      </c>
      <c r="E267" s="3" t="s">
        <v>8602</v>
      </c>
      <c r="F267" s="3" t="s">
        <v>8603</v>
      </c>
      <c r="G267" s="3" t="s">
        <v>8604</v>
      </c>
      <c r="H267" s="3" t="s">
        <v>8605</v>
      </c>
      <c r="I267" s="3" t="s">
        <v>8606</v>
      </c>
      <c r="J267" s="5" t="str">
        <f>I267</f>
        <v>密林</v>
      </c>
    </row>
    <row r="268">
      <c r="A268" s="5" t="str">
        <f>CONCATENATE("CATEGORY_",UPPER(Pokemon!B256))</f>
        <v>CATEGORY_TORCHIC</v>
      </c>
      <c r="B268" s="3" t="s">
        <v>8607</v>
      </c>
      <c r="C268" s="3" t="s">
        <v>8608</v>
      </c>
      <c r="D268" s="3" t="s">
        <v>8609</v>
      </c>
      <c r="E268" s="3" t="s">
        <v>8610</v>
      </c>
      <c r="F268" s="3" t="s">
        <v>8611</v>
      </c>
      <c r="G268" s="3" t="s">
        <v>8612</v>
      </c>
      <c r="H268" s="3" t="s">
        <v>8613</v>
      </c>
      <c r="I268" s="3" t="s">
        <v>8614</v>
      </c>
      <c r="J268" s="5" t="str">
        <f>IFERROR(__xludf.DUMMYFUNCTION("GOOGLETRANSLATE(I268, ""zh_HANT"",""zh_HANS"")"),"雏鸡")</f>
        <v>雏鸡</v>
      </c>
    </row>
    <row r="269">
      <c r="A269" s="5" t="str">
        <f>CONCATENATE("CATEGORY_",UPPER(Pokemon!B257))</f>
        <v>CATEGORY_COMBUSKEN</v>
      </c>
      <c r="B269" s="3" t="s">
        <v>8615</v>
      </c>
      <c r="C269" s="3" t="s">
        <v>8616</v>
      </c>
      <c r="D269" s="3" t="s">
        <v>8617</v>
      </c>
      <c r="E269" s="3" t="s">
        <v>8618</v>
      </c>
      <c r="F269" s="3" t="s">
        <v>8619</v>
      </c>
      <c r="G269" s="3" t="s">
        <v>8620</v>
      </c>
      <c r="H269" s="3" t="s">
        <v>8621</v>
      </c>
      <c r="I269" s="3" t="s">
        <v>8622</v>
      </c>
      <c r="J269" s="5" t="str">
        <f>IFERROR(__xludf.DUMMYFUNCTION("GOOGLETRANSLATE(I269, ""zh_HANT"",""zh_HANS"")"),"幼鸡")</f>
        <v>幼鸡</v>
      </c>
    </row>
    <row r="270">
      <c r="A270" s="5" t="str">
        <f>CONCATENATE("CATEGORY_",UPPER(Pokemon!B258))</f>
        <v>CATEGORY_BLAZIKEN</v>
      </c>
      <c r="B270" s="3" t="str">
        <f>Abilities!B67</f>
        <v>Blaze</v>
      </c>
      <c r="C270" s="3" t="str">
        <f>Abilities!C67</f>
        <v>もうか</v>
      </c>
      <c r="D270" s="3" t="s">
        <v>8623</v>
      </c>
      <c r="E270" s="3" t="str">
        <f>Abilities!E67</f>
        <v>Großbrand</v>
      </c>
      <c r="F270" s="3" t="s">
        <v>8624</v>
      </c>
      <c r="G270" s="3" t="s">
        <v>8625</v>
      </c>
      <c r="H270" s="3" t="str">
        <f>Abilities!H67</f>
        <v>맹화</v>
      </c>
      <c r="I270" s="3" t="str">
        <f>Abilities!I67</f>
        <v>猛火</v>
      </c>
      <c r="J270" s="3" t="str">
        <f>Abilities!J67</f>
        <v>猛火</v>
      </c>
    </row>
    <row r="271">
      <c r="A271" s="5" t="str">
        <f>CONCATENATE("CATEGORY_",UPPER(Pokemon!B259))</f>
        <v>CATEGORY_MUDKIP</v>
      </c>
      <c r="B271" s="3" t="s">
        <v>8626</v>
      </c>
      <c r="C271" s="3" t="s">
        <v>8627</v>
      </c>
      <c r="D271" s="3" t="s">
        <v>8628</v>
      </c>
      <c r="E271" s="3" t="s">
        <v>8629</v>
      </c>
      <c r="F271" s="3" t="s">
        <v>8630</v>
      </c>
      <c r="G271" s="3" t="s">
        <v>8631</v>
      </c>
      <c r="H271" s="7" t="s">
        <v>8632</v>
      </c>
      <c r="I271" s="3" t="s">
        <v>8633</v>
      </c>
      <c r="J271" s="5" t="str">
        <f>IFERROR(__xludf.DUMMYFUNCTION("GOOGLETRANSLATE(I271, ""zh_HANT"",""zh_HANS"")"),"沼鱼")</f>
        <v>沼鱼</v>
      </c>
    </row>
    <row r="272">
      <c r="A272" s="5" t="str">
        <f>CONCATENATE("CATEGORY_",UPPER(Pokemon!B260))</f>
        <v>CATEGORY_MARSHTOMP</v>
      </c>
      <c r="B272" s="5" t="str">
        <f t="shared" ref="B272:J272" si="112">B271</f>
        <v>Mud Fish</v>
      </c>
      <c r="C272" s="5" t="str">
        <f t="shared" si="112"/>
        <v>ぬまうお</v>
      </c>
      <c r="D272" s="5" t="str">
        <f t="shared" si="112"/>
        <v>Poissonboue</v>
      </c>
      <c r="E272" s="5" t="str">
        <f t="shared" si="112"/>
        <v>Lehmhüpfer</v>
      </c>
      <c r="F272" s="5" t="str">
        <f t="shared" si="112"/>
        <v>Pez Lodo</v>
      </c>
      <c r="G272" s="5" t="str">
        <f t="shared" si="112"/>
        <v>Fango Pesce</v>
      </c>
      <c r="H272" s="5" t="str">
        <f t="shared" si="112"/>
        <v>늪물고기</v>
      </c>
      <c r="I272" s="5" t="str">
        <f t="shared" si="112"/>
        <v>沼魚</v>
      </c>
      <c r="J272" s="5" t="str">
        <f t="shared" si="112"/>
        <v>沼鱼</v>
      </c>
    </row>
    <row r="273">
      <c r="A273" s="5" t="str">
        <f>CONCATENATE("CATEGORY_",UPPER(Pokemon!B261))</f>
        <v>CATEGORY_SWAMPERT</v>
      </c>
      <c r="B273" s="5" t="str">
        <f t="shared" ref="B273:J273" si="113">B271</f>
        <v>Mud Fish</v>
      </c>
      <c r="C273" s="5" t="str">
        <f t="shared" si="113"/>
        <v>ぬまうお</v>
      </c>
      <c r="D273" s="5" t="str">
        <f t="shared" si="113"/>
        <v>Poissonboue</v>
      </c>
      <c r="E273" s="5" t="str">
        <f t="shared" si="113"/>
        <v>Lehmhüpfer</v>
      </c>
      <c r="F273" s="5" t="str">
        <f t="shared" si="113"/>
        <v>Pez Lodo</v>
      </c>
      <c r="G273" s="5" t="str">
        <f t="shared" si="113"/>
        <v>Fango Pesce</v>
      </c>
      <c r="H273" s="5" t="str">
        <f t="shared" si="113"/>
        <v>늪물고기</v>
      </c>
      <c r="I273" s="5" t="str">
        <f t="shared" si="113"/>
        <v>沼魚</v>
      </c>
      <c r="J273" s="5" t="str">
        <f t="shared" si="113"/>
        <v>沼鱼</v>
      </c>
    </row>
    <row r="274">
      <c r="A274" s="5" t="str">
        <f>CONCATENATE("CATEGORY_",UPPER(Pokemon!B262))</f>
        <v>CATEGORY_POOCHYENA</v>
      </c>
      <c r="B274" s="3" t="str">
        <f>Moves!B45</f>
        <v>Bite</v>
      </c>
      <c r="C274" s="3" t="str">
        <f>Moves!C45</f>
        <v>かみつく</v>
      </c>
      <c r="D274" s="3" t="str">
        <f>Moves!D45</f>
        <v>Morsure</v>
      </c>
      <c r="E274" s="3" t="str">
        <f>Moves!E45</f>
        <v>Biss</v>
      </c>
      <c r="F274" s="3" t="str">
        <f>Moves!F45</f>
        <v>Mordisco</v>
      </c>
      <c r="G274" s="3" t="str">
        <f>Moves!G45</f>
        <v>Morso</v>
      </c>
      <c r="H274" s="3" t="str">
        <f>Moves!H45</f>
        <v>물기</v>
      </c>
      <c r="I274" s="3" t="str">
        <f>Moves!I45</f>
        <v>咬住</v>
      </c>
      <c r="J274" s="3" t="str">
        <f>Moves!J45</f>
        <v>咬住</v>
      </c>
    </row>
    <row r="275">
      <c r="A275" s="5" t="str">
        <f>CONCATENATE("CATEGORY_",UPPER(Pokemon!B263))</f>
        <v>CATEGORY_MIGHTYENA</v>
      </c>
      <c r="B275" s="5" t="str">
        <f t="shared" ref="B275:J275" si="114">B274</f>
        <v>Bite</v>
      </c>
      <c r="C275" s="5" t="str">
        <f t="shared" si="114"/>
        <v>かみつく</v>
      </c>
      <c r="D275" s="5" t="str">
        <f t="shared" si="114"/>
        <v>Morsure</v>
      </c>
      <c r="E275" s="5" t="str">
        <f t="shared" si="114"/>
        <v>Biss</v>
      </c>
      <c r="F275" s="5" t="str">
        <f t="shared" si="114"/>
        <v>Mordisco</v>
      </c>
      <c r="G275" s="5" t="str">
        <f t="shared" si="114"/>
        <v>Morso</v>
      </c>
      <c r="H275" s="5" t="str">
        <f t="shared" si="114"/>
        <v>물기</v>
      </c>
      <c r="I275" s="5" t="str">
        <f t="shared" si="114"/>
        <v>咬住</v>
      </c>
      <c r="J275" s="5" t="str">
        <f t="shared" si="114"/>
        <v>咬住</v>
      </c>
    </row>
    <row r="276">
      <c r="A276" s="5" t="str">
        <f>CONCATENATE("CATEGORY_",UPPER(Pokemon!B264))</f>
        <v>CATEGORY_ZIGZAGOON</v>
      </c>
      <c r="B276" s="3" t="s">
        <v>8634</v>
      </c>
      <c r="C276" s="3" t="s">
        <v>8635</v>
      </c>
      <c r="D276" s="3" t="s">
        <v>8636</v>
      </c>
      <c r="E276" s="3" t="s">
        <v>8637</v>
      </c>
      <c r="F276" s="3" t="s">
        <v>8638</v>
      </c>
      <c r="G276" s="3" t="s">
        <v>8639</v>
      </c>
      <c r="H276" s="3" t="s">
        <v>8640</v>
      </c>
      <c r="I276" s="3" t="s">
        <v>8641</v>
      </c>
      <c r="J276" s="5" t="str">
        <f>IFERROR(__xludf.DUMMYFUNCTION("GOOGLETRANSLATE(I276, ""zh_HANT"",""zh_HANS"")"),"豆狸")</f>
        <v>豆狸</v>
      </c>
    </row>
    <row r="277">
      <c r="A277" s="5" t="str">
        <f>CONCATENATE("CATEGORY_",UPPER(Pokemon!B265))</f>
        <v>CATEGORY_LINOONE</v>
      </c>
      <c r="B277" s="3" t="s">
        <v>8642</v>
      </c>
      <c r="C277" s="3" t="s">
        <v>8643</v>
      </c>
      <c r="D277" s="3" t="s">
        <v>8644</v>
      </c>
      <c r="E277" s="3" t="s">
        <v>8645</v>
      </c>
      <c r="F277" s="3" t="s">
        <v>8646</v>
      </c>
      <c r="G277" s="3" t="s">
        <v>8647</v>
      </c>
      <c r="H277" s="3" t="s">
        <v>8648</v>
      </c>
      <c r="I277" s="3" t="s">
        <v>8649</v>
      </c>
      <c r="J277" s="5" t="str">
        <f>IFERROR(__xludf.DUMMYFUNCTION("GOOGLETRANSLATE(I277, ""zh_HANT"",""zh_HANS"")"),"猛冲")</f>
        <v>猛冲</v>
      </c>
    </row>
    <row r="278">
      <c r="A278" s="5" t="str">
        <f>CONCATENATE("CATEGORY_",UPPER(Pokemon!B266))</f>
        <v>CATEGORY_WURMPLE</v>
      </c>
      <c r="B278" s="5" t="str">
        <f t="shared" ref="B278:J278" si="115">B11</f>
        <v>Worm</v>
      </c>
      <c r="C278" s="5" t="str">
        <f t="shared" si="115"/>
        <v>いもむし</v>
      </c>
      <c r="D278" s="5" t="str">
        <f t="shared" si="115"/>
        <v>Ver</v>
      </c>
      <c r="E278" s="5" t="str">
        <f t="shared" si="115"/>
        <v>Wurm</v>
      </c>
      <c r="F278" s="5" t="str">
        <f t="shared" si="115"/>
        <v>Gusano</v>
      </c>
      <c r="G278" s="5" t="str">
        <f t="shared" si="115"/>
        <v>Baco</v>
      </c>
      <c r="H278" s="5" t="str">
        <f t="shared" si="115"/>
        <v>애벌레</v>
      </c>
      <c r="I278" s="5" t="str">
        <f t="shared" si="115"/>
        <v>蟲寶寶</v>
      </c>
      <c r="J278" s="5" t="str">
        <f t="shared" si="115"/>
        <v>虫宝宝</v>
      </c>
    </row>
    <row r="279">
      <c r="A279" s="5" t="str">
        <f>CONCATENATE("CATEGORY_",UPPER(Pokemon!B267))</f>
        <v>CATEGORY_SILCOON</v>
      </c>
      <c r="B279" s="5" t="str">
        <f t="shared" ref="B279:J279" si="116">B12</f>
        <v>Cocoon</v>
      </c>
      <c r="C279" s="5" t="str">
        <f t="shared" si="116"/>
        <v>さなぎ</v>
      </c>
      <c r="D279" s="5" t="str">
        <f t="shared" si="116"/>
        <v>Cocon</v>
      </c>
      <c r="E279" s="5" t="str">
        <f t="shared" si="116"/>
        <v>Kokon</v>
      </c>
      <c r="F279" s="5" t="str">
        <f t="shared" si="116"/>
        <v>Capullo</v>
      </c>
      <c r="G279" s="5" t="str">
        <f t="shared" si="116"/>
        <v>Bozzolo</v>
      </c>
      <c r="H279" s="5" t="str">
        <f t="shared" si="116"/>
        <v>번데기</v>
      </c>
      <c r="I279" s="5" t="str">
        <f t="shared" si="116"/>
        <v>蛹</v>
      </c>
      <c r="J279" s="5" t="str">
        <f t="shared" si="116"/>
        <v>蛹</v>
      </c>
    </row>
    <row r="280">
      <c r="A280" s="5" t="str">
        <f>CONCATENATE("CATEGORY_",UPPER(Pokemon!B268))</f>
        <v>CATEGORY_BEAUTIFLY</v>
      </c>
      <c r="B280" s="5" t="str">
        <f t="shared" ref="B280:J280" si="117">B13</f>
        <v>Butterfly</v>
      </c>
      <c r="C280" s="5" t="str">
        <f t="shared" si="117"/>
        <v>ちょうちょ</v>
      </c>
      <c r="D280" s="5" t="str">
        <f t="shared" si="117"/>
        <v>Papillon</v>
      </c>
      <c r="E280" s="5" t="str">
        <f t="shared" si="117"/>
        <v>Falter</v>
      </c>
      <c r="F280" s="5" t="str">
        <f t="shared" si="117"/>
        <v>Mariposa</v>
      </c>
      <c r="G280" s="5" t="str">
        <f t="shared" si="117"/>
        <v>Farfalla</v>
      </c>
      <c r="H280" s="5" t="str">
        <f t="shared" si="117"/>
        <v>나비</v>
      </c>
      <c r="I280" s="5" t="str">
        <f t="shared" si="117"/>
        <v>蝴蝶</v>
      </c>
      <c r="J280" s="5" t="str">
        <f t="shared" si="117"/>
        <v>蝴蝶</v>
      </c>
    </row>
    <row r="281">
      <c r="A281" s="5" t="str">
        <f>CONCATENATE("CATEGORY_",UPPER(Pokemon!B269))</f>
        <v>CATEGORY_CASCOON</v>
      </c>
      <c r="B281" s="5" t="str">
        <f t="shared" ref="B281:J281" si="118">B12</f>
        <v>Cocoon</v>
      </c>
      <c r="C281" s="5" t="str">
        <f t="shared" si="118"/>
        <v>さなぎ</v>
      </c>
      <c r="D281" s="5" t="str">
        <f t="shared" si="118"/>
        <v>Cocon</v>
      </c>
      <c r="E281" s="5" t="str">
        <f t="shared" si="118"/>
        <v>Kokon</v>
      </c>
      <c r="F281" s="5" t="str">
        <f t="shared" si="118"/>
        <v>Capullo</v>
      </c>
      <c r="G281" s="5" t="str">
        <f t="shared" si="118"/>
        <v>Bozzolo</v>
      </c>
      <c r="H281" s="5" t="str">
        <f t="shared" si="118"/>
        <v>번데기</v>
      </c>
      <c r="I281" s="5" t="str">
        <f t="shared" si="118"/>
        <v>蛹</v>
      </c>
      <c r="J281" s="5" t="str">
        <f t="shared" si="118"/>
        <v>蛹</v>
      </c>
    </row>
    <row r="282">
      <c r="A282" s="5" t="str">
        <f>CONCATENATE("CATEGORY_",UPPER(Pokemon!B270))</f>
        <v>CATEGORY_DUSTOX</v>
      </c>
      <c r="B282" s="5" t="str">
        <f t="shared" ref="B282:J282" si="119">B50</f>
        <v>Poison Moth</v>
      </c>
      <c r="C282" s="5" t="str">
        <f t="shared" si="119"/>
        <v>どくが</v>
      </c>
      <c r="D282" s="5" t="str">
        <f t="shared" si="119"/>
        <v>Papipoison</v>
      </c>
      <c r="E282" s="5" t="str">
        <f t="shared" si="119"/>
        <v>Giftmotte</v>
      </c>
      <c r="F282" s="5" t="str">
        <f t="shared" si="119"/>
        <v>Polilla Ven.</v>
      </c>
      <c r="G282" s="5" t="str">
        <f t="shared" si="119"/>
        <v>Velentarma</v>
      </c>
      <c r="H282" s="5" t="str">
        <f t="shared" si="119"/>
        <v>독나방</v>
      </c>
      <c r="I282" s="5" t="str">
        <f t="shared" si="119"/>
        <v>毒蛾</v>
      </c>
      <c r="J282" s="5" t="str">
        <f t="shared" si="119"/>
        <v>毒蛾</v>
      </c>
    </row>
    <row r="283">
      <c r="A283" s="5" t="str">
        <f>CONCATENATE("CATEGORY_",UPPER(Pokemon!B271))</f>
        <v>CATEGORY_LOTAD</v>
      </c>
      <c r="B283" s="3" t="s">
        <v>8650</v>
      </c>
      <c r="C283" s="3" t="s">
        <v>8651</v>
      </c>
      <c r="D283" s="3" t="s">
        <v>8652</v>
      </c>
      <c r="E283" s="3" t="s">
        <v>8653</v>
      </c>
      <c r="F283" s="3" t="s">
        <v>8654</v>
      </c>
      <c r="G283" s="5" t="str">
        <f>F283</f>
        <v>Alga</v>
      </c>
      <c r="H283" s="3" t="s">
        <v>8655</v>
      </c>
      <c r="I283" s="5" t="str">
        <f>J283</f>
        <v>浮萍</v>
      </c>
      <c r="J283" s="3" t="s">
        <v>8656</v>
      </c>
    </row>
    <row r="284">
      <c r="A284" s="5" t="str">
        <f>CONCATENATE("CATEGORY_",UPPER(Pokemon!B272))</f>
        <v>CATEGORY_LOMBRE</v>
      </c>
      <c r="B284" s="3" t="str">
        <f>Natures!B13</f>
        <v>Jolly</v>
      </c>
      <c r="C284" s="3" t="str">
        <f>Natures!C13</f>
        <v>ようき</v>
      </c>
      <c r="D284" s="3" t="str">
        <f>Natures!D13</f>
        <v>Jovial</v>
      </c>
      <c r="E284" s="3" t="str">
        <f>Natures!E13</f>
        <v>Froh</v>
      </c>
      <c r="F284" s="3" t="str">
        <f>Natures!F13</f>
        <v>Alegre</v>
      </c>
      <c r="G284" s="7" t="s">
        <v>8657</v>
      </c>
      <c r="H284" s="3" t="s">
        <v>8658</v>
      </c>
      <c r="I284" s="3" t="str">
        <f>Natures!I13</f>
        <v>爽朗</v>
      </c>
      <c r="J284" s="3" t="str">
        <f>Natures!J13</f>
        <v>爽朗</v>
      </c>
    </row>
    <row r="285">
      <c r="A285" s="5" t="str">
        <f>CONCATENATE("CATEGORY_",UPPER(Pokemon!B273))</f>
        <v>CATEGORY_LUDICOLO</v>
      </c>
      <c r="B285" s="3" t="s">
        <v>8659</v>
      </c>
      <c r="C285" s="3" t="s">
        <v>8660</v>
      </c>
      <c r="D285" s="3" t="s">
        <v>8661</v>
      </c>
      <c r="E285" s="3" t="s">
        <v>8662</v>
      </c>
      <c r="F285" s="3" t="s">
        <v>8663</v>
      </c>
      <c r="G285" s="3" t="s">
        <v>8664</v>
      </c>
      <c r="H285" s="3" t="s">
        <v>8665</v>
      </c>
      <c r="I285" s="3" t="s">
        <v>8666</v>
      </c>
      <c r="J285" s="5" t="str">
        <f>IFERROR(__xludf.DUMMYFUNCTION("GOOGLETRANSLATE(I285, ""zh_HANT"",""zh_HANS"")"),"乐天")</f>
        <v>乐天</v>
      </c>
    </row>
    <row r="286">
      <c r="A286" s="5" t="str">
        <f>CONCATENATE("CATEGORY_",UPPER(Pokemon!B274))</f>
        <v>CATEGORY_SEEDOT</v>
      </c>
      <c r="B286" s="3" t="s">
        <v>8667</v>
      </c>
      <c r="C286" s="3" t="s">
        <v>8668</v>
      </c>
      <c r="D286" s="3" t="s">
        <v>8669</v>
      </c>
      <c r="E286" s="3" t="s">
        <v>8670</v>
      </c>
      <c r="F286" s="3" t="s">
        <v>8671</v>
      </c>
      <c r="G286" s="3" t="s">
        <v>8672</v>
      </c>
      <c r="H286" s="3" t="s">
        <v>8673</v>
      </c>
      <c r="I286" s="3" t="s">
        <v>8674</v>
      </c>
      <c r="J286" s="5" t="str">
        <f>IFERROR(__xludf.DUMMYFUNCTION("GOOGLETRANSLATE(I286, ""zh_HANT"",""zh_HANS"")"),"橡实")</f>
        <v>橡实</v>
      </c>
    </row>
    <row r="287">
      <c r="A287" s="5" t="str">
        <f>CONCATENATE("CATEGORY_",UPPER(Pokemon!B275))</f>
        <v>CATEGORY_NUZLEAF</v>
      </c>
      <c r="B287" s="3" t="s">
        <v>8675</v>
      </c>
      <c r="C287" s="3" t="s">
        <v>8676</v>
      </c>
      <c r="D287" s="3" t="s">
        <v>8677</v>
      </c>
      <c r="E287" s="3" t="s">
        <v>8678</v>
      </c>
      <c r="F287" s="3" t="s">
        <v>8679</v>
      </c>
      <c r="G287" s="3" t="s">
        <v>8680</v>
      </c>
      <c r="H287" s="3" t="s">
        <v>8681</v>
      </c>
      <c r="I287" s="3" t="s">
        <v>8682</v>
      </c>
      <c r="J287" s="5" t="str">
        <f>I287</f>
        <v>捉弄</v>
      </c>
    </row>
    <row r="288">
      <c r="A288" s="5" t="str">
        <f>CONCATENATE("CATEGORY_",UPPER(Pokemon!B276))</f>
        <v>CATEGORY_SHIFTRY</v>
      </c>
      <c r="B288" s="3" t="s">
        <v>8683</v>
      </c>
      <c r="C288" s="3" t="s">
        <v>8684</v>
      </c>
      <c r="D288" s="3" t="s">
        <v>8685</v>
      </c>
      <c r="E288" s="3" t="s">
        <v>8686</v>
      </c>
      <c r="F288" s="3" t="s">
        <v>8687</v>
      </c>
      <c r="G288" s="3" t="s">
        <v>8688</v>
      </c>
      <c r="H288" s="3" t="s">
        <v>8689</v>
      </c>
      <c r="I288" s="3" t="s">
        <v>8690</v>
      </c>
      <c r="J288" s="5" t="str">
        <f>IFERROR(__xludf.DUMMYFUNCTION("GOOGLETRANSLATE(I288, ""zh_HANT"",""zh_HANS"")"),"邪恶")</f>
        <v>邪恶</v>
      </c>
    </row>
    <row r="289">
      <c r="A289" s="5" t="str">
        <f>CONCATENATE("CATEGORY_",UPPER(Pokemon!B277))</f>
        <v>CATEGORY_TAILOW</v>
      </c>
      <c r="B289" s="3" t="s">
        <v>8691</v>
      </c>
      <c r="C289" s="3" t="s">
        <v>8692</v>
      </c>
      <c r="D289" s="3" t="s">
        <v>8693</v>
      </c>
      <c r="E289" s="3" t="s">
        <v>8694</v>
      </c>
      <c r="F289" s="3" t="s">
        <v>8695</v>
      </c>
      <c r="G289" s="3" t="s">
        <v>8696</v>
      </c>
      <c r="H289" s="3" t="s">
        <v>8697</v>
      </c>
      <c r="I289" s="3" t="s">
        <v>8698</v>
      </c>
      <c r="J289" s="5" t="str">
        <f t="shared" ref="J289:J290" si="120">I289</f>
        <v>幼燕</v>
      </c>
    </row>
    <row r="290">
      <c r="A290" s="5" t="str">
        <f>CONCATENATE("CATEGORY_",UPPER(Pokemon!B278))</f>
        <v>CATEGORY_SWELLOW</v>
      </c>
      <c r="B290" s="3" t="s">
        <v>8699</v>
      </c>
      <c r="C290" s="3" t="s">
        <v>8700</v>
      </c>
      <c r="D290" s="3" t="s">
        <v>8701</v>
      </c>
      <c r="E290" s="3" t="s">
        <v>8702</v>
      </c>
      <c r="F290" s="3" t="s">
        <v>8703</v>
      </c>
      <c r="G290" s="3" t="s">
        <v>8704</v>
      </c>
      <c r="H290" s="3" t="s">
        <v>8705</v>
      </c>
      <c r="I290" s="3" t="s">
        <v>8706</v>
      </c>
      <c r="J290" s="5" t="str">
        <f t="shared" si="120"/>
        <v>燕子</v>
      </c>
    </row>
    <row r="291">
      <c r="A291" s="5" t="str">
        <f>CONCATENATE("CATEGORY_",UPPER(Pokemon!B279))</f>
        <v>CATEGORY_WINGULL</v>
      </c>
      <c r="B291" s="3" t="s">
        <v>8707</v>
      </c>
      <c r="C291" s="3" t="s">
        <v>8708</v>
      </c>
      <c r="D291" s="3" t="s">
        <v>8709</v>
      </c>
      <c r="E291" s="3" t="s">
        <v>8710</v>
      </c>
      <c r="F291" s="3" t="s">
        <v>8711</v>
      </c>
      <c r="G291" s="3" t="s">
        <v>8712</v>
      </c>
      <c r="H291" s="3" t="s">
        <v>8713</v>
      </c>
      <c r="I291" s="3" t="s">
        <v>8714</v>
      </c>
      <c r="J291" s="5" t="str">
        <f>IFERROR(__xludf.DUMMYFUNCTION("GOOGLETRANSLATE(I291, ""zh_HANT"",""zh_HANS"")"),"海鸥")</f>
        <v>海鸥</v>
      </c>
    </row>
    <row r="292">
      <c r="A292" s="5" t="str">
        <f>CONCATENATE("CATEGORY_",UPPER(Pokemon!B280))</f>
        <v>CATEGORY_PELIPPER</v>
      </c>
      <c r="B292" s="3" t="s">
        <v>8715</v>
      </c>
      <c r="C292" s="3" t="s">
        <v>8716</v>
      </c>
      <c r="D292" s="3" t="s">
        <v>8717</v>
      </c>
      <c r="E292" s="3" t="s">
        <v>8718</v>
      </c>
      <c r="F292" s="3" t="s">
        <v>8719</v>
      </c>
      <c r="G292" s="3" t="s">
        <v>8720</v>
      </c>
      <c r="H292" s="3" t="s">
        <v>8721</v>
      </c>
      <c r="I292" s="3" t="s">
        <v>8722</v>
      </c>
      <c r="J292" s="5" t="str">
        <f>IFERROR(__xludf.DUMMYFUNCTION("GOOGLETRANSLATE(I292, ""zh_HANT"",""zh_HANS"")"),"水鸟")</f>
        <v>水鸟</v>
      </c>
    </row>
    <row r="293">
      <c r="A293" s="5" t="str">
        <f>CONCATENATE("CATEGORY_",UPPER(Pokemon!B281))</f>
        <v>CATEGORY_RALTS</v>
      </c>
      <c r="B293" s="3" t="s">
        <v>8723</v>
      </c>
      <c r="C293" s="3" t="s">
        <v>8724</v>
      </c>
      <c r="D293" s="3" t="s">
        <v>8725</v>
      </c>
      <c r="E293" s="3" t="s">
        <v>8726</v>
      </c>
      <c r="F293" s="3" t="s">
        <v>8727</v>
      </c>
      <c r="G293" s="3" t="s">
        <v>8728</v>
      </c>
      <c r="H293" s="3" t="s">
        <v>8729</v>
      </c>
      <c r="I293" s="3" t="s">
        <v>8730</v>
      </c>
      <c r="J293" s="5" t="str">
        <f t="shared" ref="J293:J295" si="121">I293</f>
        <v>心情</v>
      </c>
    </row>
    <row r="294">
      <c r="A294" s="5" t="str">
        <f>CONCATENATE("CATEGORY_",UPPER(Pokemon!B282))</f>
        <v>CATEGORY_KIRLIA</v>
      </c>
      <c r="B294" s="3" t="s">
        <v>8731</v>
      </c>
      <c r="C294" s="3" t="s">
        <v>8732</v>
      </c>
      <c r="D294" s="3" t="s">
        <v>8733</v>
      </c>
      <c r="E294" s="5" t="str">
        <f>B294</f>
        <v>Emotion</v>
      </c>
      <c r="F294" s="3" t="s">
        <v>8734</v>
      </c>
      <c r="G294" s="3" t="s">
        <v>8735</v>
      </c>
      <c r="H294" s="3" t="s">
        <v>8736</v>
      </c>
      <c r="I294" s="3" t="s">
        <v>8737</v>
      </c>
      <c r="J294" s="5" t="str">
        <f t="shared" si="121"/>
        <v>感情</v>
      </c>
    </row>
    <row r="295">
      <c r="A295" s="5" t="str">
        <f>CONCATENATE("CATEGORY_",UPPER(Pokemon!B283))</f>
        <v>CATEGORY_GARDEVOIR</v>
      </c>
      <c r="B295" s="3" t="s">
        <v>8738</v>
      </c>
      <c r="C295" s="3" t="s">
        <v>8739</v>
      </c>
      <c r="D295" s="3" t="s">
        <v>8740</v>
      </c>
      <c r="E295" s="3" t="s">
        <v>8741</v>
      </c>
      <c r="F295" s="3" t="s">
        <v>8742</v>
      </c>
      <c r="G295" s="3" t="s">
        <v>8743</v>
      </c>
      <c r="H295" s="3" t="s">
        <v>8744</v>
      </c>
      <c r="I295" s="3" t="s">
        <v>8745</v>
      </c>
      <c r="J295" s="5" t="str">
        <f t="shared" si="121"/>
        <v>包容</v>
      </c>
    </row>
    <row r="296">
      <c r="A296" s="5" t="str">
        <f>CONCATENATE("CATEGORY_",UPPER(Pokemon!B284))</f>
        <v>CATEGORY_SURSKIT</v>
      </c>
      <c r="B296" s="3" t="s">
        <v>8746</v>
      </c>
      <c r="C296" s="3" t="s">
        <v>8747</v>
      </c>
      <c r="D296" s="3" t="s">
        <v>8748</v>
      </c>
      <c r="E296" s="3" t="s">
        <v>8749</v>
      </c>
      <c r="F296" s="3" t="s">
        <v>8750</v>
      </c>
      <c r="G296" s="3" t="s">
        <v>8751</v>
      </c>
      <c r="H296" s="3" t="s">
        <v>8752</v>
      </c>
      <c r="I296" s="3" t="s">
        <v>8753</v>
      </c>
      <c r="J296" s="5" t="str">
        <f>IFERROR(__xludf.DUMMYFUNCTION("GOOGLETRANSLATE(I296, ""zh_HANT"",""zh_HANS"")"),"水黾")</f>
        <v>水黾</v>
      </c>
    </row>
    <row r="297">
      <c r="A297" s="5" t="str">
        <f>CONCATENATE("CATEGORY_",UPPER(Pokemon!B285))</f>
        <v>CATEGORY_MASQUERAIN</v>
      </c>
      <c r="B297" s="3" t="s">
        <v>8754</v>
      </c>
      <c r="C297" s="3" t="s">
        <v>8755</v>
      </c>
      <c r="D297" s="3" t="s">
        <v>8756</v>
      </c>
      <c r="E297" s="3" t="s">
        <v>8757</v>
      </c>
      <c r="F297" s="7" t="s">
        <v>8758</v>
      </c>
      <c r="G297" s="3" t="s">
        <v>8759</v>
      </c>
      <c r="H297" s="3" t="s">
        <v>8760</v>
      </c>
      <c r="I297" s="3" t="s">
        <v>8761</v>
      </c>
      <c r="J297" s="5" t="str">
        <f>I297</f>
        <v>眼珠</v>
      </c>
    </row>
    <row r="298">
      <c r="A298" s="5" t="str">
        <f>CONCATENATE("CATEGORY_",UPPER(Pokemon!B286))</f>
        <v>CATEGORY_SHROOMISH</v>
      </c>
      <c r="B298" s="5" t="str">
        <f t="shared" ref="B298:J298" si="122">B47</f>
        <v>Mushroom</v>
      </c>
      <c r="C298" s="5" t="str">
        <f t="shared" si="122"/>
        <v>きのこ</v>
      </c>
      <c r="D298" s="5" t="str">
        <f t="shared" si="122"/>
        <v>Champignon</v>
      </c>
      <c r="E298" s="5" t="str">
        <f t="shared" si="122"/>
        <v>Pilz</v>
      </c>
      <c r="F298" s="5" t="str">
        <f t="shared" si="122"/>
        <v>Hongo</v>
      </c>
      <c r="G298" s="5" t="str">
        <f t="shared" si="122"/>
        <v>Fungo</v>
      </c>
      <c r="H298" s="5" t="str">
        <f t="shared" si="122"/>
        <v>버섯</v>
      </c>
      <c r="I298" s="5" t="str">
        <f t="shared" si="122"/>
        <v>蘑菇</v>
      </c>
      <c r="J298" s="5" t="str">
        <f t="shared" si="122"/>
        <v>蘑菇</v>
      </c>
    </row>
    <row r="299">
      <c r="A299" s="5" t="str">
        <f>CONCATENATE("CATEGORY_",UPPER(Pokemon!B287))</f>
        <v>CATEGORY_BRELOOM</v>
      </c>
      <c r="B299" s="5" t="str">
        <f t="shared" ref="B299:J299" si="123">B47</f>
        <v>Mushroom</v>
      </c>
      <c r="C299" s="5" t="str">
        <f t="shared" si="123"/>
        <v>きのこ</v>
      </c>
      <c r="D299" s="5" t="str">
        <f t="shared" si="123"/>
        <v>Champignon</v>
      </c>
      <c r="E299" s="5" t="str">
        <f t="shared" si="123"/>
        <v>Pilz</v>
      </c>
      <c r="F299" s="5" t="str">
        <f t="shared" si="123"/>
        <v>Hongo</v>
      </c>
      <c r="G299" s="5" t="str">
        <f t="shared" si="123"/>
        <v>Fungo</v>
      </c>
      <c r="H299" s="5" t="str">
        <f t="shared" si="123"/>
        <v>버섯</v>
      </c>
      <c r="I299" s="5" t="str">
        <f t="shared" si="123"/>
        <v>蘑菇</v>
      </c>
      <c r="J299" s="5" t="str">
        <f t="shared" si="123"/>
        <v>蘑菇</v>
      </c>
    </row>
    <row r="300">
      <c r="A300" s="5" t="str">
        <f>CONCATENATE("CATEGORY_",UPPER(Pokemon!B288))</f>
        <v>CATEGORY_SLAKOTH</v>
      </c>
      <c r="B300" s="3" t="s">
        <v>8762</v>
      </c>
      <c r="C300" s="3" t="s">
        <v>8763</v>
      </c>
      <c r="D300" s="3" t="s">
        <v>8764</v>
      </c>
      <c r="E300" s="3" t="s">
        <v>8765</v>
      </c>
      <c r="F300" s="3" t="s">
        <v>8766</v>
      </c>
      <c r="G300" s="3" t="s">
        <v>8767</v>
      </c>
      <c r="H300" s="3" t="s">
        <v>8768</v>
      </c>
      <c r="I300" s="3" t="s">
        <v>8769</v>
      </c>
      <c r="J300" s="5" t="str">
        <f>IFERROR(__xludf.DUMMYFUNCTION("GOOGLETRANSLATE(I300, ""zh_HANT"",""zh_HANS"")"),"懒人")</f>
        <v>懒人</v>
      </c>
    </row>
    <row r="301">
      <c r="A301" s="5" t="str">
        <f>CONCATENATE("CATEGORY_",UPPER(Pokemon!B289))</f>
        <v>CATEGORY_VIGOROTH</v>
      </c>
      <c r="B301" s="3" t="s">
        <v>8770</v>
      </c>
      <c r="C301" s="3" t="s">
        <v>8771</v>
      </c>
      <c r="D301" s="3" t="s">
        <v>8772</v>
      </c>
      <c r="E301" s="3" t="s">
        <v>8773</v>
      </c>
      <c r="F301" s="3" t="s">
        <v>8774</v>
      </c>
      <c r="G301" s="3" t="s">
        <v>8775</v>
      </c>
      <c r="H301" s="3" t="s">
        <v>8776</v>
      </c>
      <c r="I301" s="3" t="s">
        <v>8777</v>
      </c>
      <c r="J301" s="5" t="str">
        <f>I301</f>
        <v>暴猿</v>
      </c>
    </row>
    <row r="302">
      <c r="A302" s="5" t="str">
        <f>CONCATENATE("CATEGORY_",UPPER(Pokemon!B290))</f>
        <v>CATEGORY_SLAKING</v>
      </c>
      <c r="B302" s="3" t="s">
        <v>8778</v>
      </c>
      <c r="C302" s="3" t="s">
        <v>8779</v>
      </c>
      <c r="D302" s="3" t="s">
        <v>8780</v>
      </c>
      <c r="E302" s="3" t="s">
        <v>8781</v>
      </c>
      <c r="F302" s="3" t="s">
        <v>8782</v>
      </c>
      <c r="G302" s="3" t="s">
        <v>8783</v>
      </c>
      <c r="H302" s="3" t="s">
        <v>8784</v>
      </c>
      <c r="I302" s="3" t="s">
        <v>8785</v>
      </c>
      <c r="J302" s="5" t="str">
        <f>IFERROR(__xludf.DUMMYFUNCTION("GOOGLETRANSLATE(I302, ""zh_HANT"",""zh_HANS"")"),"怕麻烦")</f>
        <v>怕麻烦</v>
      </c>
    </row>
    <row r="303">
      <c r="A303" s="5" t="str">
        <f>CONCATENATE("CATEGORY_",UPPER(Pokemon!B291))</f>
        <v>CATEGORY_NINCADA</v>
      </c>
      <c r="B303" s="3" t="s">
        <v>8786</v>
      </c>
      <c r="C303" s="3" t="s">
        <v>8787</v>
      </c>
      <c r="D303" s="3" t="s">
        <v>8788</v>
      </c>
      <c r="E303" s="3" t="s">
        <v>8789</v>
      </c>
      <c r="F303" s="3" t="s">
        <v>8790</v>
      </c>
      <c r="G303" s="3" t="s">
        <v>8791</v>
      </c>
      <c r="H303" s="3" t="s">
        <v>8792</v>
      </c>
      <c r="I303" s="3" t="s">
        <v>8793</v>
      </c>
      <c r="J303" s="5" t="str">
        <f>IFERROR(__xludf.DUMMYFUNCTION("GOOGLETRANSLATE(I303, ""zh_HANT"",""zh_HANS"")"),"入门")</f>
        <v>入门</v>
      </c>
    </row>
    <row r="304">
      <c r="A304" s="5" t="str">
        <f>CONCATENATE("CATEGORY_",UPPER(Pokemon!B292))</f>
        <v>CATEGORY_NINJASK</v>
      </c>
      <c r="B304" s="3" t="s">
        <v>8794</v>
      </c>
      <c r="C304" s="3" t="s">
        <v>8795</v>
      </c>
      <c r="D304" s="3" t="str">
        <f>B304</f>
        <v>Ninja</v>
      </c>
      <c r="E304" s="5" t="str">
        <f>B304</f>
        <v>Ninja</v>
      </c>
      <c r="F304" s="5" t="str">
        <f>B304</f>
        <v>Ninja</v>
      </c>
      <c r="G304" s="5" t="str">
        <f>B304</f>
        <v>Ninja</v>
      </c>
      <c r="H304" s="3" t="s">
        <v>8796</v>
      </c>
      <c r="I304" s="3" t="s">
        <v>8797</v>
      </c>
      <c r="J304" s="5" t="str">
        <f>I304</f>
        <v>忍者</v>
      </c>
    </row>
    <row r="305">
      <c r="A305" s="5" t="str">
        <f>CONCATENATE("CATEGORY_",UPPER(Pokemon!B293))</f>
        <v>CATEGORY_SHEDINJA</v>
      </c>
      <c r="B305" s="3" t="s">
        <v>8798</v>
      </c>
      <c r="C305" s="3" t="s">
        <v>8799</v>
      </c>
      <c r="D305" s="3" t="s">
        <v>8800</v>
      </c>
      <c r="E305" s="3" t="s">
        <v>8801</v>
      </c>
      <c r="F305" s="3" t="s">
        <v>8802</v>
      </c>
      <c r="G305" s="3" t="s">
        <v>8803</v>
      </c>
      <c r="H305" s="3" t="s">
        <v>8804</v>
      </c>
      <c r="I305" s="3" t="s">
        <v>8805</v>
      </c>
      <c r="J305" s="5" t="str">
        <f>IFERROR(__xludf.DUMMYFUNCTION("GOOGLETRANSLATE(I305, ""zh_HANT"",""zh_HANS"")"),"空壳")</f>
        <v>空壳</v>
      </c>
    </row>
    <row r="306">
      <c r="A306" s="5" t="str">
        <f>CONCATENATE("CATEGORY_",UPPER(Pokemon!B294))</f>
        <v>CATEGORY_WHISMUR</v>
      </c>
      <c r="B306" s="3" t="s">
        <v>8806</v>
      </c>
      <c r="C306" s="3" t="s">
        <v>8807</v>
      </c>
      <c r="D306" s="3" t="s">
        <v>8808</v>
      </c>
      <c r="E306" s="3" t="s">
        <v>8809</v>
      </c>
      <c r="F306" s="3" t="s">
        <v>8810</v>
      </c>
      <c r="G306" s="3" t="s">
        <v>8811</v>
      </c>
      <c r="H306" s="3" t="s">
        <v>8812</v>
      </c>
      <c r="I306" s="3" t="s">
        <v>8813</v>
      </c>
      <c r="J306" s="5" t="str">
        <f>IFERROR(__xludf.DUMMYFUNCTION("GOOGLETRANSLATE(I306, ""zh_HANT"",""zh_HANS"")"),"细语")</f>
        <v>细语</v>
      </c>
    </row>
    <row r="307">
      <c r="A307" s="5" t="str">
        <f>CONCATENATE("CATEGORY_",UPPER(Pokemon!B295))</f>
        <v>CATEGORY_LOUDRED</v>
      </c>
      <c r="B307" s="3" t="s">
        <v>8814</v>
      </c>
      <c r="C307" s="3" t="s">
        <v>8815</v>
      </c>
      <c r="D307" s="3" t="s">
        <v>8816</v>
      </c>
      <c r="E307" s="3" t="s">
        <v>8817</v>
      </c>
      <c r="F307" s="3" t="s">
        <v>8818</v>
      </c>
      <c r="G307" s="3" t="s">
        <v>8819</v>
      </c>
      <c r="H307" s="3" t="s">
        <v>8820</v>
      </c>
      <c r="I307" s="3" t="s">
        <v>8821</v>
      </c>
      <c r="J307" s="5" t="str">
        <f>IFERROR(__xludf.DUMMYFUNCTION("GOOGLETRANSLATE(I307, ""zh_HANT"",""zh_HANS"")"),"大声")</f>
        <v>大声</v>
      </c>
    </row>
    <row r="308">
      <c r="A308" s="5" t="str">
        <f>CONCATENATE("CATEGORY_",UPPER(Pokemon!B296))</f>
        <v>CATEGORY_EXPLOUD</v>
      </c>
      <c r="B308" s="3" t="s">
        <v>8822</v>
      </c>
      <c r="C308" s="3" t="s">
        <v>8823</v>
      </c>
      <c r="D308" s="3" t="s">
        <v>8824</v>
      </c>
      <c r="E308" s="3" t="s">
        <v>8825</v>
      </c>
      <c r="F308" s="3" t="s">
        <v>8826</v>
      </c>
      <c r="G308" s="3" t="s">
        <v>8827</v>
      </c>
      <c r="H308" s="3" t="s">
        <v>8828</v>
      </c>
      <c r="I308" s="3" t="s">
        <v>8829</v>
      </c>
      <c r="J308" s="5" t="str">
        <f>I308</f>
        <v>噪音</v>
      </c>
    </row>
    <row r="309">
      <c r="A309" s="5" t="str">
        <f>CONCATENATE("CATEGORY_",UPPER(Pokemon!B297))</f>
        <v>CATEGORY_MAKUHITA</v>
      </c>
      <c r="B309" s="3" t="str">
        <f>Abilities!B63</f>
        <v>Guts</v>
      </c>
      <c r="C309" s="3" t="str">
        <f>Abilities!C63</f>
        <v>こんじょう</v>
      </c>
      <c r="D309" s="3" t="s">
        <v>8830</v>
      </c>
      <c r="E309" s="3" t="s">
        <v>8831</v>
      </c>
      <c r="F309" s="3" t="s">
        <v>8832</v>
      </c>
      <c r="G309" s="3" t="s">
        <v>8833</v>
      </c>
      <c r="H309" s="3" t="str">
        <f>Abilities!H63</f>
        <v>근성</v>
      </c>
      <c r="I309" s="3" t="str">
        <f>Abilities!I63</f>
        <v>毅力</v>
      </c>
      <c r="J309" s="3" t="str">
        <f>Abilities!J63</f>
        <v>毅力</v>
      </c>
    </row>
    <row r="310">
      <c r="A310" s="5" t="str">
        <f>CONCATENATE("CATEGORY_",UPPER(Pokemon!B298))</f>
        <v>CATEGORY_HARIYAMA</v>
      </c>
      <c r="B310" s="3" t="str">
        <f>Moves!B293</f>
        <v>Arm Thrust</v>
      </c>
      <c r="C310" s="3" t="str">
        <f>Moves!C293</f>
        <v>つっぱり</v>
      </c>
      <c r="D310" s="3" t="s">
        <v>8834</v>
      </c>
      <c r="E310" s="3" t="str">
        <f>Moves!E293</f>
        <v>Armstoß</v>
      </c>
      <c r="F310" s="3" t="str">
        <f>Moves!F293</f>
        <v>Empujón</v>
      </c>
      <c r="G310" s="3" t="str">
        <f>Moves!G293</f>
        <v>Sberletese</v>
      </c>
      <c r="H310" s="3" t="str">
        <f>Moves!H293</f>
        <v>손바닥치기</v>
      </c>
      <c r="I310" s="3" t="str">
        <f>Moves!I293</f>
        <v>猛推</v>
      </c>
      <c r="J310" s="3" t="str">
        <f>Moves!J293</f>
        <v>猛推</v>
      </c>
    </row>
    <row r="311">
      <c r="A311" s="5" t="str">
        <f>CONCATENATE("CATEGORY_",UPPER(Pokemon!B299))</f>
        <v>CATEGORY_AZURILL</v>
      </c>
      <c r="B311" s="3" t="s">
        <v>8835</v>
      </c>
      <c r="C311" s="3" t="s">
        <v>8836</v>
      </c>
      <c r="D311" s="3" t="s">
        <v>8837</v>
      </c>
      <c r="E311" s="3" t="s">
        <v>8838</v>
      </c>
      <c r="F311" s="3" t="s">
        <v>8839</v>
      </c>
      <c r="G311" s="3" t="s">
        <v>8840</v>
      </c>
      <c r="H311" s="3" t="s">
        <v>8841</v>
      </c>
      <c r="I311" s="3" t="s">
        <v>8842</v>
      </c>
      <c r="J311" s="5" t="str">
        <f>I311</f>
        <v>水珠</v>
      </c>
    </row>
    <row r="312">
      <c r="A312" s="5" t="str">
        <f>CONCATENATE("CATEGORY_",UPPER(Pokemon!B300))</f>
        <v>CATEGORY_NOSEPASS</v>
      </c>
      <c r="B312" s="3" t="s">
        <v>8843</v>
      </c>
      <c r="C312" s="3" t="s">
        <v>8844</v>
      </c>
      <c r="D312" s="3" t="s">
        <v>8845</v>
      </c>
      <c r="E312" s="3" t="s">
        <v>8846</v>
      </c>
      <c r="F312" s="3" t="s">
        <v>8847</v>
      </c>
      <c r="G312" s="3" t="s">
        <v>8848</v>
      </c>
      <c r="H312" s="3" t="s">
        <v>8849</v>
      </c>
      <c r="I312" s="3" t="s">
        <v>8850</v>
      </c>
      <c r="J312" s="5" t="str">
        <f>IFERROR(__xludf.DUMMYFUNCTION("GOOGLETRANSLATE(I312, ""zh_HANT"",""zh_HANS"")"),"罗盘")</f>
        <v>罗盘</v>
      </c>
    </row>
    <row r="313">
      <c r="A313" s="5" t="str">
        <f>CONCATENATE("CATEGORY_",UPPER(Pokemon!B301))</f>
        <v>CATEGORY_SKITTY</v>
      </c>
      <c r="B313" s="3" t="s">
        <v>8851</v>
      </c>
      <c r="C313" s="3" t="s">
        <v>8852</v>
      </c>
      <c r="D313" s="3" t="s">
        <v>8853</v>
      </c>
      <c r="E313" s="3" t="s">
        <v>8854</v>
      </c>
      <c r="F313" s="3" t="s">
        <v>8855</v>
      </c>
      <c r="G313" s="3" t="s">
        <v>8856</v>
      </c>
      <c r="H313" s="3" t="s">
        <v>8857</v>
      </c>
      <c r="I313" s="3" t="s">
        <v>8858</v>
      </c>
      <c r="J313" s="5" t="str">
        <f>IFERROR(__xludf.DUMMYFUNCTION("GOOGLETRANSLATE(I313, ""zh_HANT"",""zh_HANS"")"),"小猫")</f>
        <v>小猫</v>
      </c>
    </row>
    <row r="314">
      <c r="A314" s="5" t="str">
        <f>CONCATENATE("CATEGORY_",UPPER(Pokemon!B302))</f>
        <v>CATEGORY_DELCATTY</v>
      </c>
      <c r="B314" s="3" t="s">
        <v>8859</v>
      </c>
      <c r="C314" s="3" t="s">
        <v>8860</v>
      </c>
      <c r="D314" s="3" t="s">
        <v>8861</v>
      </c>
      <c r="E314" s="3" t="s">
        <v>8862</v>
      </c>
      <c r="F314" s="3" t="s">
        <v>8863</v>
      </c>
      <c r="G314" s="3" t="s">
        <v>8864</v>
      </c>
      <c r="H314" s="3" t="s">
        <v>8865</v>
      </c>
      <c r="I314" s="3" t="s">
        <v>8866</v>
      </c>
      <c r="J314" s="5" t="str">
        <f>I314</f>
        <v>清高</v>
      </c>
    </row>
    <row r="315">
      <c r="A315" s="5" t="str">
        <f>CONCATENATE("CATEGORY_",UPPER(Pokemon!B303))</f>
        <v>CATEGORY_SABLEYE</v>
      </c>
      <c r="B315" s="5" t="str">
        <f t="shared" ref="B315:D315" si="124">B210</f>
        <v>Darkness</v>
      </c>
      <c r="C315" s="5" t="str">
        <f t="shared" si="124"/>
        <v>くらやみ</v>
      </c>
      <c r="D315" s="5" t="str">
        <f t="shared" si="124"/>
        <v>Obscurité</v>
      </c>
      <c r="E315" s="3" t="s">
        <v>8867</v>
      </c>
      <c r="F315" s="5" t="str">
        <f t="shared" ref="F315:J315" si="125">F210</f>
        <v>Oscuridad</v>
      </c>
      <c r="G315" s="5" t="str">
        <f t="shared" si="125"/>
        <v>Oscurità</v>
      </c>
      <c r="H315" s="5" t="str">
        <f t="shared" si="125"/>
        <v>어둠</v>
      </c>
      <c r="I315" s="5" t="str">
        <f t="shared" si="125"/>
        <v>黑暗</v>
      </c>
      <c r="J315" s="5" t="str">
        <f t="shared" si="125"/>
        <v>黑暗</v>
      </c>
    </row>
    <row r="316">
      <c r="A316" s="5" t="str">
        <f>CONCATENATE("CATEGORY_",UPPER(Pokemon!B304))</f>
        <v>CATEGORY_MAWILE</v>
      </c>
      <c r="B316" s="3" t="s">
        <v>8868</v>
      </c>
      <c r="C316" s="3" t="s">
        <v>8869</v>
      </c>
      <c r="D316" s="3" t="s">
        <v>8870</v>
      </c>
      <c r="E316" s="3" t="s">
        <v>8871</v>
      </c>
      <c r="F316" s="3" t="s">
        <v>8872</v>
      </c>
      <c r="G316" s="3" t="s">
        <v>8873</v>
      </c>
      <c r="H316" s="3" t="s">
        <v>8874</v>
      </c>
      <c r="I316" s="3" t="s">
        <v>8875</v>
      </c>
      <c r="J316" s="5" t="str">
        <f>IFERROR(__xludf.DUMMYFUNCTION("GOOGLETRANSLATE(I316, ""zh_HANT"",""zh_HANS"")"),"欺骗")</f>
        <v>欺骗</v>
      </c>
    </row>
    <row r="317">
      <c r="A317" s="5" t="str">
        <f>CONCATENATE("CATEGORY_",UPPER(Pokemon!B305))</f>
        <v>CATEGORY_ARON</v>
      </c>
      <c r="B317" s="3" t="s">
        <v>8876</v>
      </c>
      <c r="C317" s="3" t="s">
        <v>8877</v>
      </c>
      <c r="D317" s="3" t="s">
        <v>8878</v>
      </c>
      <c r="E317" s="3" t="s">
        <v>8879</v>
      </c>
      <c r="F317" s="3" t="s">
        <v>8880</v>
      </c>
      <c r="G317" s="3" t="s">
        <v>8881</v>
      </c>
      <c r="H317" s="3" t="s">
        <v>8882</v>
      </c>
      <c r="I317" s="3" t="s">
        <v>8883</v>
      </c>
      <c r="J317" s="5" t="str">
        <f>IFERROR(__xludf.DUMMYFUNCTION("GOOGLETRANSLATE(I317, ""zh_HANT"",""zh_HANS"")"),"铁铠")</f>
        <v>铁铠</v>
      </c>
    </row>
    <row r="318">
      <c r="A318" s="5" t="str">
        <f>CONCATENATE("CATEGORY_",UPPER(Pokemon!B306))</f>
        <v>CATEGORY_LAIRON</v>
      </c>
      <c r="B318" s="5" t="str">
        <f t="shared" ref="B318:J318" si="126">B317</f>
        <v>Iron Armor</v>
      </c>
      <c r="C318" s="5" t="str">
        <f t="shared" si="126"/>
        <v>てつヨロイ</v>
      </c>
      <c r="D318" s="5" t="str">
        <f t="shared" si="126"/>
        <v>Armufer</v>
      </c>
      <c r="E318" s="5" t="str">
        <f t="shared" si="126"/>
        <v>Eisenpanzer</v>
      </c>
      <c r="F318" s="5" t="str">
        <f t="shared" si="126"/>
        <v>Cor. Férrea</v>
      </c>
      <c r="G318" s="5" t="str">
        <f t="shared" si="126"/>
        <v>Corazza</v>
      </c>
      <c r="H318" s="5" t="str">
        <f t="shared" si="126"/>
        <v>철갑옷</v>
      </c>
      <c r="I318" s="5" t="str">
        <f t="shared" si="126"/>
        <v>鐵鎧</v>
      </c>
      <c r="J318" s="5" t="str">
        <f t="shared" si="126"/>
        <v>铁铠</v>
      </c>
    </row>
    <row r="319">
      <c r="A319" s="5" t="str">
        <f>CONCATENATE("CATEGORY_",UPPER(Pokemon!B307))</f>
        <v>CATEGORY_AGGRON</v>
      </c>
      <c r="B319" s="5" t="str">
        <f t="shared" ref="B319:J319" si="127">B317</f>
        <v>Iron Armor</v>
      </c>
      <c r="C319" s="5" t="str">
        <f t="shared" si="127"/>
        <v>てつヨロイ</v>
      </c>
      <c r="D319" s="5" t="str">
        <f t="shared" si="127"/>
        <v>Armufer</v>
      </c>
      <c r="E319" s="5" t="str">
        <f t="shared" si="127"/>
        <v>Eisenpanzer</v>
      </c>
      <c r="F319" s="5" t="str">
        <f t="shared" si="127"/>
        <v>Cor. Férrea</v>
      </c>
      <c r="G319" s="5" t="str">
        <f t="shared" si="127"/>
        <v>Corazza</v>
      </c>
      <c r="H319" s="5" t="str">
        <f t="shared" si="127"/>
        <v>철갑옷</v>
      </c>
      <c r="I319" s="5" t="str">
        <f t="shared" si="127"/>
        <v>鐵鎧</v>
      </c>
      <c r="J319" s="5" t="str">
        <f t="shared" si="127"/>
        <v>铁铠</v>
      </c>
    </row>
    <row r="320">
      <c r="A320" s="5" t="str">
        <f>CONCATENATE("CATEGORY_",UPPER(Pokemon!B308))</f>
        <v>CATEGORY_MEDITITE</v>
      </c>
      <c r="B320" s="3" t="str">
        <f>Moves!B97</f>
        <v>Meditate</v>
      </c>
      <c r="C320" s="3" t="s">
        <v>8884</v>
      </c>
      <c r="D320" s="3" t="s">
        <v>8885</v>
      </c>
      <c r="E320" s="3" t="str">
        <f>Moves!E97</f>
        <v>Meditation</v>
      </c>
      <c r="F320" s="3" t="s">
        <v>8886</v>
      </c>
      <c r="G320" s="3" t="str">
        <f>Moves!G97</f>
        <v>Meditazione</v>
      </c>
      <c r="H320" s="3" t="s">
        <v>8887</v>
      </c>
      <c r="I320" s="7" t="s">
        <v>8888</v>
      </c>
      <c r="J320" s="5" t="str">
        <f>I320</f>
        <v>冥想</v>
      </c>
    </row>
    <row r="321">
      <c r="A321" s="5" t="str">
        <f>CONCATENATE("CATEGORY_",UPPER(Pokemon!B309))</f>
        <v>CATEGORY_MEDICHAM</v>
      </c>
      <c r="B321" s="5" t="str">
        <f t="shared" ref="B321:J321" si="128">B320</f>
        <v>Meditate</v>
      </c>
      <c r="C321" s="5" t="str">
        <f t="shared" si="128"/>
        <v>めいそう</v>
      </c>
      <c r="D321" s="5" t="str">
        <f t="shared" si="128"/>
        <v>Méditation</v>
      </c>
      <c r="E321" s="5" t="str">
        <f t="shared" si="128"/>
        <v>Meditation</v>
      </c>
      <c r="F321" s="5" t="str">
        <f t="shared" si="128"/>
        <v>Meditador</v>
      </c>
      <c r="G321" s="5" t="str">
        <f t="shared" si="128"/>
        <v>Meditazione</v>
      </c>
      <c r="H321" s="5" t="str">
        <f t="shared" si="128"/>
        <v>명상</v>
      </c>
      <c r="I321" s="5" t="str">
        <f t="shared" si="128"/>
        <v>冥想</v>
      </c>
      <c r="J321" s="5" t="str">
        <f t="shared" si="128"/>
        <v>冥想</v>
      </c>
    </row>
    <row r="322">
      <c r="A322" s="5" t="str">
        <f>CONCATENATE("CATEGORY_",UPPER(Pokemon!B310))</f>
        <v>CATEGORY_ELECTRIKE</v>
      </c>
      <c r="B322" s="5" t="str">
        <f>B142</f>
        <v>Lightning</v>
      </c>
      <c r="C322" s="3" t="s">
        <v>8889</v>
      </c>
      <c r="D322" s="5" t="str">
        <f>D142</f>
        <v>Orage</v>
      </c>
      <c r="E322" s="3" t="s">
        <v>8890</v>
      </c>
      <c r="F322" s="5" t="s">
        <v>8891</v>
      </c>
      <c r="G322" s="3" t="s">
        <v>8892</v>
      </c>
      <c r="H322" s="3" t="s">
        <v>8893</v>
      </c>
      <c r="I322" s="3" t="s">
        <v>8894</v>
      </c>
      <c r="J322" s="5" t="str">
        <f>IFERROR(__xludf.DUMMYFUNCTION("GOOGLETRANSLATE(I322, ""zh_HANT"",""zh_HANS"")"),"闪电")</f>
        <v>闪电</v>
      </c>
    </row>
    <row r="323">
      <c r="A323" s="5" t="str">
        <f>CONCATENATE("CATEGORY_",UPPER(Pokemon!B311))</f>
        <v>CATEGORY_MANECTRIC</v>
      </c>
      <c r="B323" s="3" t="str">
        <f>Moves!B436</f>
        <v>Discharge</v>
      </c>
      <c r="C323" s="3" t="str">
        <f>Moves!C436</f>
        <v>ほうでん</v>
      </c>
      <c r="D323" s="3" t="s">
        <v>8895</v>
      </c>
      <c r="E323" s="3" t="s">
        <v>8896</v>
      </c>
      <c r="F323" s="3" t="s">
        <v>8897</v>
      </c>
      <c r="G323" s="3" t="s">
        <v>8898</v>
      </c>
      <c r="H323" s="3" t="s">
        <v>8899</v>
      </c>
      <c r="I323" s="3" t="s">
        <v>8900</v>
      </c>
      <c r="J323" s="5" t="str">
        <f>IFERROR(__xludf.DUMMYFUNCTION("GOOGLETRANSLATE(I323, ""zh_HANT"",""zh_HANS"")"),"放电")</f>
        <v>放电</v>
      </c>
    </row>
    <row r="324">
      <c r="A324" s="5" t="str">
        <f>CONCATENATE("CATEGORY_",UPPER(Pokemon!B312))</f>
        <v>CATEGORY_PLUSLE</v>
      </c>
      <c r="B324" s="3" t="s">
        <v>8901</v>
      </c>
      <c r="C324" s="3" t="s">
        <v>8902</v>
      </c>
      <c r="D324" s="3" t="s">
        <v>8903</v>
      </c>
      <c r="E324" s="3" t="s">
        <v>8904</v>
      </c>
      <c r="F324" s="3" t="s">
        <v>8905</v>
      </c>
      <c r="G324" s="3" t="s">
        <v>8906</v>
      </c>
      <c r="H324" s="3" t="s">
        <v>8907</v>
      </c>
      <c r="I324" s="3" t="s">
        <v>8908</v>
      </c>
      <c r="J324" s="5" t="str">
        <f>I324</f>
        <v>加油</v>
      </c>
    </row>
    <row r="325">
      <c r="A325" s="5" t="str">
        <f>CONCATENATE("CATEGORY_",UPPER(Pokemon!B313))</f>
        <v>CATEGORY_MINUM</v>
      </c>
      <c r="B325" s="5" t="str">
        <f t="shared" ref="B325:J325" si="129">B324</f>
        <v>Cheering</v>
      </c>
      <c r="C325" s="5" t="str">
        <f t="shared" si="129"/>
        <v>おうえん</v>
      </c>
      <c r="D325" s="5" t="str">
        <f t="shared" si="129"/>
        <v>Acclameur</v>
      </c>
      <c r="E325" s="5" t="str">
        <f t="shared" si="129"/>
        <v>Jubel</v>
      </c>
      <c r="F325" s="5" t="str">
        <f t="shared" si="129"/>
        <v>Ánimo</v>
      </c>
      <c r="G325" s="5" t="str">
        <f t="shared" si="129"/>
        <v>Incitamento</v>
      </c>
      <c r="H325" s="5" t="str">
        <f t="shared" si="129"/>
        <v>응원</v>
      </c>
      <c r="I325" s="5" t="str">
        <f t="shared" si="129"/>
        <v>加油</v>
      </c>
      <c r="J325" s="5" t="str">
        <f t="shared" si="129"/>
        <v>加油</v>
      </c>
    </row>
    <row r="326">
      <c r="A326" s="5" t="str">
        <f>CONCATENATE("CATEGORY_",UPPER(Pokemon!B314))</f>
        <v>CATEGORY_VOLBEAT</v>
      </c>
      <c r="B326" s="3" t="s">
        <v>8909</v>
      </c>
      <c r="C326" s="3" t="s">
        <v>8910</v>
      </c>
      <c r="D326" s="3" t="s">
        <v>8911</v>
      </c>
      <c r="E326" s="3" t="s">
        <v>8258</v>
      </c>
      <c r="F326" s="3" t="s">
        <v>8912</v>
      </c>
      <c r="G326" s="3" t="s">
        <v>8913</v>
      </c>
      <c r="H326" s="3" t="s">
        <v>8914</v>
      </c>
      <c r="I326" s="3" t="s">
        <v>8915</v>
      </c>
      <c r="J326" s="5" t="str">
        <f>IFERROR(__xludf.DUMMYFUNCTION("GOOGLETRANSLATE(I326, ""zh_HANT"",""zh_HANS"")"),"萤火虫")</f>
        <v>萤火虫</v>
      </c>
    </row>
    <row r="327">
      <c r="A327" s="5" t="str">
        <f>CONCATENATE("CATEGORY_",UPPER(Pokemon!B315))</f>
        <v>CATEGORY_ILLUMISE</v>
      </c>
      <c r="B327" s="5" t="str">
        <f t="shared" ref="B327:J327" si="130">B326</f>
        <v>Firefly</v>
      </c>
      <c r="C327" s="5" t="str">
        <f t="shared" si="130"/>
        <v>ほたる</v>
      </c>
      <c r="D327" s="5" t="str">
        <f t="shared" si="130"/>
        <v>Luciole</v>
      </c>
      <c r="E327" s="5" t="str">
        <f t="shared" si="130"/>
        <v>Libelle</v>
      </c>
      <c r="F327" s="5" t="str">
        <f t="shared" si="130"/>
        <v>Luciérnaga</v>
      </c>
      <c r="G327" s="5" t="str">
        <f t="shared" si="130"/>
        <v>Lucciola</v>
      </c>
      <c r="H327" s="5" t="str">
        <f t="shared" si="130"/>
        <v>반딧불</v>
      </c>
      <c r="I327" s="5" t="str">
        <f t="shared" si="130"/>
        <v>螢火蟲</v>
      </c>
      <c r="J327" s="5" t="str">
        <f t="shared" si="130"/>
        <v>萤火虫</v>
      </c>
    </row>
    <row r="328">
      <c r="A328" s="5" t="str">
        <f>CONCATENATE("CATEGORY_",UPPER(Pokemon!B316))</f>
        <v>CATEGORY_ROSELIA</v>
      </c>
      <c r="B328" s="3" t="s">
        <v>8916</v>
      </c>
      <c r="C328" s="3" t="s">
        <v>8917</v>
      </c>
      <c r="D328" s="3" t="s">
        <v>8918</v>
      </c>
      <c r="E328" s="3" t="s">
        <v>8919</v>
      </c>
      <c r="F328" s="3" t="s">
        <v>8920</v>
      </c>
      <c r="G328" s="3" t="s">
        <v>8921</v>
      </c>
      <c r="H328" s="3" t="s">
        <v>8922</v>
      </c>
      <c r="I328" s="3" t="s">
        <v>8923</v>
      </c>
      <c r="J328" s="5" t="str">
        <f>IFERROR(__xludf.DUMMYFUNCTION("GOOGLETRANSLATE(I328, ""zh_HANT"",""zh_HANS"")"),"荆棘")</f>
        <v>荆棘</v>
      </c>
    </row>
    <row r="329">
      <c r="A329" s="5" t="str">
        <f>CONCATENATE("CATEGORY_",UPPER(Pokemon!B317))</f>
        <v>CATEGORY_GULPIN</v>
      </c>
      <c r="B329" s="3" t="s">
        <v>8924</v>
      </c>
      <c r="C329" s="3" t="s">
        <v>8925</v>
      </c>
      <c r="D329" s="3" t="s">
        <v>8926</v>
      </c>
      <c r="E329" s="3" t="s">
        <v>8927</v>
      </c>
      <c r="F329" s="3" t="s">
        <v>8928</v>
      </c>
      <c r="G329" s="3" t="s">
        <v>8929</v>
      </c>
      <c r="H329" s="3" t="s">
        <v>8930</v>
      </c>
      <c r="I329" s="3" t="s">
        <v>8931</v>
      </c>
      <c r="J329" s="5" t="str">
        <f t="shared" ref="J329:J332" si="131">I329</f>
        <v>胃袋</v>
      </c>
    </row>
    <row r="330">
      <c r="A330" s="5" t="str">
        <f>CONCATENATE("CATEGORY_",UPPER(Pokemon!B318))</f>
        <v>CATEGORY_SWALOT</v>
      </c>
      <c r="B330" s="3" t="s">
        <v>8932</v>
      </c>
      <c r="C330" s="3" t="s">
        <v>8933</v>
      </c>
      <c r="D330" s="3" t="s">
        <v>8934</v>
      </c>
      <c r="E330" s="3" t="s">
        <v>8935</v>
      </c>
      <c r="F330" s="3" t="s">
        <v>8936</v>
      </c>
      <c r="G330" s="3" t="s">
        <v>8937</v>
      </c>
      <c r="H330" s="3" t="s">
        <v>8938</v>
      </c>
      <c r="I330" s="3" t="s">
        <v>8939</v>
      </c>
      <c r="J330" s="5" t="str">
        <f t="shared" si="131"/>
        <v>毒袋</v>
      </c>
    </row>
    <row r="331">
      <c r="A331" s="5" t="str">
        <f>CONCATENATE("CATEGORY_",UPPER(Pokemon!B319))</f>
        <v>CATEGORY_CARVANHA</v>
      </c>
      <c r="B331" s="3" t="s">
        <v>8940</v>
      </c>
      <c r="C331" s="3" t="s">
        <v>8941</v>
      </c>
      <c r="D331" s="3" t="s">
        <v>8942</v>
      </c>
      <c r="E331" s="3" t="s">
        <v>8943</v>
      </c>
      <c r="F331" s="3" t="s">
        <v>8944</v>
      </c>
      <c r="G331" s="3" t="s">
        <v>8945</v>
      </c>
      <c r="H331" s="3" t="s">
        <v>8946</v>
      </c>
      <c r="I331" s="3" t="s">
        <v>8947</v>
      </c>
      <c r="J331" s="5" t="str">
        <f t="shared" si="131"/>
        <v>凶猛</v>
      </c>
    </row>
    <row r="332">
      <c r="A332" s="5" t="str">
        <f>CONCATENATE("CATEGORY_",UPPER(Pokemon!B320))</f>
        <v>CATEGORY_SHARPEDO</v>
      </c>
      <c r="B332" s="3" t="s">
        <v>8948</v>
      </c>
      <c r="C332" s="3" t="s">
        <v>8949</v>
      </c>
      <c r="D332" s="3" t="s">
        <v>8948</v>
      </c>
      <c r="E332" s="5" t="str">
        <f>B332</f>
        <v>Brutal</v>
      </c>
      <c r="F332" s="3" t="s">
        <v>8950</v>
      </c>
      <c r="G332" s="5" t="str">
        <f>CONCATENATE(B332,"e")</f>
        <v>Brutale</v>
      </c>
      <c r="H332" s="7" t="s">
        <v>8951</v>
      </c>
      <c r="I332" s="3" t="s">
        <v>8952</v>
      </c>
      <c r="J332" s="5" t="str">
        <f t="shared" si="131"/>
        <v>凶暴</v>
      </c>
    </row>
    <row r="333">
      <c r="A333" s="5" t="str">
        <f>CONCATENATE("CATEGORY_",UPPER(Pokemon!B321))</f>
        <v>CATEGORY_WAILMER</v>
      </c>
      <c r="B333" s="3" t="s">
        <v>8953</v>
      </c>
      <c r="C333" s="3" t="s">
        <v>8954</v>
      </c>
      <c r="D333" s="3" t="s">
        <v>8955</v>
      </c>
      <c r="E333" s="3" t="s">
        <v>8956</v>
      </c>
      <c r="F333" s="3" t="s">
        <v>8957</v>
      </c>
      <c r="G333" s="3" t="s">
        <v>8958</v>
      </c>
      <c r="H333" s="3" t="s">
        <v>8959</v>
      </c>
      <c r="I333" s="3" t="s">
        <v>8960</v>
      </c>
      <c r="J333" s="5" t="str">
        <f>IFERROR(__xludf.DUMMYFUNCTION("GOOGLETRANSLATE(I333, ""zh_HANT"",""zh_HANS"")"),"球鲸")</f>
        <v>球鲸</v>
      </c>
    </row>
    <row r="334">
      <c r="A334" s="5" t="str">
        <f>CONCATENATE("CATEGORY_",UPPER(Pokemon!B322))</f>
        <v>CATEGORY_WAILORD</v>
      </c>
      <c r="B334" s="3" t="s">
        <v>8961</v>
      </c>
      <c r="C334" s="3" t="s">
        <v>8962</v>
      </c>
      <c r="D334" s="3" t="s">
        <v>8963</v>
      </c>
      <c r="E334" s="3" t="s">
        <v>8964</v>
      </c>
      <c r="F334" s="3" t="s">
        <v>8965</v>
      </c>
      <c r="G334" s="3" t="s">
        <v>8966</v>
      </c>
      <c r="H334" s="3" t="s">
        <v>8967</v>
      </c>
      <c r="I334" s="3" t="s">
        <v>8968</v>
      </c>
      <c r="J334" s="5" t="str">
        <f>IFERROR(__xludf.DUMMYFUNCTION("GOOGLETRANSLATE(I334, ""zh_HANT"",""zh_HANS"")"),"浮鲸")</f>
        <v>浮鲸</v>
      </c>
    </row>
    <row r="335">
      <c r="A335" s="5" t="str">
        <f>CONCATENATE("CATEGORY_",UPPER(Pokemon!B323))</f>
        <v>CATEGORY_NUMEL</v>
      </c>
      <c r="B335" s="3" t="s">
        <v>8969</v>
      </c>
      <c r="C335" s="3" t="s">
        <v>8970</v>
      </c>
      <c r="D335" s="3" t="s">
        <v>8971</v>
      </c>
      <c r="E335" s="3" t="s">
        <v>8972</v>
      </c>
      <c r="F335" s="3" t="s">
        <v>8973</v>
      </c>
      <c r="G335" s="3" t="s">
        <v>8974</v>
      </c>
      <c r="H335" s="3" t="s">
        <v>8975</v>
      </c>
      <c r="I335" s="3" t="s">
        <v>8976</v>
      </c>
      <c r="J335" s="5" t="str">
        <f>IFERROR(__xludf.DUMMYFUNCTION("GOOGLETRANSLATE(I335, ""zh_HANT"",""zh_HANS"")"),"迟钝")</f>
        <v>迟钝</v>
      </c>
    </row>
    <row r="336">
      <c r="A336" s="5" t="str">
        <f>CONCATENATE("CATEGORY_",UPPER(Pokemon!B324))</f>
        <v>CATEGORY_CAMERUPT</v>
      </c>
      <c r="B336" s="3" t="str">
        <f>Moves!B285</f>
        <v>Eruption</v>
      </c>
      <c r="C336" s="3" t="str">
        <f>Moves!C285</f>
        <v>ふんか</v>
      </c>
      <c r="D336" s="3" t="str">
        <f>Moves!D285</f>
        <v>Éruption</v>
      </c>
      <c r="E336" s="3" t="s">
        <v>8977</v>
      </c>
      <c r="F336" s="3" t="s">
        <v>8978</v>
      </c>
      <c r="G336" s="3" t="str">
        <f>Moves!G285</f>
        <v>Eruzione</v>
      </c>
      <c r="H336" s="3" t="str">
        <f>Moves!H285</f>
        <v>분화</v>
      </c>
      <c r="I336" s="3" t="str">
        <f>Moves!I285</f>
        <v>噴火</v>
      </c>
      <c r="J336" s="3" t="str">
        <f>Moves!J285</f>
        <v>喷火</v>
      </c>
    </row>
    <row r="337">
      <c r="A337" s="5" t="str">
        <f>CONCATENATE("CATEGORY_",UPPER(Pokemon!B325))</f>
        <v>CATEGORY_TORKOAL</v>
      </c>
      <c r="B337" s="3" t="s">
        <v>8979</v>
      </c>
      <c r="C337" s="3" t="s">
        <v>8980</v>
      </c>
      <c r="D337" s="3" t="s">
        <v>8527</v>
      </c>
      <c r="E337" s="3" t="s">
        <v>8981</v>
      </c>
      <c r="F337" s="3" t="s">
        <v>8982</v>
      </c>
      <c r="G337" s="3" t="s">
        <v>8983</v>
      </c>
      <c r="H337" s="3" t="s">
        <v>8984</v>
      </c>
      <c r="I337" s="3" t="s">
        <v>8985</v>
      </c>
      <c r="J337" s="5" t="str">
        <f>I337</f>
        <v>煤炭</v>
      </c>
    </row>
    <row r="338">
      <c r="A338" s="5" t="str">
        <f>CONCATENATE("CATEGORY_",UPPER(Pokemon!B326))</f>
        <v>CATEGORY_SPOINK</v>
      </c>
      <c r="B338" s="3" t="str">
        <f>Moves!B341</f>
        <v>Bounce</v>
      </c>
      <c r="C338" s="3" t="s">
        <v>8986</v>
      </c>
      <c r="D338" s="3" t="str">
        <f>Moves!D341</f>
        <v>Rebond</v>
      </c>
      <c r="E338" s="3" t="str">
        <f>Moves!E341</f>
        <v>Sprungfeder</v>
      </c>
      <c r="F338" s="3" t="s">
        <v>8987</v>
      </c>
      <c r="G338" s="3" t="s">
        <v>8988</v>
      </c>
      <c r="H338" s="3" t="s">
        <v>8989</v>
      </c>
      <c r="I338" s="3" t="str">
        <f>Moves!I341</f>
        <v>彈跳</v>
      </c>
      <c r="J338" s="3" t="str">
        <f>Moves!J341</f>
        <v>弹跳</v>
      </c>
    </row>
    <row r="339">
      <c r="A339" s="5" t="str">
        <f>CONCATENATE("CATEGORY_",UPPER(Pokemon!B327))</f>
        <v>CATEGORY_GRUMPIG</v>
      </c>
      <c r="B339" s="3" t="s">
        <v>8990</v>
      </c>
      <c r="C339" s="3" t="s">
        <v>8991</v>
      </c>
      <c r="D339" s="3" t="s">
        <v>8992</v>
      </c>
      <c r="E339" s="3" t="s">
        <v>8993</v>
      </c>
      <c r="F339" s="3" t="s">
        <v>8994</v>
      </c>
      <c r="G339" s="3" t="s">
        <v>8995</v>
      </c>
      <c r="H339" s="3" t="s">
        <v>8996</v>
      </c>
      <c r="I339" s="3" t="s">
        <v>8997</v>
      </c>
      <c r="J339" s="5" t="str">
        <f>IFERROR(__xludf.DUMMYFUNCTION("GOOGLETRANSLATE(I339, ""zh_HANT"",""zh_HANS"")"),"操纵")</f>
        <v>操纵</v>
      </c>
    </row>
    <row r="340">
      <c r="A340" s="5" t="str">
        <f>CONCATENATE("CATEGORY_",UPPER(Pokemon!B328))</f>
        <v>CATEGORY_SPINDA</v>
      </c>
      <c r="B340" s="3" t="s">
        <v>8998</v>
      </c>
      <c r="C340" s="3" t="s">
        <v>8999</v>
      </c>
      <c r="D340" s="3" t="s">
        <v>9000</v>
      </c>
      <c r="E340" s="3" t="s">
        <v>9001</v>
      </c>
      <c r="F340" s="3" t="s">
        <v>9002</v>
      </c>
      <c r="G340" s="3" t="s">
        <v>9003</v>
      </c>
      <c r="H340" s="3" t="s">
        <v>9004</v>
      </c>
      <c r="I340" s="3" t="s">
        <v>9005</v>
      </c>
      <c r="J340" s="5" t="str">
        <f>IFERROR(__xludf.DUMMYFUNCTION("GOOGLETRANSLATE(I340, ""zh_HANT"",""zh_HANS"")"),"斑点熊猫")</f>
        <v>斑点熊猫</v>
      </c>
    </row>
    <row r="341">
      <c r="A341" s="5" t="str">
        <f>CONCATENATE("CATEGORY_",UPPER(Pokemon!B329))</f>
        <v>CATEGORY_TRAPINCH</v>
      </c>
      <c r="B341" s="3" t="s">
        <v>9006</v>
      </c>
      <c r="C341" s="3" t="s">
        <v>9007</v>
      </c>
      <c r="D341" s="3" t="s">
        <v>9008</v>
      </c>
      <c r="E341" s="3" t="s">
        <v>9009</v>
      </c>
      <c r="F341" s="3" t="s">
        <v>9010</v>
      </c>
      <c r="G341" s="3" t="s">
        <v>9011</v>
      </c>
      <c r="H341" s="3" t="s">
        <v>9012</v>
      </c>
      <c r="I341" s="3" t="s">
        <v>9013</v>
      </c>
      <c r="J341" s="5" t="str">
        <f>IFERROR(__xludf.DUMMYFUNCTION("GOOGLETRANSLATE(I341, ""zh_HANT"",""zh_HANS"")"),"蚁狮")</f>
        <v>蚁狮</v>
      </c>
    </row>
    <row r="342">
      <c r="A342" s="5" t="str">
        <f>CONCATENATE("CATEGORY_",UPPER(Pokemon!B330))</f>
        <v>CATEGORY_VIBRAVA</v>
      </c>
      <c r="B342" s="3" t="s">
        <v>9014</v>
      </c>
      <c r="C342" s="3" t="s">
        <v>9015</v>
      </c>
      <c r="D342" s="3" t="str">
        <f>B342</f>
        <v>Vibration</v>
      </c>
      <c r="E342" s="5" t="str">
        <f>B342</f>
        <v>Vibration</v>
      </c>
      <c r="F342" s="3" t="s">
        <v>9016</v>
      </c>
      <c r="G342" s="3" t="s">
        <v>9017</v>
      </c>
      <c r="H342" s="3" t="s">
        <v>9018</v>
      </c>
      <c r="I342" s="3" t="s">
        <v>9019</v>
      </c>
      <c r="J342" s="5" t="str">
        <f>IFERROR(__xludf.DUMMYFUNCTION("GOOGLETRANSLATE(I342, ""zh_HANT"",""zh_HANS"")"),"震动")</f>
        <v>震动</v>
      </c>
    </row>
    <row r="343">
      <c r="A343" s="5" t="str">
        <f>CONCATENATE("CATEGORY_",UPPER(Pokemon!B331))</f>
        <v>CATEGORY_FLYGON</v>
      </c>
      <c r="B343" s="5" t="str">
        <f t="shared" ref="B343:K343" si="132">B189</f>
        <v>Mystic</v>
      </c>
      <c r="C343" s="5" t="str">
        <f t="shared" si="132"/>
        <v>せいれい</v>
      </c>
      <c r="D343" s="5" t="str">
        <f t="shared" si="132"/>
        <v>Mystique</v>
      </c>
      <c r="E343" s="5" t="str">
        <f t="shared" si="132"/>
        <v>Mystik</v>
      </c>
      <c r="F343" s="5" t="str">
        <f t="shared" si="132"/>
        <v>Místico</v>
      </c>
      <c r="G343" s="5" t="str">
        <f t="shared" si="132"/>
        <v>Magico</v>
      </c>
      <c r="H343" s="5" t="str">
        <f t="shared" si="132"/>
        <v>정령</v>
      </c>
      <c r="I343" s="5" t="str">
        <f t="shared" si="132"/>
        <v>神秘</v>
      </c>
      <c r="J343" s="5" t="str">
        <f t="shared" si="132"/>
        <v>神秘</v>
      </c>
      <c r="K343" s="5" t="str">
        <f t="shared" si="132"/>
        <v/>
      </c>
    </row>
    <row r="344">
      <c r="A344" s="5" t="str">
        <f>CONCATENATE("CATEGORY_",UPPER(Pokemon!B332))</f>
        <v>CATEGORY_CACNEA</v>
      </c>
      <c r="B344" s="3" t="s">
        <v>9020</v>
      </c>
      <c r="C344" s="3" t="s">
        <v>9021</v>
      </c>
      <c r="D344" s="3" t="s">
        <v>9020</v>
      </c>
      <c r="E344" s="3" t="s">
        <v>9022</v>
      </c>
      <c r="F344" s="5" t="str">
        <f>B344</f>
        <v>Cactus</v>
      </c>
      <c r="G344" s="5" t="str">
        <f>B344</f>
        <v>Cactus</v>
      </c>
      <c r="H344" s="3" t="s">
        <v>9023</v>
      </c>
      <c r="I344" s="3" t="s">
        <v>9024</v>
      </c>
      <c r="J344" s="5" t="str">
        <f t="shared" ref="J344:J345" si="133">I344</f>
        <v>仙人掌</v>
      </c>
    </row>
    <row r="345">
      <c r="A345" s="5" t="str">
        <f>CONCATENATE("CATEGORY_",UPPER(Pokemon!B333))</f>
        <v>CATEGORY_CACTURNE</v>
      </c>
      <c r="B345" s="3" t="s">
        <v>9025</v>
      </c>
      <c r="C345" s="3" t="s">
        <v>9026</v>
      </c>
      <c r="D345" s="3" t="s">
        <v>9027</v>
      </c>
      <c r="E345" s="3" t="s">
        <v>9028</v>
      </c>
      <c r="F345" s="3" t="s">
        <v>9029</v>
      </c>
      <c r="G345" s="3" t="s">
        <v>9030</v>
      </c>
      <c r="H345" s="3" t="s">
        <v>9031</v>
      </c>
      <c r="I345" s="3" t="s">
        <v>9032</v>
      </c>
      <c r="J345" s="5" t="str">
        <f t="shared" si="133"/>
        <v>稻草人</v>
      </c>
    </row>
    <row r="346">
      <c r="A346" s="5" t="str">
        <f>CONCATENATE("CATEGORY_",UPPER(Pokemon!B334))</f>
        <v>CATEGORY_SWABLU</v>
      </c>
      <c r="B346" s="3" t="s">
        <v>9033</v>
      </c>
      <c r="C346" s="3" t="s">
        <v>9034</v>
      </c>
      <c r="D346" s="3" t="s">
        <v>9035</v>
      </c>
      <c r="E346" s="3" t="s">
        <v>9036</v>
      </c>
      <c r="F346" s="3" t="s">
        <v>9037</v>
      </c>
      <c r="G346" s="3" t="s">
        <v>9038</v>
      </c>
      <c r="H346" s="3" t="s">
        <v>9039</v>
      </c>
      <c r="I346" s="3" t="s">
        <v>9040</v>
      </c>
      <c r="J346" s="5" t="str">
        <f>IFERROR(__xludf.DUMMYFUNCTION("GOOGLETRANSLATE(I346, ""zh_HANT"",""zh_HANS"")"),"绵鸟")</f>
        <v>绵鸟</v>
      </c>
    </row>
    <row r="347">
      <c r="A347" s="5" t="str">
        <f>CONCATENATE("CATEGORY_",UPPER(Pokemon!B335))</f>
        <v>CATEGORY_ALTARIA</v>
      </c>
      <c r="B347" s="3" t="s">
        <v>9041</v>
      </c>
      <c r="C347" s="3" t="s">
        <v>9042</v>
      </c>
      <c r="D347" s="3" t="s">
        <v>9043</v>
      </c>
      <c r="E347" s="3" t="s">
        <v>9044</v>
      </c>
      <c r="F347" s="3" t="s">
        <v>9045</v>
      </c>
      <c r="G347" s="3" t="s">
        <v>9046</v>
      </c>
      <c r="H347" s="3" t="s">
        <v>9047</v>
      </c>
      <c r="I347" s="3" t="s">
        <v>9048</v>
      </c>
      <c r="J347" s="5" t="str">
        <f>I347</f>
        <v>哼唱</v>
      </c>
    </row>
    <row r="348">
      <c r="A348" s="5" t="str">
        <f>CONCATENATE("CATEGORY_",UPPER(Pokemon!B336))</f>
        <v>CATEGORY_ZANGOOSE</v>
      </c>
      <c r="B348" s="3" t="s">
        <v>9049</v>
      </c>
      <c r="C348" s="3" t="s">
        <v>9050</v>
      </c>
      <c r="D348" s="3" t="s">
        <v>9051</v>
      </c>
      <c r="E348" s="3" t="s">
        <v>9052</v>
      </c>
      <c r="F348" s="3" t="s">
        <v>9053</v>
      </c>
      <c r="G348" s="3" t="s">
        <v>9054</v>
      </c>
      <c r="H348" s="3" t="s">
        <v>9055</v>
      </c>
      <c r="I348" s="3" t="s">
        <v>9056</v>
      </c>
      <c r="J348" s="5" t="str">
        <f>IFERROR(__xludf.DUMMYFUNCTION("GOOGLETRANSLATE(I348, ""zh_HANT"",""zh_HANS"")"),"猫鼬")</f>
        <v>猫鼬</v>
      </c>
    </row>
    <row r="349">
      <c r="A349" s="5" t="str">
        <f>CONCATENATE("CATEGORY_",UPPER(Pokemon!B337))</f>
        <v>CATEGORY_SEVIPER</v>
      </c>
      <c r="B349" s="3" t="s">
        <v>9057</v>
      </c>
      <c r="C349" s="3" t="s">
        <v>9058</v>
      </c>
      <c r="D349" s="3" t="s">
        <v>9059</v>
      </c>
      <c r="E349" s="3" t="s">
        <v>9060</v>
      </c>
      <c r="F349" s="3" t="s">
        <v>9061</v>
      </c>
      <c r="G349" s="3" t="s">
        <v>9062</v>
      </c>
      <c r="H349" s="3" t="s">
        <v>9063</v>
      </c>
      <c r="I349" s="3" t="s">
        <v>9064</v>
      </c>
      <c r="J349" s="5" t="str">
        <f>I349</f>
        <v>牙蛇</v>
      </c>
    </row>
    <row r="350">
      <c r="A350" s="5" t="str">
        <f>CONCATENATE("CATEGORY_",UPPER(Pokemon!B338))</f>
        <v>CATEGORY_LUNATONE</v>
      </c>
      <c r="B350" s="3" t="s">
        <v>9065</v>
      </c>
      <c r="C350" s="3" t="s">
        <v>9066</v>
      </c>
      <c r="D350" s="3" t="s">
        <v>9067</v>
      </c>
      <c r="E350" s="3" t="s">
        <v>9068</v>
      </c>
      <c r="F350" s="3" t="s">
        <v>9069</v>
      </c>
      <c r="G350" s="5" t="str">
        <f>B350</f>
        <v>Meteorite</v>
      </c>
      <c r="H350" s="3" t="s">
        <v>9070</v>
      </c>
      <c r="I350" s="3" t="s">
        <v>9071</v>
      </c>
      <c r="J350" s="5" t="str">
        <f>IFERROR(__xludf.DUMMYFUNCTION("GOOGLETRANSLATE(I350, ""zh_HANT"",""zh_HANS"")"),"陨石")</f>
        <v>陨石</v>
      </c>
    </row>
    <row r="351">
      <c r="A351" s="5" t="str">
        <f>CONCATENATE("CATEGORY_",UPPER(Pokemon!B339))</f>
        <v>CATEGORY_SOLROCK</v>
      </c>
      <c r="B351" s="5" t="str">
        <f t="shared" ref="B351:J351" si="134">B350</f>
        <v>Meteorite</v>
      </c>
      <c r="C351" s="5" t="str">
        <f t="shared" si="134"/>
        <v>いんせき</v>
      </c>
      <c r="D351" s="5" t="str">
        <f t="shared" si="134"/>
        <v>Météorite</v>
      </c>
      <c r="E351" s="5" t="str">
        <f t="shared" si="134"/>
        <v>Meterorit</v>
      </c>
      <c r="F351" s="5" t="str">
        <f t="shared" si="134"/>
        <v>Meteorito</v>
      </c>
      <c r="G351" s="5" t="str">
        <f t="shared" si="134"/>
        <v>Meteorite</v>
      </c>
      <c r="H351" s="5" t="str">
        <f t="shared" si="134"/>
        <v>별똥별</v>
      </c>
      <c r="I351" s="5" t="str">
        <f t="shared" si="134"/>
        <v>隕石</v>
      </c>
      <c r="J351" s="5" t="str">
        <f t="shared" si="134"/>
        <v>陨石</v>
      </c>
    </row>
    <row r="352">
      <c r="A352" s="5" t="str">
        <f>CONCATENATE("CATEGORY_",UPPER(Pokemon!B340))</f>
        <v>CATEGORY_BARBOACH</v>
      </c>
      <c r="B352" s="3" t="s">
        <v>9072</v>
      </c>
      <c r="C352" s="3" t="s">
        <v>9073</v>
      </c>
      <c r="D352" s="3" t="s">
        <v>9074</v>
      </c>
      <c r="E352" s="3" t="s">
        <v>9075</v>
      </c>
      <c r="F352" s="3" t="s">
        <v>9076</v>
      </c>
      <c r="G352" s="3" t="s">
        <v>9077</v>
      </c>
      <c r="H352" s="3" t="s">
        <v>9078</v>
      </c>
      <c r="I352" s="3" t="s">
        <v>9079</v>
      </c>
      <c r="J352" s="5" t="str">
        <f>IFERROR(__xludf.DUMMYFUNCTION("GOOGLETRANSLATE(I352, ""zh_HANT"",""zh_HANS"")"),"须鱼")</f>
        <v>须鱼</v>
      </c>
    </row>
    <row r="353">
      <c r="A353" s="5" t="str">
        <f>CONCATENATE("CATEGORY_",UPPER(Pokemon!B341))</f>
        <v>CATEGORY_WHISCASH</v>
      </c>
      <c r="B353" s="5" t="str">
        <f t="shared" ref="B353:J353" si="135">B352</f>
        <v>Whiskers</v>
      </c>
      <c r="C353" s="5" t="str">
        <f t="shared" si="135"/>
        <v>ひげうお</v>
      </c>
      <c r="D353" s="5" t="str">
        <f t="shared" si="135"/>
        <v>Barbillon</v>
      </c>
      <c r="E353" s="5" t="str">
        <f t="shared" si="135"/>
        <v>Barthaar</v>
      </c>
      <c r="F353" s="5" t="str">
        <f t="shared" si="135"/>
        <v>Bigotudo</v>
      </c>
      <c r="G353" s="5" t="str">
        <f t="shared" si="135"/>
        <v>Baffetti</v>
      </c>
      <c r="H353" s="5" t="str">
        <f t="shared" si="135"/>
        <v>수염물고기</v>
      </c>
      <c r="I353" s="5" t="str">
        <f t="shared" si="135"/>
        <v>鬚魚</v>
      </c>
      <c r="J353" s="5" t="str">
        <f t="shared" si="135"/>
        <v>须鱼</v>
      </c>
    </row>
    <row r="354">
      <c r="A354" s="5" t="str">
        <f>CONCATENATE("CATEGORY_",UPPER(Pokemon!B342))</f>
        <v>CATEGORY_CORPHISH</v>
      </c>
      <c r="B354" s="3" t="s">
        <v>9080</v>
      </c>
      <c r="C354" s="3" t="s">
        <v>9081</v>
      </c>
      <c r="D354" s="3" t="s">
        <v>9082</v>
      </c>
      <c r="E354" s="3" t="s">
        <v>9083</v>
      </c>
      <c r="F354" s="3" t="s">
        <v>9084</v>
      </c>
      <c r="G354" s="3" t="s">
        <v>9085</v>
      </c>
      <c r="H354" s="3" t="s">
        <v>9086</v>
      </c>
      <c r="I354" s="3" t="s">
        <v>9087</v>
      </c>
      <c r="J354" s="5" t="str">
        <f>IFERROR(__xludf.DUMMYFUNCTION("GOOGLETRANSLATE(I354, ""zh_HANT"",""zh_HANS"")"),"无赖")</f>
        <v>无赖</v>
      </c>
    </row>
    <row r="355">
      <c r="A355" s="5" t="str">
        <f>CONCATENATE("CATEGORY_",UPPER(Pokemon!B343))</f>
        <v>CATEGORY_CRAWDAUNT</v>
      </c>
      <c r="B355" s="3" t="s">
        <v>9088</v>
      </c>
      <c r="C355" s="3" t="s">
        <v>9089</v>
      </c>
      <c r="D355" s="3" t="s">
        <v>9090</v>
      </c>
      <c r="E355" s="3" t="s">
        <v>9091</v>
      </c>
      <c r="F355" s="3" t="s">
        <v>9092</v>
      </c>
      <c r="G355" s="3" t="s">
        <v>9093</v>
      </c>
      <c r="H355" s="3" t="s">
        <v>9094</v>
      </c>
      <c r="I355" s="3" t="s">
        <v>9095</v>
      </c>
      <c r="J355" s="5" t="str">
        <f t="shared" ref="J355:J356" si="136">I355</f>
        <v>流氓</v>
      </c>
    </row>
    <row r="356">
      <c r="A356" s="5" t="str">
        <f>CONCATENATE("CATEGORY_",UPPER(Pokemon!B344))</f>
        <v>CATEGORY_BALTOY</v>
      </c>
      <c r="B356" s="3" t="s">
        <v>9096</v>
      </c>
      <c r="C356" s="3" t="s">
        <v>9097</v>
      </c>
      <c r="D356" s="3" t="s">
        <v>9098</v>
      </c>
      <c r="E356" s="3" t="s">
        <v>9099</v>
      </c>
      <c r="F356" s="3" t="s">
        <v>9100</v>
      </c>
      <c r="G356" s="3" t="s">
        <v>9101</v>
      </c>
      <c r="H356" s="3" t="s">
        <v>9102</v>
      </c>
      <c r="I356" s="3" t="s">
        <v>9103</v>
      </c>
      <c r="J356" s="5" t="str">
        <f t="shared" si="136"/>
        <v>泥偶</v>
      </c>
    </row>
    <row r="357">
      <c r="A357" s="5" t="str">
        <f>CONCATENATE("CATEGORY_",UPPER(Pokemon!B345))</f>
        <v>CATEGORY_CLAYDOL</v>
      </c>
      <c r="B357" s="5" t="str">
        <f t="shared" ref="B357:J357" si="137">B356</f>
        <v>Clay Doll</v>
      </c>
      <c r="C357" s="5" t="str">
        <f t="shared" si="137"/>
        <v>どぐう</v>
      </c>
      <c r="D357" s="5" t="str">
        <f t="shared" si="137"/>
        <v>Poupargile</v>
      </c>
      <c r="E357" s="5" t="str">
        <f t="shared" si="137"/>
        <v>Lehmpuppe</v>
      </c>
      <c r="F357" s="5" t="str">
        <f t="shared" si="137"/>
        <v>Muñeca Barro</v>
      </c>
      <c r="G357" s="5" t="str">
        <f t="shared" si="137"/>
        <v>Argilla</v>
      </c>
      <c r="H357" s="5" t="str">
        <f t="shared" si="137"/>
        <v>토우</v>
      </c>
      <c r="I357" s="5" t="str">
        <f t="shared" si="137"/>
        <v>泥偶</v>
      </c>
      <c r="J357" s="5" t="str">
        <f t="shared" si="137"/>
        <v>泥偶</v>
      </c>
    </row>
    <row r="358">
      <c r="A358" s="5" t="str">
        <f>CONCATENATE("CATEGORY_",UPPER(Pokemon!B346))</f>
        <v>CATEGORY_LILEEP</v>
      </c>
      <c r="B358" s="3" t="s">
        <v>9104</v>
      </c>
      <c r="C358" s="3" t="s">
        <v>9105</v>
      </c>
      <c r="D358" s="3" t="s">
        <v>9106</v>
      </c>
      <c r="E358" s="3" t="s">
        <v>9107</v>
      </c>
      <c r="F358" s="3" t="s">
        <v>9108</v>
      </c>
      <c r="G358" s="3" t="s">
        <v>9109</v>
      </c>
      <c r="H358" s="3" t="s">
        <v>9110</v>
      </c>
      <c r="I358" s="3" t="s">
        <v>9111</v>
      </c>
      <c r="J358" s="5" t="str">
        <f>I358</f>
        <v>海百合</v>
      </c>
    </row>
    <row r="359">
      <c r="A359" s="5" t="str">
        <f>CONCATENATE("CATEGORY_",UPPER(Pokemon!B347))</f>
        <v>CATEGORY_CRADILY</v>
      </c>
      <c r="B359" s="3" t="s">
        <v>9112</v>
      </c>
      <c r="C359" s="3" t="s">
        <v>9113</v>
      </c>
      <c r="D359" s="3" t="s">
        <v>9114</v>
      </c>
      <c r="E359" s="3" t="s">
        <v>9115</v>
      </c>
      <c r="F359" s="3" t="s">
        <v>9116</v>
      </c>
      <c r="G359" s="3" t="s">
        <v>9117</v>
      </c>
      <c r="H359" s="3" t="s">
        <v>9118</v>
      </c>
      <c r="I359" s="3" t="s">
        <v>9119</v>
      </c>
      <c r="J359" s="5" t="str">
        <f>IFERROR(__xludf.DUMMYFUNCTION("GOOGLETRANSLATE(I359, ""zh_HANT"",""zh_HANS"")"),"藤壶")</f>
        <v>藤壶</v>
      </c>
    </row>
    <row r="360">
      <c r="A360" s="5" t="str">
        <f>CONCATENATE("CATEGORY_",UPPER(Pokemon!B348))</f>
        <v>CATEGORY_ANORITH</v>
      </c>
      <c r="B360" s="3" t="s">
        <v>9120</v>
      </c>
      <c r="C360" s="3" t="s">
        <v>9121</v>
      </c>
      <c r="D360" s="3" t="s">
        <v>9122</v>
      </c>
      <c r="E360" s="3" t="s">
        <v>9123</v>
      </c>
      <c r="F360" s="3" t="s">
        <v>9124</v>
      </c>
      <c r="G360" s="3" t="s">
        <v>9125</v>
      </c>
      <c r="H360" s="3" t="s">
        <v>9126</v>
      </c>
      <c r="I360" s="3" t="s">
        <v>9127</v>
      </c>
      <c r="J360" s="5" t="str">
        <f>IFERROR(__xludf.DUMMYFUNCTION("GOOGLETRANSLATE(I360, ""zh_HANT"",""zh_HANS"")"),"古虾")</f>
        <v>古虾</v>
      </c>
    </row>
    <row r="361">
      <c r="A361" s="5" t="str">
        <f>CONCATENATE("CATEGORY_",UPPER(Pokemon!B349))</f>
        <v>CATEGORY_ARMALDO</v>
      </c>
      <c r="B361" s="3" t="s">
        <v>9128</v>
      </c>
      <c r="C361" s="3" t="s">
        <v>9129</v>
      </c>
      <c r="D361" s="3" t="s">
        <v>9130</v>
      </c>
      <c r="E361" s="3" t="s">
        <v>9131</v>
      </c>
      <c r="F361" s="3" t="s">
        <v>8481</v>
      </c>
      <c r="G361" s="3" t="s">
        <v>9132</v>
      </c>
      <c r="H361" s="3" t="s">
        <v>9133</v>
      </c>
      <c r="I361" s="3" t="s">
        <v>9134</v>
      </c>
      <c r="J361" s="5" t="str">
        <f>I361</f>
        <v>甲胄</v>
      </c>
    </row>
    <row r="362">
      <c r="A362" s="5" t="str">
        <f>CONCATENATE("CATEGORY_",UPPER(Pokemon!B350))</f>
        <v>CATEGORY_FEEBAS</v>
      </c>
      <c r="B362" s="5" t="str">
        <f t="shared" ref="B362:K362" si="138">B136</f>
        <v>Fish</v>
      </c>
      <c r="C362" s="5" t="str">
        <f t="shared" si="138"/>
        <v>さかな</v>
      </c>
      <c r="D362" s="5" t="str">
        <f t="shared" si="138"/>
        <v>Poisson</v>
      </c>
      <c r="E362" s="5" t="str">
        <f t="shared" si="138"/>
        <v>Fisch</v>
      </c>
      <c r="F362" s="5" t="str">
        <f t="shared" si="138"/>
        <v>Pez</v>
      </c>
      <c r="G362" s="5" t="str">
        <f t="shared" si="138"/>
        <v>Pesce</v>
      </c>
      <c r="H362" s="5" t="str">
        <f t="shared" si="138"/>
        <v>물고기</v>
      </c>
      <c r="I362" s="5" t="str">
        <f t="shared" si="138"/>
        <v>魚</v>
      </c>
      <c r="J362" s="5" t="str">
        <f t="shared" si="138"/>
        <v>鱼</v>
      </c>
      <c r="K362" s="5" t="str">
        <f t="shared" si="138"/>
        <v/>
      </c>
    </row>
    <row r="363">
      <c r="A363" s="5" t="str">
        <f>CONCATENATE("CATEGORY_",UPPER(Pokemon!B351))</f>
        <v>CATEGORY_MILOTIC</v>
      </c>
      <c r="B363" s="3" t="s">
        <v>9135</v>
      </c>
      <c r="C363" s="3" t="s">
        <v>9136</v>
      </c>
      <c r="D363" s="3" t="s">
        <v>9137</v>
      </c>
      <c r="E363" s="3" t="s">
        <v>9138</v>
      </c>
      <c r="F363" s="3" t="s">
        <v>9139</v>
      </c>
      <c r="G363" s="3" t="s">
        <v>9140</v>
      </c>
      <c r="H363" s="3" t="s">
        <v>9141</v>
      </c>
      <c r="I363" s="3" t="s">
        <v>9142</v>
      </c>
      <c r="J363" s="5" t="str">
        <f>IFERROR(__xludf.DUMMYFUNCTION("GOOGLETRANSLATE(I363, ""zh_HANT"",""zh_HANS"")"),"慈爱")</f>
        <v>慈爱</v>
      </c>
    </row>
    <row r="364">
      <c r="A364" s="5" t="str">
        <f>CONCATENATE("CATEGORY_",UPPER(Pokemon!B352))</f>
        <v>CATEGORY_CASTFORM</v>
      </c>
      <c r="B364" s="3" t="s">
        <v>9143</v>
      </c>
      <c r="C364" s="3" t="s">
        <v>9144</v>
      </c>
      <c r="D364" s="3" t="s">
        <v>9145</v>
      </c>
      <c r="E364" s="3" t="s">
        <v>9146</v>
      </c>
      <c r="F364" s="3" t="s">
        <v>9147</v>
      </c>
      <c r="G364" s="3" t="s">
        <v>9148</v>
      </c>
      <c r="H364" s="3" t="s">
        <v>9149</v>
      </c>
      <c r="I364" s="3" t="s">
        <v>9150</v>
      </c>
      <c r="J364" s="5" t="str">
        <f>IFERROR(__xludf.DUMMYFUNCTION("GOOGLETRANSLATE(I364, ""zh_HANT"",""zh_HANS"")"),"天气")</f>
        <v>天气</v>
      </c>
    </row>
    <row r="365">
      <c r="A365" s="5" t="str">
        <f>CONCATENATE("CATEGORY_",UPPER(Pokemon!B353))</f>
        <v>CATEGORY_KECLEON</v>
      </c>
      <c r="B365" s="3" t="s">
        <v>9151</v>
      </c>
      <c r="C365" s="3" t="s">
        <v>9152</v>
      </c>
      <c r="D365" s="3" t="s">
        <v>9153</v>
      </c>
      <c r="E365" s="3" t="s">
        <v>9154</v>
      </c>
      <c r="F365" s="3" t="s">
        <v>9155</v>
      </c>
      <c r="G365" s="3" t="s">
        <v>9156</v>
      </c>
      <c r="H365" s="3" t="s">
        <v>9157</v>
      </c>
      <c r="I365" s="3" t="s">
        <v>9158</v>
      </c>
      <c r="J365" s="5" t="str">
        <f>IFERROR(__xludf.DUMMYFUNCTION("GOOGLETRANSLATE(I365, ""zh_HANT"",""zh_HANS"")"),"变色")</f>
        <v>变色</v>
      </c>
    </row>
    <row r="366">
      <c r="A366" s="5" t="str">
        <f>CONCATENATE("CATEGORY_",UPPER(Pokemon!B354))</f>
        <v>CATEGORY_SHUPPET</v>
      </c>
      <c r="B366" s="3" t="s">
        <v>9159</v>
      </c>
      <c r="C366" s="3" t="s">
        <v>9160</v>
      </c>
      <c r="D366" s="3" t="s">
        <v>9161</v>
      </c>
      <c r="E366" s="3" t="s">
        <v>9162</v>
      </c>
      <c r="F366" s="3" t="s">
        <v>9163</v>
      </c>
      <c r="G366" s="3" t="s">
        <v>9164</v>
      </c>
      <c r="H366" s="3" t="s">
        <v>9165</v>
      </c>
      <c r="I366" s="3" t="s">
        <v>9166</v>
      </c>
      <c r="J366" s="5" t="str">
        <f t="shared" ref="J366:J370" si="139">I366</f>
        <v>人偶</v>
      </c>
    </row>
    <row r="367">
      <c r="A367" s="5" t="str">
        <f>CONCATENATE("CATEGORY_",UPPER(Pokemon!B355))</f>
        <v>CATEGORY_BANETTE</v>
      </c>
      <c r="B367" s="3" t="s">
        <v>9167</v>
      </c>
      <c r="C367" s="3" t="s">
        <v>9168</v>
      </c>
      <c r="D367" s="3" t="s">
        <v>9169</v>
      </c>
      <c r="E367" s="5" t="str">
        <f t="shared" ref="E367:E368" si="140">B367</f>
        <v>Marionette</v>
      </c>
      <c r="F367" s="3" t="s">
        <v>9170</v>
      </c>
      <c r="G367" s="3" t="s">
        <v>9171</v>
      </c>
      <c r="H367" s="3" t="s">
        <v>9172</v>
      </c>
      <c r="I367" s="3" t="s">
        <v>9173</v>
      </c>
      <c r="J367" s="5" t="str">
        <f t="shared" si="139"/>
        <v>布偶</v>
      </c>
    </row>
    <row r="368">
      <c r="A368" s="5" t="str">
        <f>CONCATENATE("CATEGORY_",UPPER(Pokemon!B356))</f>
        <v>CATEGORY_DUSKULL</v>
      </c>
      <c r="B368" s="3" t="s">
        <v>9174</v>
      </c>
      <c r="C368" s="3" t="s">
        <v>9175</v>
      </c>
      <c r="D368" s="3" t="s">
        <v>9174</v>
      </c>
      <c r="E368" s="5" t="str">
        <f t="shared" si="140"/>
        <v>Requiem</v>
      </c>
      <c r="F368" s="3" t="s">
        <v>9176</v>
      </c>
      <c r="G368" s="5" t="str">
        <f>B368</f>
        <v>Requiem</v>
      </c>
      <c r="H368" s="3" t="s">
        <v>9177</v>
      </c>
      <c r="I368" s="7" t="s">
        <v>9178</v>
      </c>
      <c r="J368" s="5" t="str">
        <f t="shared" si="139"/>
        <v>渡魂</v>
      </c>
    </row>
    <row r="369">
      <c r="A369" s="5" t="str">
        <f>CONCATENATE("CATEGORY_",UPPER(Pokemon!B357))</f>
        <v>CATEGORY_DUSCLOPS</v>
      </c>
      <c r="B369" s="3" t="s">
        <v>9179</v>
      </c>
      <c r="C369" s="3" t="s">
        <v>9180</v>
      </c>
      <c r="D369" s="3" t="s">
        <v>9181</v>
      </c>
      <c r="E369" s="3" t="s">
        <v>9182</v>
      </c>
      <c r="F369" s="3" t="s">
        <v>9183</v>
      </c>
      <c r="G369" s="3" t="s">
        <v>9184</v>
      </c>
      <c r="H369" s="3" t="s">
        <v>9185</v>
      </c>
      <c r="I369" s="3" t="s">
        <v>9186</v>
      </c>
      <c r="J369" s="5" t="str">
        <f t="shared" si="139"/>
        <v>招手</v>
      </c>
    </row>
    <row r="370">
      <c r="A370" s="5" t="str">
        <f>CONCATENATE("CATEGORY_",UPPER(Pokemon!B358))</f>
        <v>CATEGORY_TROPIUS</v>
      </c>
      <c r="B370" s="3" t="s">
        <v>9187</v>
      </c>
      <c r="C370" s="3" t="s">
        <v>9188</v>
      </c>
      <c r="D370" s="3" t="s">
        <v>9187</v>
      </c>
      <c r="E370" s="3" t="s">
        <v>9189</v>
      </c>
      <c r="F370" s="3" t="s">
        <v>9190</v>
      </c>
      <c r="G370" s="3" t="s">
        <v>9191</v>
      </c>
      <c r="H370" s="3" t="s">
        <v>9192</v>
      </c>
      <c r="I370" s="3" t="s">
        <v>9193</v>
      </c>
      <c r="J370" s="5" t="str">
        <f t="shared" si="139"/>
        <v>水果</v>
      </c>
    </row>
    <row r="371">
      <c r="A371" s="5" t="str">
        <f>CONCATENATE("CATEGORY_",UPPER(Pokemon!B359))</f>
        <v>CATEGORY_CHIMECHO</v>
      </c>
      <c r="B371" s="3" t="s">
        <v>9194</v>
      </c>
      <c r="C371" s="3" t="s">
        <v>9195</v>
      </c>
      <c r="D371" s="3" t="s">
        <v>9196</v>
      </c>
      <c r="E371" s="3" t="s">
        <v>9197</v>
      </c>
      <c r="F371" s="3" t="s">
        <v>9198</v>
      </c>
      <c r="G371" s="3" t="s">
        <v>9199</v>
      </c>
      <c r="H371" s="3" t="s">
        <v>9200</v>
      </c>
      <c r="I371" s="3" t="s">
        <v>9201</v>
      </c>
      <c r="J371" s="5" t="str">
        <f>IFERROR(__xludf.DUMMYFUNCTION("GOOGLETRANSLATE(I371, ""zh_HANT"",""zh_HANS"")"),"风铃")</f>
        <v>风铃</v>
      </c>
    </row>
    <row r="372">
      <c r="A372" s="5" t="str">
        <f>CONCATENATE("CATEGORY_",UPPER(Pokemon!B360))</f>
        <v>CATEGORY_ABSOL</v>
      </c>
      <c r="B372" s="3" t="s">
        <v>9202</v>
      </c>
      <c r="C372" s="3" t="s">
        <v>9203</v>
      </c>
      <c r="D372" s="3" t="s">
        <v>9204</v>
      </c>
      <c r="E372" s="3" t="s">
        <v>9205</v>
      </c>
      <c r="F372" s="3" t="s">
        <v>9206</v>
      </c>
      <c r="G372" s="3" t="s">
        <v>9207</v>
      </c>
      <c r="H372" s="3" t="s">
        <v>9208</v>
      </c>
      <c r="I372" s="3" t="s">
        <v>9209</v>
      </c>
      <c r="J372" s="5" t="str">
        <f>IFERROR(__xludf.DUMMYFUNCTION("GOOGLETRANSLATE(I372, ""zh_HANT"",""zh_HANS"")"),"灾祸")</f>
        <v>灾祸</v>
      </c>
    </row>
    <row r="373">
      <c r="A373" s="5" t="str">
        <f>CONCATENATE("CATEGORY_",UPPER(Pokemon!B361))</f>
        <v>CATEGORY_WYNAUT</v>
      </c>
      <c r="B373" s="3" t="s">
        <v>9210</v>
      </c>
      <c r="C373" s="3" t="s">
        <v>9211</v>
      </c>
      <c r="D373" s="3" t="s">
        <v>9212</v>
      </c>
      <c r="E373" s="3" t="s">
        <v>9213</v>
      </c>
      <c r="F373" s="3" t="s">
        <v>9214</v>
      </c>
      <c r="G373" s="3" t="s">
        <v>9215</v>
      </c>
      <c r="H373" s="3" t="s">
        <v>9216</v>
      </c>
      <c r="I373" s="3" t="s">
        <v>9217</v>
      </c>
      <c r="J373" s="5" t="str">
        <f>IFERROR(__xludf.DUMMYFUNCTION("GOOGLETRANSLATE(I373, ""zh_HANT"",""zh_HANS"")"),"开朗")</f>
        <v>开朗</v>
      </c>
    </row>
    <row r="374">
      <c r="A374" s="5" t="str">
        <f>CONCATENATE("CATEGORY_",UPPER(Pokemon!B362))</f>
        <v>CATEGORY_SNORUNT</v>
      </c>
      <c r="B374" s="3" t="s">
        <v>9218</v>
      </c>
      <c r="C374" s="3" t="s">
        <v>9219</v>
      </c>
      <c r="D374" s="3" t="s">
        <v>9220</v>
      </c>
      <c r="E374" s="3" t="s">
        <v>9221</v>
      </c>
      <c r="F374" s="3" t="s">
        <v>9222</v>
      </c>
      <c r="G374" s="3" t="s">
        <v>9223</v>
      </c>
      <c r="H374" s="3" t="s">
        <v>9224</v>
      </c>
      <c r="I374" s="3" t="s">
        <v>9225</v>
      </c>
      <c r="J374" s="5" t="str">
        <f>I374</f>
        <v>雪笠</v>
      </c>
    </row>
    <row r="375">
      <c r="A375" s="5" t="str">
        <f>CONCATENATE("CATEGORY_",UPPER(Pokemon!B363))</f>
        <v>CATEGORY_GLALIE</v>
      </c>
      <c r="B375" s="3" t="s">
        <v>9226</v>
      </c>
      <c r="C375" s="3" t="s">
        <v>9227</v>
      </c>
      <c r="D375" s="3" t="s">
        <v>9226</v>
      </c>
      <c r="E375" s="3" t="s">
        <v>9228</v>
      </c>
      <c r="F375" s="3" t="s">
        <v>9229</v>
      </c>
      <c r="G375" s="3" t="s">
        <v>9230</v>
      </c>
      <c r="H375" s="3" t="s">
        <v>9231</v>
      </c>
      <c r="I375" s="3" t="s">
        <v>9232</v>
      </c>
      <c r="J375" s="5" t="str">
        <f>IFERROR(__xludf.DUMMYFUNCTION("GOOGLETRANSLATE(I375, ""zh_HANT"",""zh_HANS"")"),"脸面")</f>
        <v>脸面</v>
      </c>
    </row>
    <row r="376">
      <c r="A376" s="5" t="str">
        <f>CONCATENATE("CATEGORY_",UPPER(Pokemon!B364))</f>
        <v>CATEGORY_SPHEAL</v>
      </c>
      <c r="B376" s="3" t="s">
        <v>9233</v>
      </c>
      <c r="C376" s="3" t="s">
        <v>9234</v>
      </c>
      <c r="D376" s="3" t="s">
        <v>9235</v>
      </c>
      <c r="E376" s="3" t="s">
        <v>9236</v>
      </c>
      <c r="F376" s="3" t="s">
        <v>9237</v>
      </c>
      <c r="G376" s="3" t="s">
        <v>9238</v>
      </c>
      <c r="H376" s="3" t="s">
        <v>9239</v>
      </c>
      <c r="I376" s="3" t="s">
        <v>9240</v>
      </c>
      <c r="J376" s="5" t="str">
        <f>I376</f>
        <v>拍手</v>
      </c>
    </row>
    <row r="377">
      <c r="A377" s="5" t="str">
        <f>CONCATENATE("CATEGORY_",UPPER(Pokemon!B365))</f>
        <v>CATEGORY_SEALEO</v>
      </c>
      <c r="B377" s="3" t="s">
        <v>9241</v>
      </c>
      <c r="C377" s="3" t="s">
        <v>9242</v>
      </c>
      <c r="D377" s="3" t="s">
        <v>9243</v>
      </c>
      <c r="E377" s="3" t="s">
        <v>9244</v>
      </c>
      <c r="F377" s="3" t="s">
        <v>9245</v>
      </c>
      <c r="G377" s="3" t="s">
        <v>9246</v>
      </c>
      <c r="H377" s="3" t="s">
        <v>9247</v>
      </c>
      <c r="I377" s="3" t="s">
        <v>9248</v>
      </c>
      <c r="J377" s="5" t="str">
        <f>IFERROR(__xludf.DUMMYFUNCTION("GOOGLETRANSLATE(I377, ""zh_HANT"",""zh_HANS"")"),"滚球")</f>
        <v>滚球</v>
      </c>
    </row>
    <row r="378">
      <c r="A378" s="5" t="str">
        <f>CONCATENATE("CATEGORY_",UPPER(Pokemon!B366))</f>
        <v>CATEGORY_WALREIN</v>
      </c>
      <c r="B378" s="3" t="s">
        <v>9249</v>
      </c>
      <c r="C378" s="3" t="s">
        <v>9250</v>
      </c>
      <c r="D378" s="3" t="s">
        <v>9251</v>
      </c>
      <c r="E378" s="3" t="s">
        <v>9252</v>
      </c>
      <c r="F378" s="3" t="s">
        <v>9253</v>
      </c>
      <c r="G378" s="3" t="s">
        <v>9254</v>
      </c>
      <c r="H378" s="3" t="s">
        <v>9255</v>
      </c>
      <c r="I378" s="7" t="s">
        <v>9256</v>
      </c>
      <c r="J378" s="5" t="str">
        <f>I378</f>
        <v>破冰</v>
      </c>
    </row>
    <row r="379">
      <c r="A379" s="5" t="str">
        <f>CONCATENATE("CATEGORY_",UPPER(Pokemon!B367))</f>
        <v>CATEGORY_CLAMPERL</v>
      </c>
      <c r="B379" s="5" t="str">
        <f t="shared" ref="B379:K379" si="141">B94</f>
        <v>Bivalve</v>
      </c>
      <c r="C379" s="5" t="str">
        <f t="shared" si="141"/>
        <v>２まいがい</v>
      </c>
      <c r="D379" s="5" t="str">
        <f t="shared" si="141"/>
        <v>Bivalve</v>
      </c>
      <c r="E379" s="5" t="str">
        <f t="shared" si="141"/>
        <v>Muschel</v>
      </c>
      <c r="F379" s="5" t="str">
        <f t="shared" si="141"/>
        <v>Bivalvo</v>
      </c>
      <c r="G379" s="5" t="str">
        <f t="shared" si="141"/>
        <v>Bivalve</v>
      </c>
      <c r="H379" s="5" t="str">
        <f t="shared" si="141"/>
        <v>두조개</v>
      </c>
      <c r="I379" s="5" t="str">
        <f t="shared" si="141"/>
        <v>雙殼貝</v>
      </c>
      <c r="J379" s="5" t="str">
        <f t="shared" si="141"/>
        <v>双壳贝</v>
      </c>
      <c r="K379" s="5" t="str">
        <f t="shared" si="141"/>
        <v/>
      </c>
    </row>
    <row r="380">
      <c r="A380" s="5" t="str">
        <f>CONCATENATE("CATEGORY_",UPPER(Pokemon!B368))</f>
        <v>CATEGORY_HUNTAIL</v>
      </c>
      <c r="B380" s="3" t="s">
        <v>9257</v>
      </c>
      <c r="C380" s="3" t="s">
        <v>9258</v>
      </c>
      <c r="D380" s="3" t="s">
        <v>9259</v>
      </c>
      <c r="E380" s="3" t="s">
        <v>9260</v>
      </c>
      <c r="F380" s="3" t="s">
        <v>9261</v>
      </c>
      <c r="G380" s="3" t="s">
        <v>9262</v>
      </c>
      <c r="H380" s="3" t="s">
        <v>9263</v>
      </c>
      <c r="I380" s="3" t="s">
        <v>9264</v>
      </c>
      <c r="J380" s="5" t="str">
        <f t="shared" ref="J380:J381" si="142">I380</f>
        <v>深海</v>
      </c>
    </row>
    <row r="381">
      <c r="A381" s="5" t="str">
        <f>CONCATENATE("CATEGORY_",UPPER(Pokemon!B369))</f>
        <v>CATEGORY_GOREBYSS</v>
      </c>
      <c r="B381" s="3" t="s">
        <v>9265</v>
      </c>
      <c r="C381" s="3" t="s">
        <v>9266</v>
      </c>
      <c r="D381" s="3" t="s">
        <v>9267</v>
      </c>
      <c r="E381" s="3" t="s">
        <v>9268</v>
      </c>
      <c r="F381" s="3" t="s">
        <v>9269</v>
      </c>
      <c r="G381" s="3" t="s">
        <v>9270</v>
      </c>
      <c r="H381" s="3" t="s">
        <v>9271</v>
      </c>
      <c r="I381" s="3" t="s">
        <v>9272</v>
      </c>
      <c r="J381" s="5" t="str">
        <f t="shared" si="142"/>
        <v>南海</v>
      </c>
    </row>
    <row r="382">
      <c r="A382" s="5" t="str">
        <f>CONCATENATE("CATEGORY_",UPPER(Pokemon!B370))</f>
        <v>CATEGORY_RELICANTH</v>
      </c>
      <c r="B382" s="3" t="s">
        <v>9273</v>
      </c>
      <c r="C382" s="3" t="s">
        <v>9274</v>
      </c>
      <c r="D382" s="3" t="s">
        <v>9275</v>
      </c>
      <c r="E382" s="3" t="s">
        <v>9276</v>
      </c>
      <c r="F382" s="3" t="s">
        <v>9277</v>
      </c>
      <c r="G382" s="3" t="s">
        <v>9278</v>
      </c>
      <c r="H382" s="3" t="s">
        <v>9279</v>
      </c>
      <c r="I382" s="3" t="s">
        <v>9280</v>
      </c>
      <c r="J382" s="5" t="str">
        <f>IFERROR(__xludf.DUMMYFUNCTION("GOOGLETRANSLATE(I382, ""zh_HANT"",""zh_HANS"")"),"长寿")</f>
        <v>长寿</v>
      </c>
    </row>
    <row r="383">
      <c r="A383" s="5" t="str">
        <f>CONCATENATE("CATEGORY_",UPPER(Pokemon!B371))</f>
        <v>CATEGORY_LUVDISC</v>
      </c>
      <c r="B383" s="3" t="s">
        <v>9281</v>
      </c>
      <c r="C383" s="3" t="s">
        <v>9282</v>
      </c>
      <c r="D383" s="3" t="s">
        <v>9283</v>
      </c>
      <c r="E383" s="5" t="str">
        <f>B383</f>
        <v>Rendezvous</v>
      </c>
      <c r="F383" s="3" t="s">
        <v>9284</v>
      </c>
      <c r="G383" s="5" t="str">
        <f>B383</f>
        <v>Rendezvous</v>
      </c>
      <c r="H383" s="3" t="s">
        <v>9285</v>
      </c>
      <c r="I383" s="3" t="s">
        <v>9286</v>
      </c>
      <c r="J383" s="5" t="str">
        <f>IFERROR(__xludf.DUMMYFUNCTION("GOOGLETRANSLATE(I383, ""zh_HANT"",""zh_HANS"")"),"相随")</f>
        <v>相随</v>
      </c>
    </row>
    <row r="384">
      <c r="A384" s="5" t="str">
        <f>CONCATENATE("CATEGORY_",UPPER(Pokemon!B372))</f>
        <v>CATEGORY_BAGON</v>
      </c>
      <c r="B384" s="3" t="str">
        <f>Abilities!B70</f>
        <v>Rock Head</v>
      </c>
      <c r="C384" s="3" t="str">
        <f>Abilities!C70</f>
        <v>いしあたま</v>
      </c>
      <c r="D384" s="3" t="str">
        <f>Abilities!D70</f>
        <v>Tête de Roc</v>
      </c>
      <c r="E384" s="3" t="str">
        <f>Abilities!E70</f>
        <v>Steinhaupt</v>
      </c>
      <c r="F384" s="3" t="str">
        <f>Abilities!F70</f>
        <v>Cabeza Roca</v>
      </c>
      <c r="G384" s="3" t="s">
        <v>9287</v>
      </c>
      <c r="H384" s="3" t="str">
        <f>Abilities!H70</f>
        <v>돌머리</v>
      </c>
      <c r="I384" s="3" t="str">
        <f>Abilities!I70</f>
        <v>堅硬腦袋</v>
      </c>
      <c r="J384" s="3" t="str">
        <f>Abilities!J70</f>
        <v>坚硬脑袋</v>
      </c>
    </row>
    <row r="385">
      <c r="A385" s="5" t="str">
        <f>CONCATENATE("CATEGORY_",UPPER(Pokemon!B373))</f>
        <v>CATEGORY_SHELGON</v>
      </c>
      <c r="B385" s="3" t="s">
        <v>9288</v>
      </c>
      <c r="C385" s="3" t="s">
        <v>9289</v>
      </c>
      <c r="D385" s="3" t="s">
        <v>9290</v>
      </c>
      <c r="E385" s="3" t="s">
        <v>9291</v>
      </c>
      <c r="F385" s="3" t="s">
        <v>9292</v>
      </c>
      <c r="G385" s="3" t="s">
        <v>9293</v>
      </c>
      <c r="H385" s="3" t="s">
        <v>9294</v>
      </c>
      <c r="I385" s="3" t="s">
        <v>9295</v>
      </c>
      <c r="J385" s="5" t="str">
        <f>I385</f>
        <v>耐力</v>
      </c>
    </row>
    <row r="386">
      <c r="A386" s="5" t="str">
        <f>CONCATENATE("CATEGORY_",UPPER(Pokemon!B374))</f>
        <v>CATEGORY_SALAMENCE</v>
      </c>
      <c r="B386" s="5" t="str">
        <f t="shared" ref="B386:K386" si="143">B122</f>
        <v>Dragon</v>
      </c>
      <c r="C386" s="5" t="str">
        <f t="shared" si="143"/>
        <v>ドラゴン</v>
      </c>
      <c r="D386" s="5" t="str">
        <f t="shared" si="143"/>
        <v>Dragon</v>
      </c>
      <c r="E386" s="5" t="str">
        <f t="shared" si="143"/>
        <v>Drache</v>
      </c>
      <c r="F386" s="5" t="str">
        <f t="shared" si="143"/>
        <v>Dragón</v>
      </c>
      <c r="G386" s="5" t="str">
        <f t="shared" si="143"/>
        <v>Drago</v>
      </c>
      <c r="H386" s="5" t="str">
        <f t="shared" si="143"/>
        <v>드개곤</v>
      </c>
      <c r="I386" s="5" t="str">
        <f t="shared" si="143"/>
        <v>龍</v>
      </c>
      <c r="J386" s="5" t="str">
        <f t="shared" si="143"/>
        <v>龙</v>
      </c>
      <c r="K386" s="5" t="str">
        <f t="shared" si="143"/>
        <v/>
      </c>
    </row>
    <row r="387">
      <c r="A387" s="5" t="str">
        <f>CONCATENATE("CATEGORY_",UPPER(Pokemon!B375))</f>
        <v>CATEGORY_BELDUM</v>
      </c>
      <c r="B387" s="3" t="s">
        <v>9296</v>
      </c>
      <c r="C387" s="3" t="s">
        <v>9297</v>
      </c>
      <c r="D387" s="3" t="s">
        <v>9298</v>
      </c>
      <c r="E387" s="3" t="s">
        <v>9299</v>
      </c>
      <c r="F387" s="3" t="s">
        <v>9300</v>
      </c>
      <c r="G387" s="3" t="s">
        <v>9301</v>
      </c>
      <c r="H387" s="3" t="s">
        <v>9302</v>
      </c>
      <c r="I387" s="3" t="s">
        <v>9303</v>
      </c>
      <c r="J387" s="5" t="str">
        <f>IFERROR(__xludf.DUMMYFUNCTION("GOOGLETRANSLATE(I387, ""zh_HANT"",""zh_HANS"")"),"铁球")</f>
        <v>铁球</v>
      </c>
    </row>
    <row r="388">
      <c r="A388" s="5" t="str">
        <f>CONCATENATE("CATEGORY_",UPPER(Pokemon!B376))</f>
        <v>CATEGORY_METANG</v>
      </c>
      <c r="B388" s="3" t="s">
        <v>9304</v>
      </c>
      <c r="C388" s="3" t="s">
        <v>9305</v>
      </c>
      <c r="D388" s="3" t="s">
        <v>9306</v>
      </c>
      <c r="E388" s="3" t="s">
        <v>9307</v>
      </c>
      <c r="F388" s="3" t="s">
        <v>9308</v>
      </c>
      <c r="G388" s="3" t="s">
        <v>9309</v>
      </c>
      <c r="H388" s="3" t="s">
        <v>9310</v>
      </c>
      <c r="I388" s="3" t="s">
        <v>9311</v>
      </c>
      <c r="J388" s="5" t="str">
        <f>IFERROR(__xludf.DUMMYFUNCTION("GOOGLETRANSLATE(I388, ""zh_HANT"",""zh_HANS"")"),"铁爪")</f>
        <v>铁爪</v>
      </c>
    </row>
    <row r="389">
      <c r="A389" s="5" t="str">
        <f>CONCATENATE("CATEGORY_",UPPER(Pokemon!B377))</f>
        <v>CATEGORY_METAGROSS</v>
      </c>
      <c r="B389" s="3" t="s">
        <v>9312</v>
      </c>
      <c r="C389" s="3" t="s">
        <v>9313</v>
      </c>
      <c r="D389" s="3" t="s">
        <v>9314</v>
      </c>
      <c r="E389" s="3" t="s">
        <v>9315</v>
      </c>
      <c r="F389" s="3" t="s">
        <v>9316</v>
      </c>
      <c r="G389" s="3" t="s">
        <v>9317</v>
      </c>
      <c r="H389" s="3" t="s">
        <v>9318</v>
      </c>
      <c r="I389" s="3" t="s">
        <v>9319</v>
      </c>
      <c r="J389" s="5" t="str">
        <f>IFERROR(__xludf.DUMMYFUNCTION("GOOGLETRANSLATE(I389, ""zh_HANT"",""zh_HANS"")"),"铁足")</f>
        <v>铁足</v>
      </c>
    </row>
    <row r="390">
      <c r="A390" s="5" t="str">
        <f>CONCATENATE("CATEGORY_",UPPER(Pokemon!B378))</f>
        <v>CATEGORY_REGIROCK</v>
      </c>
      <c r="B390" s="3" t="s">
        <v>9320</v>
      </c>
      <c r="C390" s="3" t="s">
        <v>9321</v>
      </c>
      <c r="D390" s="3" t="s">
        <v>9322</v>
      </c>
      <c r="E390" s="3" t="s">
        <v>9323</v>
      </c>
      <c r="F390" s="3" t="s">
        <v>9324</v>
      </c>
      <c r="G390" s="3" t="s">
        <v>9325</v>
      </c>
      <c r="H390" s="3" t="s">
        <v>9326</v>
      </c>
      <c r="I390" s="3" t="s">
        <v>9327</v>
      </c>
      <c r="J390" s="5" t="str">
        <f t="shared" ref="J390:J392" si="144">I390</f>
        <v>岩山</v>
      </c>
    </row>
    <row r="391">
      <c r="A391" s="5" t="str">
        <f>CONCATENATE("CATEGORY_",UPPER(Pokemon!B379))</f>
        <v>CATEGORY_REGICE</v>
      </c>
      <c r="B391" s="3" t="s">
        <v>9328</v>
      </c>
      <c r="C391" s="3" t="s">
        <v>9329</v>
      </c>
      <c r="D391" s="3" t="s">
        <v>9328</v>
      </c>
      <c r="E391" s="3" t="s">
        <v>9330</v>
      </c>
      <c r="F391" s="5" t="str">
        <f>B391</f>
        <v>Iceberg</v>
      </c>
      <c r="G391" s="5" t="str">
        <f>B391</f>
        <v>Iceberg</v>
      </c>
      <c r="H391" s="3" t="s">
        <v>9331</v>
      </c>
      <c r="I391" s="3" t="s">
        <v>9332</v>
      </c>
      <c r="J391" s="5" t="str">
        <f t="shared" si="144"/>
        <v>冰山</v>
      </c>
    </row>
    <row r="392">
      <c r="A392" s="5" t="str">
        <f>CONCATENATE("CATEGORY_",UPPER(Pokemon!B380))</f>
        <v>CATEGORY_REGISTEEL</v>
      </c>
      <c r="B392" s="3" t="s">
        <v>9333</v>
      </c>
      <c r="C392" s="3" t="s">
        <v>9334</v>
      </c>
      <c r="D392" s="3" t="s">
        <v>9335</v>
      </c>
      <c r="E392" s="3" t="s">
        <v>9336</v>
      </c>
      <c r="F392" s="3" t="s">
        <v>9337</v>
      </c>
      <c r="G392" s="3" t="s">
        <v>9338</v>
      </c>
      <c r="H392" s="3" t="s">
        <v>9339</v>
      </c>
      <c r="I392" s="3" t="s">
        <v>9340</v>
      </c>
      <c r="J392" s="5" t="str">
        <f t="shared" si="144"/>
        <v>黑金</v>
      </c>
    </row>
    <row r="393">
      <c r="A393" s="5" t="str">
        <f>CONCATENATE("CATEGORY_",UPPER(Pokemon!B381))</f>
        <v>CATEGORY_LATIAS</v>
      </c>
      <c r="B393" s="3" t="s">
        <v>9341</v>
      </c>
      <c r="C393" s="3" t="s">
        <v>9342</v>
      </c>
      <c r="D393" s="3" t="s">
        <v>9343</v>
      </c>
      <c r="E393" s="3" t="s">
        <v>9344</v>
      </c>
      <c r="F393" s="3" t="s">
        <v>9345</v>
      </c>
      <c r="G393" s="3" t="s">
        <v>9346</v>
      </c>
      <c r="H393" s="3" t="s">
        <v>9347</v>
      </c>
      <c r="I393" s="3" t="s">
        <v>9348</v>
      </c>
      <c r="J393" s="5" t="str">
        <f>IFERROR(__xludf.DUMMYFUNCTION("GOOGLETRANSLATE(I393, ""zh_HANT"",""zh_HANS"")"),"无限")</f>
        <v>无限</v>
      </c>
    </row>
    <row r="394">
      <c r="A394" s="5" t="str">
        <f>CONCATENATE("CATEGORY_",UPPER(Pokemon!B382))</f>
        <v>CATEGORY_LATIOS</v>
      </c>
      <c r="B394" s="5" t="str">
        <f t="shared" ref="B394:J394" si="145">B393</f>
        <v>Eon</v>
      </c>
      <c r="C394" s="5" t="str">
        <f t="shared" si="145"/>
        <v>むげん</v>
      </c>
      <c r="D394" s="5" t="str">
        <f t="shared" si="145"/>
        <v>Éon</v>
      </c>
      <c r="E394" s="5" t="str">
        <f t="shared" si="145"/>
        <v>Äon</v>
      </c>
      <c r="F394" s="5" t="str">
        <f t="shared" si="145"/>
        <v>Eón</v>
      </c>
      <c r="G394" s="5" t="str">
        <f t="shared" si="145"/>
        <v>Eone</v>
      </c>
      <c r="H394" s="5" t="str">
        <f t="shared" si="145"/>
        <v>무한</v>
      </c>
      <c r="I394" s="5" t="str">
        <f t="shared" si="145"/>
        <v>無限</v>
      </c>
      <c r="J394" s="5" t="str">
        <f t="shared" si="145"/>
        <v>无限</v>
      </c>
    </row>
    <row r="395">
      <c r="A395" s="5" t="str">
        <f>CONCATENATE("CATEGORY_",UPPER(Pokemon!B383))</f>
        <v>CATEGORY_KYOGRE</v>
      </c>
      <c r="B395" s="3" t="s">
        <v>9349</v>
      </c>
      <c r="C395" s="3" t="s">
        <v>9350</v>
      </c>
      <c r="D395" s="3" t="s">
        <v>9351</v>
      </c>
      <c r="E395" s="3" t="s">
        <v>9352</v>
      </c>
      <c r="F395" s="3" t="s">
        <v>9353</v>
      </c>
      <c r="G395" s="3" t="s">
        <v>9354</v>
      </c>
      <c r="H395" s="3" t="s">
        <v>9355</v>
      </c>
      <c r="I395" s="3" t="s">
        <v>9356</v>
      </c>
      <c r="J395" s="5" t="str">
        <f>I395</f>
        <v>海底</v>
      </c>
    </row>
    <row r="396">
      <c r="A396" s="5" t="str">
        <f>CONCATENATE("CATEGORY_",UPPER(Pokemon!B384))</f>
        <v>CATEGORY_GROUDON</v>
      </c>
      <c r="B396" s="3" t="s">
        <v>9357</v>
      </c>
      <c r="C396" s="3" t="s">
        <v>9358</v>
      </c>
      <c r="D396" s="3" t="s">
        <v>9357</v>
      </c>
      <c r="E396" s="3" t="s">
        <v>9359</v>
      </c>
      <c r="F396" s="3" t="s">
        <v>9360</v>
      </c>
      <c r="G396" s="5" t="str">
        <f>F396</f>
        <v>Continente</v>
      </c>
      <c r="H396" s="3" t="s">
        <v>9361</v>
      </c>
      <c r="I396" s="7" t="s">
        <v>9362</v>
      </c>
      <c r="J396" s="5" t="str">
        <f>IFERROR(__xludf.DUMMYFUNCTION("GOOGLETRANSLATE(I396, ""zh_HANT"",""zh_HANS"")"),"大陆")</f>
        <v>大陆</v>
      </c>
    </row>
    <row r="397">
      <c r="A397" s="5" t="str">
        <f>CONCATENATE("CATEGORY_",UPPER(Pokemon!B385))</f>
        <v>CATEGORY_RAYQUAZA</v>
      </c>
      <c r="B397" s="3" t="s">
        <v>9363</v>
      </c>
      <c r="C397" s="3" t="s">
        <v>9364</v>
      </c>
      <c r="D397" s="3" t="s">
        <v>9365</v>
      </c>
      <c r="E397" s="3" t="s">
        <v>9366</v>
      </c>
      <c r="F397" s="3" t="s">
        <v>9367</v>
      </c>
      <c r="G397" s="3" t="s">
        <v>9368</v>
      </c>
      <c r="H397" s="3" t="s">
        <v>9369</v>
      </c>
      <c r="I397" s="3" t="s">
        <v>9370</v>
      </c>
      <c r="J397" s="5" t="str">
        <f>I397</f>
        <v>天空</v>
      </c>
    </row>
    <row r="398">
      <c r="A398" s="5" t="str">
        <f>CONCATENATE("CATEGORY_",UPPER(Pokemon!B386))</f>
        <v>CATEGORY_JIRACHI</v>
      </c>
      <c r="B398" s="3" t="s">
        <v>9371</v>
      </c>
      <c r="C398" s="3" t="s">
        <v>9372</v>
      </c>
      <c r="D398" s="3" t="s">
        <v>9373</v>
      </c>
      <c r="E398" s="3" t="s">
        <v>9374</v>
      </c>
      <c r="F398" s="3" t="s">
        <v>9375</v>
      </c>
      <c r="G398" s="3" t="s">
        <v>9376</v>
      </c>
      <c r="H398" s="3" t="s">
        <v>9377</v>
      </c>
      <c r="I398" s="3" t="s">
        <v>9378</v>
      </c>
      <c r="J398" s="5" t="str">
        <f>IFERROR(__xludf.DUMMYFUNCTION("GOOGLETRANSLATE(I398, ""zh_HANT"",""zh_HANS"")"),"祈愿")</f>
        <v>祈愿</v>
      </c>
    </row>
    <row r="399">
      <c r="A399" s="5" t="str">
        <f>CONCATENATE("CATEGORY_",UPPER(Pokemon!B387))</f>
        <v>CATEGORY_DEOXYS</v>
      </c>
      <c r="B399" s="3" t="s">
        <v>9379</v>
      </c>
      <c r="C399" s="3" t="s">
        <v>9380</v>
      </c>
      <c r="D399" s="3" t="s">
        <v>9381</v>
      </c>
      <c r="E399" s="3" t="s">
        <v>9382</v>
      </c>
      <c r="F399" s="5" t="str">
        <f>D399</f>
        <v>ADN</v>
      </c>
      <c r="G399" s="5" t="str">
        <f t="shared" ref="G399:H399" si="146">B399</f>
        <v>DNA</v>
      </c>
      <c r="H399" s="5" t="str">
        <f t="shared" si="146"/>
        <v>ＤＮＡ</v>
      </c>
      <c r="I399" s="5" t="str">
        <f>C399</f>
        <v>ＤＮＡ</v>
      </c>
      <c r="J399" s="5" t="str">
        <f>C399</f>
        <v>ＤＮＡ</v>
      </c>
    </row>
    <row r="400">
      <c r="A400" s="5" t="str">
        <f>CONCATENATE("CATEGORY_",UPPER(Pokemon!B388))</f>
        <v>CATEGORY_TURTWIG</v>
      </c>
      <c r="B400" s="3" t="s">
        <v>9383</v>
      </c>
      <c r="C400" s="3" t="s">
        <v>9384</v>
      </c>
      <c r="D400" s="3" t="s">
        <v>9385</v>
      </c>
      <c r="E400" s="3" t="s">
        <v>9386</v>
      </c>
      <c r="F400" s="3" t="s">
        <v>9387</v>
      </c>
      <c r="G400" s="3" t="s">
        <v>9388</v>
      </c>
      <c r="H400" s="3" t="s">
        <v>9389</v>
      </c>
      <c r="I400" s="3" t="s">
        <v>9390</v>
      </c>
      <c r="J400" s="5" t="str">
        <f>IFERROR(__xludf.DUMMYFUNCTION("GOOGLETRANSLATE(I400, ""zh_HANT"",""zh_HANS"")"),"嫩叶")</f>
        <v>嫩叶</v>
      </c>
    </row>
    <row r="401">
      <c r="A401" s="5" t="str">
        <f>CONCATENATE("CATEGORY_",UPPER(Pokemon!B389))</f>
        <v>CATEGORY_GROTLE</v>
      </c>
      <c r="B401" s="3" t="s">
        <v>9391</v>
      </c>
      <c r="C401" s="3" t="s">
        <v>9392</v>
      </c>
      <c r="D401" s="3" t="s">
        <v>9393</v>
      </c>
      <c r="E401" s="3" t="s">
        <v>9394</v>
      </c>
      <c r="F401" s="3" t="s">
        <v>9395</v>
      </c>
      <c r="G401" s="3" t="s">
        <v>9396</v>
      </c>
      <c r="H401" s="3" t="s">
        <v>9397</v>
      </c>
      <c r="I401" s="3" t="s">
        <v>9398</v>
      </c>
      <c r="J401" s="5" t="str">
        <f>IFERROR(__xludf.DUMMYFUNCTION("GOOGLETRANSLATE(I401, ""zh_HANT"",""zh_HANS"")"),"树丛")</f>
        <v>树丛</v>
      </c>
    </row>
    <row r="402">
      <c r="A402" s="5" t="str">
        <f>CONCATENATE("CATEGORY_",UPPER(Pokemon!B390))</f>
        <v>CATEGORY_TORTERRA</v>
      </c>
      <c r="B402" s="5" t="str">
        <f t="shared" ref="B402:K402" si="147">B396</f>
        <v>Continent</v>
      </c>
      <c r="C402" s="5" t="str">
        <f t="shared" si="147"/>
        <v>たいりく</v>
      </c>
      <c r="D402" s="5" t="str">
        <f t="shared" si="147"/>
        <v>Continent</v>
      </c>
      <c r="E402" s="5" t="str">
        <f t="shared" si="147"/>
        <v>Kontinent</v>
      </c>
      <c r="F402" s="5" t="str">
        <f t="shared" si="147"/>
        <v>Continente</v>
      </c>
      <c r="G402" s="5" t="str">
        <f t="shared" si="147"/>
        <v>Continente</v>
      </c>
      <c r="H402" s="5" t="str">
        <f t="shared" si="147"/>
        <v>대륙</v>
      </c>
      <c r="I402" s="5" t="str">
        <f t="shared" si="147"/>
        <v>大陸</v>
      </c>
      <c r="J402" s="5" t="str">
        <f t="shared" si="147"/>
        <v>大陆</v>
      </c>
      <c r="K402" s="5" t="str">
        <f t="shared" si="147"/>
        <v/>
      </c>
    </row>
    <row r="403">
      <c r="A403" s="5" t="str">
        <f>CONCATENATE("CATEGORY_",UPPER(Pokemon!B391))</f>
        <v>CATEGORY_CHIMCHAR</v>
      </c>
      <c r="B403" s="3" t="s">
        <v>9399</v>
      </c>
      <c r="C403" s="3" t="s">
        <v>9400</v>
      </c>
      <c r="D403" s="3" t="s">
        <v>9401</v>
      </c>
      <c r="E403" s="3" t="s">
        <v>9402</v>
      </c>
      <c r="F403" s="3" t="s">
        <v>9403</v>
      </c>
      <c r="G403" s="3" t="s">
        <v>9404</v>
      </c>
      <c r="H403" s="3" t="s">
        <v>9405</v>
      </c>
      <c r="I403" s="3" t="s">
        <v>9406</v>
      </c>
      <c r="J403" s="5" t="str">
        <f>I403</f>
        <v>小猴</v>
      </c>
    </row>
    <row r="404">
      <c r="A404" s="5" t="str">
        <f>CONCATENATE("CATEGORY_",UPPER(Pokemon!B392))</f>
        <v>CATEGORY_MONFERNO</v>
      </c>
      <c r="B404" s="3" t="s">
        <v>9407</v>
      </c>
      <c r="C404" s="3" t="s">
        <v>9408</v>
      </c>
      <c r="D404" s="3" t="s">
        <v>9409</v>
      </c>
      <c r="E404" s="3" t="s">
        <v>9410</v>
      </c>
      <c r="F404" s="3" t="s">
        <v>9411</v>
      </c>
      <c r="G404" s="3" t="s">
        <v>9412</v>
      </c>
      <c r="H404" s="3" t="s">
        <v>9413</v>
      </c>
      <c r="I404" s="3" t="s">
        <v>9414</v>
      </c>
      <c r="J404" s="5" t="str">
        <f>IFERROR(__xludf.DUMMYFUNCTION("GOOGLETRANSLATE(I404, ""zh_HANT"",""zh_HANS"")"),"顽皮")</f>
        <v>顽皮</v>
      </c>
    </row>
    <row r="405">
      <c r="A405" s="5" t="str">
        <f>CONCATENATE("CATEGORY_",UPPER(Pokemon!B393))</f>
        <v>CATEGORY_INFERNAPE</v>
      </c>
      <c r="B405" s="5" t="str">
        <f t="shared" ref="B405:K405" si="148">B6</f>
        <v>Flame</v>
      </c>
      <c r="C405" s="5" t="str">
        <f t="shared" si="148"/>
        <v>かえん</v>
      </c>
      <c r="D405" s="5" t="str">
        <f t="shared" si="148"/>
        <v>Flamme</v>
      </c>
      <c r="E405" s="5" t="str">
        <f t="shared" si="148"/>
        <v>Flamme</v>
      </c>
      <c r="F405" s="5" t="str">
        <f t="shared" si="148"/>
        <v>Llama</v>
      </c>
      <c r="G405" s="5" t="str">
        <f t="shared" si="148"/>
        <v>Fiamma</v>
      </c>
      <c r="H405" s="5" t="str">
        <f t="shared" si="148"/>
        <v>화염</v>
      </c>
      <c r="I405" s="5" t="str">
        <f t="shared" si="148"/>
        <v>火焰</v>
      </c>
      <c r="J405" s="5" t="str">
        <f t="shared" si="148"/>
        <v>火焰</v>
      </c>
      <c r="K405" s="5" t="str">
        <f t="shared" si="148"/>
        <v/>
      </c>
    </row>
    <row r="406">
      <c r="A406" s="5" t="str">
        <f>CONCATENATE("CATEGORY_",UPPER(Pokemon!B394))</f>
        <v>CATEGORY_PIPLUP</v>
      </c>
      <c r="B406" s="3" t="s">
        <v>9415</v>
      </c>
      <c r="C406" s="3" t="s">
        <v>9416</v>
      </c>
      <c r="D406" s="3" t="s">
        <v>9417</v>
      </c>
      <c r="E406" s="3" t="s">
        <v>9418</v>
      </c>
      <c r="F406" s="3" t="s">
        <v>9419</v>
      </c>
      <c r="G406" s="3" t="s">
        <v>9420</v>
      </c>
      <c r="H406" s="3" t="s">
        <v>9421</v>
      </c>
      <c r="I406" s="3" t="s">
        <v>9422</v>
      </c>
      <c r="J406" s="5" t="str">
        <f>IFERROR(__xludf.DUMMYFUNCTION("GOOGLETRANSLATE(I406, ""zh_HANT"",""zh_HANS"")"),"企鹅")</f>
        <v>企鹅</v>
      </c>
    </row>
    <row r="407">
      <c r="A407" s="5" t="str">
        <f>CONCATENATE("CATEGORY_",UPPER(Pokemon!B395))</f>
        <v>CATEGORY_PRINPLUP</v>
      </c>
      <c r="B407" s="5" t="str">
        <f t="shared" ref="B407:J407" si="149">B406</f>
        <v>Penguin</v>
      </c>
      <c r="C407" s="5" t="str">
        <f t="shared" si="149"/>
        <v>ペンギン</v>
      </c>
      <c r="D407" s="5" t="str">
        <f t="shared" si="149"/>
        <v>Pingouin</v>
      </c>
      <c r="E407" s="5" t="str">
        <f t="shared" si="149"/>
        <v>Pinguin</v>
      </c>
      <c r="F407" s="5" t="str">
        <f t="shared" si="149"/>
        <v>Pingüino</v>
      </c>
      <c r="G407" s="5" t="str">
        <f t="shared" si="149"/>
        <v>Pinguino</v>
      </c>
      <c r="H407" s="5" t="str">
        <f t="shared" si="149"/>
        <v>펭귄</v>
      </c>
      <c r="I407" s="5" t="str">
        <f t="shared" si="149"/>
        <v>企鵝</v>
      </c>
      <c r="J407" s="5" t="str">
        <f t="shared" si="149"/>
        <v>企鹅</v>
      </c>
    </row>
    <row r="408">
      <c r="A408" s="5" t="str">
        <f>CONCATENATE("CATEGORY_",UPPER(Pokemon!B396))</f>
        <v>CATEGORY_EMPOLEON</v>
      </c>
      <c r="B408" s="3" t="s">
        <v>9423</v>
      </c>
      <c r="C408" s="3" t="s">
        <v>9424</v>
      </c>
      <c r="D408" s="3" t="s">
        <v>9425</v>
      </c>
      <c r="E408" s="3" t="s">
        <v>9426</v>
      </c>
      <c r="F408" s="3" t="s">
        <v>9427</v>
      </c>
      <c r="G408" s="3" t="s">
        <v>9428</v>
      </c>
      <c r="H408" s="3" t="s">
        <v>9429</v>
      </c>
      <c r="I408" s="3" t="s">
        <v>9430</v>
      </c>
      <c r="J408" s="5" t="str">
        <f>I408</f>
        <v>皇帝</v>
      </c>
    </row>
    <row r="409">
      <c r="A409" s="5" t="str">
        <f>CONCATENATE("CATEGORY_",UPPER(Pokemon!B397))</f>
        <v>CATEGORY_STARLY</v>
      </c>
      <c r="B409" s="3" t="s">
        <v>9431</v>
      </c>
      <c r="C409" s="3" t="s">
        <v>9432</v>
      </c>
      <c r="D409" s="3" t="s">
        <v>9433</v>
      </c>
      <c r="E409" s="3" t="s">
        <v>9434</v>
      </c>
      <c r="F409" s="3" t="s">
        <v>9435</v>
      </c>
      <c r="G409" s="3" t="s">
        <v>9436</v>
      </c>
      <c r="H409" s="3" t="s">
        <v>9437</v>
      </c>
      <c r="I409" s="3" t="s">
        <v>9438</v>
      </c>
      <c r="J409" s="5" t="str">
        <f>IFERROR(__xludf.DUMMYFUNCTION("GOOGLETRANSLATE(I409, ""zh_HANT"",""zh_HANS"")"),"椋鸟")</f>
        <v>椋鸟</v>
      </c>
    </row>
    <row r="410">
      <c r="A410" s="5" t="str">
        <f>CONCATENATE("CATEGORY_",UPPER(Pokemon!B398))</f>
        <v>CATEGORY_STARAVIA</v>
      </c>
      <c r="B410" s="5" t="str">
        <f t="shared" ref="B410:J410" si="150">B409</f>
        <v>Starling</v>
      </c>
      <c r="C410" s="5" t="str">
        <f t="shared" si="150"/>
        <v>むくどり</v>
      </c>
      <c r="D410" s="5" t="str">
        <f t="shared" si="150"/>
        <v>Étourneau</v>
      </c>
      <c r="E410" s="5" t="str">
        <f t="shared" si="150"/>
        <v>Star</v>
      </c>
      <c r="F410" s="5" t="str">
        <f t="shared" si="150"/>
        <v>Estornino</v>
      </c>
      <c r="G410" s="5" t="str">
        <f t="shared" si="150"/>
        <v>Storno</v>
      </c>
      <c r="H410" s="5" t="str">
        <f t="shared" si="150"/>
        <v>찌르레기</v>
      </c>
      <c r="I410" s="5" t="str">
        <f t="shared" si="150"/>
        <v>椋鳥</v>
      </c>
      <c r="J410" s="5" t="str">
        <f t="shared" si="150"/>
        <v>椋鸟</v>
      </c>
    </row>
    <row r="411">
      <c r="A411" s="5" t="str">
        <f>CONCATENATE("CATEGORY_",UPPER(Pokemon!B399))</f>
        <v>CATEGORY_STARAPTOR</v>
      </c>
      <c r="B411" s="3" t="s">
        <v>9439</v>
      </c>
      <c r="C411" s="3" t="s">
        <v>9440</v>
      </c>
      <c r="D411" s="3" t="s">
        <v>9441</v>
      </c>
      <c r="E411" s="3" t="s">
        <v>9442</v>
      </c>
      <c r="F411" s="3" t="s">
        <v>9443</v>
      </c>
      <c r="G411" s="5" t="str">
        <f>D411</f>
        <v>Rapace</v>
      </c>
      <c r="H411" s="3" t="s">
        <v>9444</v>
      </c>
      <c r="I411" s="3" t="s">
        <v>9445</v>
      </c>
      <c r="J411" s="5" t="str">
        <f>I411</f>
        <v>猛禽</v>
      </c>
    </row>
    <row r="412">
      <c r="A412" s="5" t="str">
        <f>CONCATENATE("CATEGORY_",UPPER(Pokemon!B400))</f>
        <v>CATEGORY_BIDOOF</v>
      </c>
      <c r="B412" s="3" t="s">
        <v>9446</v>
      </c>
      <c r="C412" s="3" t="s">
        <v>9447</v>
      </c>
      <c r="D412" s="3" t="s">
        <v>9448</v>
      </c>
      <c r="E412" s="3" t="s">
        <v>9449</v>
      </c>
      <c r="F412" s="3" t="s">
        <v>9450</v>
      </c>
      <c r="G412" s="3" t="s">
        <v>9451</v>
      </c>
      <c r="H412" s="3" t="s">
        <v>9452</v>
      </c>
      <c r="I412" s="3" t="s">
        <v>9453</v>
      </c>
      <c r="J412" s="5" t="str">
        <f>IFERROR(__xludf.DUMMYFUNCTION("GOOGLETRANSLATE(I412, ""zh_HANT"",""zh_HANS"")"),"圆鼠")</f>
        <v>圆鼠</v>
      </c>
    </row>
    <row r="413">
      <c r="A413" s="5" t="str">
        <f>CONCATENATE("CATEGORY_",UPPER(Pokemon!B401))</f>
        <v>CATEGORY_BIBAREL</v>
      </c>
      <c r="B413" s="3" t="s">
        <v>9454</v>
      </c>
      <c r="C413" s="3" t="s">
        <v>9455</v>
      </c>
      <c r="D413" s="3" t="s">
        <v>9456</v>
      </c>
      <c r="E413" s="3" t="s">
        <v>9457</v>
      </c>
      <c r="F413" s="3" t="s">
        <v>9456</v>
      </c>
      <c r="G413" s="5" t="str">
        <f>CONCATENATE(F413,"o")</f>
        <v>Castoro</v>
      </c>
      <c r="H413" s="3" t="s">
        <v>9458</v>
      </c>
      <c r="I413" s="3" t="s">
        <v>9459</v>
      </c>
      <c r="J413" s="5" t="str">
        <f t="shared" ref="J413:J414" si="151">I413</f>
        <v>河狸</v>
      </c>
    </row>
    <row r="414">
      <c r="A414" s="5" t="str">
        <f>CONCATENATE("CATEGORY_",UPPER(Pokemon!B402))</f>
        <v>CATEGORY_KRICKETOT</v>
      </c>
      <c r="B414" s="3" t="s">
        <v>9460</v>
      </c>
      <c r="C414" s="3" t="s">
        <v>9461</v>
      </c>
      <c r="D414" s="3" t="s">
        <v>9462</v>
      </c>
      <c r="E414" s="3" t="s">
        <v>9463</v>
      </c>
      <c r="F414" s="3" t="s">
        <v>9464</v>
      </c>
      <c r="G414" s="5" t="str">
        <f>F414</f>
        <v>Grillo</v>
      </c>
      <c r="H414" s="3" t="s">
        <v>9465</v>
      </c>
      <c r="I414" s="3" t="s">
        <v>9466</v>
      </c>
      <c r="J414" s="5" t="str">
        <f t="shared" si="151"/>
        <v>蟋蟀</v>
      </c>
    </row>
    <row r="415">
      <c r="A415" s="5" t="str">
        <f>CONCATENATE("CATEGORY_",UPPER(Pokemon!B403))</f>
        <v>CATEGORY_KRICKETUNE</v>
      </c>
      <c r="B415" s="5" t="str">
        <f t="shared" ref="B415:J415" si="152">B414</f>
        <v>Cricket</v>
      </c>
      <c r="C415" s="5" t="str">
        <f t="shared" si="152"/>
        <v>こおろぎ</v>
      </c>
      <c r="D415" s="5" t="str">
        <f t="shared" si="152"/>
        <v>Criquet</v>
      </c>
      <c r="E415" s="5" t="str">
        <f t="shared" si="152"/>
        <v>Zirper</v>
      </c>
      <c r="F415" s="5" t="str">
        <f t="shared" si="152"/>
        <v>Grillo</v>
      </c>
      <c r="G415" s="5" t="str">
        <f t="shared" si="152"/>
        <v>Grillo</v>
      </c>
      <c r="H415" s="5" t="str">
        <f t="shared" si="152"/>
        <v>귀뚜라미</v>
      </c>
      <c r="I415" s="5" t="str">
        <f t="shared" si="152"/>
        <v>蟋蟀</v>
      </c>
      <c r="J415" s="5" t="str">
        <f t="shared" si="152"/>
        <v>蟋蟀</v>
      </c>
    </row>
    <row r="416">
      <c r="A416" s="5" t="str">
        <f>CONCATENATE("CATEGORY_",UPPER(Pokemon!B404))</f>
        <v>CATEGORY_SHINX</v>
      </c>
      <c r="B416" s="3" t="str">
        <f>Moves!B149</f>
        <v>Flash</v>
      </c>
      <c r="C416" s="3" t="s">
        <v>9467</v>
      </c>
      <c r="D416" s="3" t="str">
        <f>Moves!D149</f>
        <v>Flash</v>
      </c>
      <c r="E416" s="3" t="s">
        <v>9468</v>
      </c>
      <c r="F416" s="3" t="str">
        <f>B416</f>
        <v>Flash</v>
      </c>
      <c r="G416" s="3" t="s">
        <v>9469</v>
      </c>
      <c r="H416" s="3" t="s">
        <v>9470</v>
      </c>
      <c r="I416" s="3" t="str">
        <f>Moves!I149</f>
        <v>閃光</v>
      </c>
      <c r="J416" s="3" t="str">
        <f>Moves!J149</f>
        <v>闪光</v>
      </c>
    </row>
    <row r="417">
      <c r="A417" s="5" t="str">
        <f>CONCATENATE("CATEGORY_",UPPER(Pokemon!B405))</f>
        <v>CATEGORY_LUXIO</v>
      </c>
      <c r="B417" s="3" t="str">
        <f>Moves!B210</f>
        <v>Spark</v>
      </c>
      <c r="C417" s="3" t="s">
        <v>9471</v>
      </c>
      <c r="D417" s="3" t="str">
        <f>Moves!D210</f>
        <v>Étincelle</v>
      </c>
      <c r="E417" s="3" t="s">
        <v>9472</v>
      </c>
      <c r="F417" s="3" t="str">
        <f>Moves!F210</f>
        <v>Chispa</v>
      </c>
      <c r="G417" s="3" t="s">
        <v>9473</v>
      </c>
      <c r="H417" s="3" t="s">
        <v>9474</v>
      </c>
      <c r="I417" s="3" t="str">
        <f>Moves!I210</f>
        <v>電光</v>
      </c>
      <c r="J417" s="3" t="str">
        <f>Moves!J210</f>
        <v>电光</v>
      </c>
    </row>
    <row r="418">
      <c r="A418" s="5" t="str">
        <f>CONCATENATE("CATEGORY_",UPPER(Pokemon!B406))</f>
        <v>CATEGORY_LUXRAY</v>
      </c>
      <c r="B418" s="3" t="s">
        <v>9475</v>
      </c>
      <c r="C418" s="3" t="s">
        <v>9476</v>
      </c>
      <c r="D418" s="3" t="s">
        <v>9477</v>
      </c>
      <c r="E418" s="3" t="s">
        <v>9478</v>
      </c>
      <c r="F418" s="3" t="s">
        <v>9479</v>
      </c>
      <c r="G418" s="3" t="s">
        <v>9480</v>
      </c>
      <c r="H418" s="3" t="s">
        <v>9481</v>
      </c>
      <c r="I418" s="3" t="s">
        <v>9482</v>
      </c>
      <c r="J418" s="5" t="str">
        <f t="shared" ref="J418:J420" si="153">I418</f>
        <v>目光</v>
      </c>
    </row>
    <row r="419">
      <c r="A419" s="5" t="str">
        <f>CONCATENATE("CATEGORY_",UPPER(Pokemon!B407))</f>
        <v>CATEGORY_BUDEW</v>
      </c>
      <c r="B419" s="3" t="s">
        <v>9483</v>
      </c>
      <c r="C419" s="3" t="s">
        <v>9484</v>
      </c>
      <c r="D419" s="3" t="s">
        <v>9485</v>
      </c>
      <c r="E419" s="3" t="s">
        <v>9486</v>
      </c>
      <c r="F419" s="3" t="s">
        <v>9487</v>
      </c>
      <c r="G419" s="3" t="s">
        <v>9488</v>
      </c>
      <c r="H419" s="3" t="s">
        <v>9489</v>
      </c>
      <c r="I419" s="3" t="s">
        <v>9490</v>
      </c>
      <c r="J419" s="5" t="str">
        <f t="shared" si="153"/>
        <v>花苞</v>
      </c>
    </row>
    <row r="420">
      <c r="A420" s="5" t="str">
        <f>CONCATENATE("CATEGORY_",UPPER(Pokemon!B408))</f>
        <v>CATEGORY_ROSERADE</v>
      </c>
      <c r="B420" s="3" t="s">
        <v>9491</v>
      </c>
      <c r="C420" s="3" t="s">
        <v>9492</v>
      </c>
      <c r="D420" s="3" t="s">
        <v>9491</v>
      </c>
      <c r="E420" s="3" t="s">
        <v>9493</v>
      </c>
      <c r="F420" s="3" t="s">
        <v>9494</v>
      </c>
      <c r="G420" s="3" t="s">
        <v>9495</v>
      </c>
      <c r="H420" s="3" t="s">
        <v>9496</v>
      </c>
      <c r="I420" s="3" t="s">
        <v>9497</v>
      </c>
      <c r="J420" s="5" t="str">
        <f t="shared" si="153"/>
        <v>花束</v>
      </c>
    </row>
    <row r="421">
      <c r="A421" s="5" t="str">
        <f>CONCATENATE("CATEGORY_",UPPER(Pokemon!B409))</f>
        <v>CATEGORY_CRANIDOS</v>
      </c>
      <c r="B421" s="3" t="s">
        <v>9498</v>
      </c>
      <c r="C421" s="5" t="str">
        <f>Moves!C30</f>
        <v>ずつき</v>
      </c>
      <c r="D421" s="3" t="s">
        <v>9499</v>
      </c>
      <c r="E421" s="3" t="s">
        <v>9500</v>
      </c>
      <c r="F421" s="3" t="s">
        <v>9501</v>
      </c>
      <c r="G421" s="3" t="s">
        <v>9502</v>
      </c>
      <c r="H421" s="5" t="str">
        <f>Moves!H30</f>
        <v>박치기</v>
      </c>
      <c r="I421" s="5" t="str">
        <f>Moves!I30</f>
        <v>頭錘</v>
      </c>
      <c r="J421" s="5" t="str">
        <f>Moves!J30</f>
        <v>头锤</v>
      </c>
    </row>
    <row r="422">
      <c r="A422" s="5" t="str">
        <f>CONCATENATE("CATEGORY_",UPPER(Pokemon!B410))</f>
        <v>CATEGORY_RAMPARDOS</v>
      </c>
      <c r="B422" s="5" t="str">
        <f t="shared" ref="B422:J422" si="154">B421</f>
        <v>Head Butt</v>
      </c>
      <c r="C422" s="5" t="str">
        <f t="shared" si="154"/>
        <v>ずつき</v>
      </c>
      <c r="D422" s="5" t="str">
        <f t="shared" si="154"/>
        <v>Coud'Boule</v>
      </c>
      <c r="E422" s="5" t="str">
        <f t="shared" si="154"/>
        <v>Kopfstoß</v>
      </c>
      <c r="F422" s="5" t="str">
        <f t="shared" si="154"/>
        <v>Cabezazo</v>
      </c>
      <c r="G422" s="5" t="str">
        <f t="shared" si="154"/>
        <v>Cranioso</v>
      </c>
      <c r="H422" s="5" t="str">
        <f t="shared" si="154"/>
        <v>박치기</v>
      </c>
      <c r="I422" s="5" t="str">
        <f t="shared" si="154"/>
        <v>頭錘</v>
      </c>
      <c r="J422" s="5" t="str">
        <f t="shared" si="154"/>
        <v>头锤</v>
      </c>
    </row>
    <row r="423">
      <c r="A423" s="5" t="str">
        <f>CONCATENATE("CATEGORY_",UPPER(Pokemon!B411))</f>
        <v>CATEGORY_SHIELDON</v>
      </c>
      <c r="B423" s="3" t="s">
        <v>9503</v>
      </c>
      <c r="C423" s="3" t="s">
        <v>9504</v>
      </c>
      <c r="D423" s="3" t="s">
        <v>9505</v>
      </c>
      <c r="E423" s="3" t="s">
        <v>9506</v>
      </c>
      <c r="F423" s="3" t="s">
        <v>9507</v>
      </c>
      <c r="G423" s="3" t="s">
        <v>9508</v>
      </c>
      <c r="H423" s="3" t="s">
        <v>9509</v>
      </c>
      <c r="I423" s="3" t="s">
        <v>9510</v>
      </c>
      <c r="J423" s="5" t="str">
        <f>IFERROR(__xludf.DUMMYFUNCTION("GOOGLETRANSLATE(I423, ""zh_HANT"",""zh_HANS"")"),"护盾")</f>
        <v>护盾</v>
      </c>
    </row>
    <row r="424">
      <c r="A424" s="5" t="str">
        <f>CONCATENATE("CATEGORY_",UPPER(Pokemon!B412))</f>
        <v>CATEGORY_BASTIODON</v>
      </c>
      <c r="B424" s="5" t="str">
        <f t="shared" ref="B424:J424" si="155">B423</f>
        <v>Shield</v>
      </c>
      <c r="C424" s="5" t="str">
        <f t="shared" si="155"/>
        <v>シールド</v>
      </c>
      <c r="D424" s="5" t="str">
        <f t="shared" si="155"/>
        <v>Bouclier</v>
      </c>
      <c r="E424" s="5" t="str">
        <f t="shared" si="155"/>
        <v>Schutzschild</v>
      </c>
      <c r="F424" s="5" t="str">
        <f t="shared" si="155"/>
        <v>Escudo</v>
      </c>
      <c r="G424" s="5" t="str">
        <f t="shared" si="155"/>
        <v>Schermo</v>
      </c>
      <c r="H424" s="5" t="str">
        <f t="shared" si="155"/>
        <v>실드</v>
      </c>
      <c r="I424" s="5" t="str">
        <f t="shared" si="155"/>
        <v>護盾</v>
      </c>
      <c r="J424" s="5" t="str">
        <f t="shared" si="155"/>
        <v>护盾</v>
      </c>
    </row>
    <row r="425">
      <c r="A425" s="5" t="str">
        <f>CONCATENATE("CATEGORY_",UPPER(Pokemon!B413))</f>
        <v>CATEGORY_BURMY</v>
      </c>
      <c r="B425" s="5" t="str">
        <f t="shared" ref="B425:J425" si="156">B217</f>
        <v>Bagworm</v>
      </c>
      <c r="C425" s="5" t="str">
        <f t="shared" si="156"/>
        <v>みのむし</v>
      </c>
      <c r="D425" s="5" t="str">
        <f t="shared" si="156"/>
        <v>Ver Caché</v>
      </c>
      <c r="E425" s="5" t="str">
        <f t="shared" si="156"/>
        <v>Beutelwurm</v>
      </c>
      <c r="F425" s="5" t="str">
        <f t="shared" si="156"/>
        <v>Larva</v>
      </c>
      <c r="G425" s="5" t="str">
        <f t="shared" si="156"/>
        <v>Larva</v>
      </c>
      <c r="H425" s="5" t="str">
        <f t="shared" si="156"/>
        <v>도롱이벌레</v>
      </c>
      <c r="I425" s="5" t="str">
        <f t="shared" si="156"/>
        <v>蓑衣蟲</v>
      </c>
      <c r="J425" s="5" t="str">
        <f t="shared" si="156"/>
        <v>蓑衣虫</v>
      </c>
    </row>
    <row r="426">
      <c r="A426" s="5" t="str">
        <f>CONCATENATE("CATEGORY_",UPPER(Pokemon!B414))</f>
        <v>CATEGORY_WORMADAM</v>
      </c>
      <c r="B426" s="5" t="str">
        <f t="shared" ref="B426:K426" si="157">B217</f>
        <v>Bagworm</v>
      </c>
      <c r="C426" s="5" t="str">
        <f t="shared" si="157"/>
        <v>みのむし</v>
      </c>
      <c r="D426" s="5" t="str">
        <f t="shared" si="157"/>
        <v>Ver Caché</v>
      </c>
      <c r="E426" s="5" t="str">
        <f t="shared" si="157"/>
        <v>Beutelwurm</v>
      </c>
      <c r="F426" s="5" t="str">
        <f t="shared" si="157"/>
        <v>Larva</v>
      </c>
      <c r="G426" s="5" t="str">
        <f t="shared" si="157"/>
        <v>Larva</v>
      </c>
      <c r="H426" s="5" t="str">
        <f t="shared" si="157"/>
        <v>도롱이벌레</v>
      </c>
      <c r="I426" s="5" t="str">
        <f t="shared" si="157"/>
        <v>蓑衣蟲</v>
      </c>
      <c r="J426" s="5" t="str">
        <f t="shared" si="157"/>
        <v>蓑衣虫</v>
      </c>
      <c r="K426" s="5" t="str">
        <f t="shared" si="157"/>
        <v/>
      </c>
    </row>
    <row r="427">
      <c r="A427" s="5" t="str">
        <f>CONCATENATE("CATEGORY_",UPPER(Pokemon!B415))</f>
        <v>CATEGORY_MOTHIM</v>
      </c>
      <c r="B427" s="3" t="s">
        <v>9511</v>
      </c>
      <c r="C427" s="3" t="s">
        <v>9512</v>
      </c>
      <c r="D427" s="3" t="s">
        <v>9513</v>
      </c>
      <c r="E427" s="3" t="s">
        <v>9514</v>
      </c>
      <c r="F427" s="3" t="s">
        <v>9515</v>
      </c>
      <c r="G427" s="3" t="s">
        <v>9516</v>
      </c>
      <c r="H427" s="3" t="s">
        <v>9517</v>
      </c>
      <c r="I427" s="3" t="s">
        <v>9518</v>
      </c>
      <c r="J427" s="5" t="str">
        <f t="shared" ref="J427:J429" si="158">I427</f>
        <v>蓑衣蛾</v>
      </c>
    </row>
    <row r="428">
      <c r="A428" s="5" t="str">
        <f>CONCATENATE("CATEGORY_",UPPER(Pokemon!B416))</f>
        <v>CATEGORY_COMBEE</v>
      </c>
      <c r="B428" s="3" t="s">
        <v>9519</v>
      </c>
      <c r="C428" s="3" t="s">
        <v>9520</v>
      </c>
      <c r="D428" s="3" t="s">
        <v>9521</v>
      </c>
      <c r="E428" s="3" t="s">
        <v>9522</v>
      </c>
      <c r="F428" s="3" t="s">
        <v>9523</v>
      </c>
      <c r="G428" s="3" t="s">
        <v>9524</v>
      </c>
      <c r="H428" s="3" t="s">
        <v>9525</v>
      </c>
      <c r="I428" s="3" t="s">
        <v>9526</v>
      </c>
      <c r="J428" s="5" t="str">
        <f t="shared" si="158"/>
        <v>幼蜂</v>
      </c>
    </row>
    <row r="429">
      <c r="A429" s="5" t="str">
        <f>CONCATENATE("CATEGORY_",UPPER(Pokemon!B417))</f>
        <v>CATEGORY_VESPIQUEN</v>
      </c>
      <c r="B429" s="3" t="s">
        <v>9527</v>
      </c>
      <c r="C429" s="3" t="s">
        <v>9528</v>
      </c>
      <c r="D429" s="3" t="s">
        <v>9529</v>
      </c>
      <c r="E429" s="3" t="s">
        <v>9530</v>
      </c>
      <c r="F429" s="3" t="s">
        <v>9531</v>
      </c>
      <c r="G429" s="3" t="s">
        <v>9532</v>
      </c>
      <c r="H429" s="3" t="s">
        <v>9533</v>
      </c>
      <c r="I429" s="3" t="s">
        <v>9534</v>
      </c>
      <c r="J429" s="5" t="str">
        <f t="shared" si="158"/>
        <v>蜂巢</v>
      </c>
    </row>
    <row r="430">
      <c r="A430" s="5" t="str">
        <f>CONCATENATE("CATEGORY_",UPPER(Pokemon!B418))</f>
        <v>CATEGORY_PACHIRISU</v>
      </c>
      <c r="B430" s="3" t="s">
        <v>9535</v>
      </c>
      <c r="C430" s="3" t="s">
        <v>9536</v>
      </c>
      <c r="D430" s="3" t="s">
        <v>9537</v>
      </c>
      <c r="E430" s="3" t="s">
        <v>9538</v>
      </c>
      <c r="F430" s="3" t="s">
        <v>9539</v>
      </c>
      <c r="G430" s="3" t="s">
        <v>9540</v>
      </c>
      <c r="H430" s="3" t="s">
        <v>9541</v>
      </c>
      <c r="I430" s="3" t="s">
        <v>9542</v>
      </c>
      <c r="J430" s="5" t="str">
        <f>IFERROR(__xludf.DUMMYFUNCTION("GOOGLETRANSLATE(I430, ""zh_HANT"",""zh_HANS"")"),"电松鼠")</f>
        <v>电松鼠</v>
      </c>
    </row>
    <row r="431">
      <c r="A431" s="5" t="str">
        <f>CONCATENATE("CATEGORY_",UPPER(Pokemon!B419))</f>
        <v>CATEGORY_BUIZEL</v>
      </c>
      <c r="B431" s="3" t="s">
        <v>9543</v>
      </c>
      <c r="C431" s="3" t="s">
        <v>9544</v>
      </c>
      <c r="D431" s="3" t="s">
        <v>9545</v>
      </c>
      <c r="E431" s="3" t="s">
        <v>9546</v>
      </c>
      <c r="F431" s="3" t="s">
        <v>9547</v>
      </c>
      <c r="G431" s="3" t="s">
        <v>9548</v>
      </c>
      <c r="H431" s="3" t="s">
        <v>9549</v>
      </c>
      <c r="I431" s="3" t="s">
        <v>9550</v>
      </c>
      <c r="J431" s="5" t="str">
        <f>I431</f>
        <v>海鼬</v>
      </c>
    </row>
    <row r="432">
      <c r="A432" s="5" t="str">
        <f>CONCATENATE("CATEGORY_",UPPER(Pokemon!B420))</f>
        <v>CATEGORY_FLOATZEL</v>
      </c>
      <c r="B432" s="5" t="str">
        <f t="shared" ref="B432:J432" si="159">B431</f>
        <v>Sea Weasle</v>
      </c>
      <c r="C432" s="5" t="str">
        <f t="shared" si="159"/>
        <v>うみイタチ</v>
      </c>
      <c r="D432" s="5" t="str">
        <f t="shared" si="159"/>
        <v>Aquabelette</v>
      </c>
      <c r="E432" s="5" t="str">
        <f t="shared" si="159"/>
        <v>Meereswiesel</v>
      </c>
      <c r="F432" s="5" t="str">
        <f t="shared" si="159"/>
        <v>Nutria Mar.</v>
      </c>
      <c r="G432" s="5" t="str">
        <f t="shared" si="159"/>
        <v>Maridonnola</v>
      </c>
      <c r="H432" s="5" t="str">
        <f t="shared" si="159"/>
        <v>바다족제비</v>
      </c>
      <c r="I432" s="5" t="str">
        <f t="shared" si="159"/>
        <v>海鼬</v>
      </c>
      <c r="J432" s="5" t="str">
        <f t="shared" si="159"/>
        <v>海鼬</v>
      </c>
    </row>
    <row r="433">
      <c r="A433" s="5" t="str">
        <f>CONCATENATE("CATEGORY_",UPPER(Pokemon!B421))</f>
        <v>CATEGORY_CHERUBI</v>
      </c>
      <c r="B433" s="3" t="s">
        <v>9551</v>
      </c>
      <c r="C433" s="3" t="s">
        <v>9552</v>
      </c>
      <c r="D433" s="3" t="s">
        <v>9553</v>
      </c>
      <c r="E433" s="3" t="s">
        <v>9554</v>
      </c>
      <c r="F433" s="3" t="s">
        <v>9555</v>
      </c>
      <c r="G433" s="3" t="s">
        <v>9556</v>
      </c>
      <c r="H433" s="3" t="s">
        <v>9557</v>
      </c>
      <c r="I433" s="3" t="s">
        <v>9558</v>
      </c>
      <c r="J433" s="5" t="str">
        <f>IFERROR(__xludf.DUMMYFUNCTION("GOOGLETRANSLATE(I433, ""zh_HANT"",""zh_HANS"")"),"樱桃")</f>
        <v>樱桃</v>
      </c>
    </row>
    <row r="434">
      <c r="A434" s="5" t="str">
        <f>CONCATENATE("CATEGORY_",UPPER(Pokemon!B422))</f>
        <v>CATEGORY_CHERRIM</v>
      </c>
      <c r="B434" s="3" t="s">
        <v>9559</v>
      </c>
      <c r="C434" s="3" t="s">
        <v>9560</v>
      </c>
      <c r="D434" s="3" t="s">
        <v>9561</v>
      </c>
      <c r="E434" s="3" t="s">
        <v>9562</v>
      </c>
      <c r="F434" s="3" t="s">
        <v>9563</v>
      </c>
      <c r="G434" s="3" t="s">
        <v>9564</v>
      </c>
      <c r="H434" s="3" t="s">
        <v>9565</v>
      </c>
      <c r="I434" s="3" t="s">
        <v>9566</v>
      </c>
      <c r="J434" s="5" t="str">
        <f>IFERROR(__xludf.DUMMYFUNCTION("GOOGLETRANSLATE(I434, ""zh_HANT"",""zh_HANS"")"),"樱花")</f>
        <v>樱花</v>
      </c>
    </row>
    <row r="435">
      <c r="A435" s="5" t="str">
        <f>CONCATENATE("CATEGORY_",UPPER(Pokemon!B423))</f>
        <v>CATEGORY_SHELLOS</v>
      </c>
      <c r="B435" s="3" t="s">
        <v>9567</v>
      </c>
      <c r="C435" s="3" t="s">
        <v>9568</v>
      </c>
      <c r="D435" s="3" t="s">
        <v>9569</v>
      </c>
      <c r="E435" s="3" t="s">
        <v>9570</v>
      </c>
      <c r="F435" s="3" t="s">
        <v>9571</v>
      </c>
      <c r="G435" s="3" t="s">
        <v>9572</v>
      </c>
      <c r="H435" s="3" t="s">
        <v>9573</v>
      </c>
      <c r="I435" s="3" t="s">
        <v>9574</v>
      </c>
      <c r="J435" s="5" t="str">
        <f>I435</f>
        <v>海兔</v>
      </c>
    </row>
    <row r="436">
      <c r="A436" s="5" t="str">
        <f>CONCATENATE("CATEGORY_",UPPER(Pokemon!B424))</f>
        <v>CATEGORY_GASTRODON</v>
      </c>
      <c r="B436" s="5" t="str">
        <f t="shared" ref="B436:J436" si="160">B435</f>
        <v>Sea Slug</v>
      </c>
      <c r="C436" s="5" t="str">
        <f t="shared" si="160"/>
        <v>ウミウシ</v>
      </c>
      <c r="D436" s="5" t="str">
        <f t="shared" si="160"/>
        <v>Aqualimace</v>
      </c>
      <c r="E436" s="5" t="str">
        <f t="shared" si="160"/>
        <v>Seeschnecke</v>
      </c>
      <c r="F436" s="5" t="str">
        <f t="shared" si="160"/>
        <v>Babosa Mar.</v>
      </c>
      <c r="G436" s="5" t="str">
        <f t="shared" si="160"/>
        <v>Lumacomare</v>
      </c>
      <c r="H436" s="5" t="str">
        <f t="shared" si="160"/>
        <v>갯민숭달팽이</v>
      </c>
      <c r="I436" s="5" t="str">
        <f t="shared" si="160"/>
        <v>海兔</v>
      </c>
      <c r="J436" s="5" t="str">
        <f t="shared" si="160"/>
        <v>海兔</v>
      </c>
    </row>
    <row r="437">
      <c r="A437" s="5" t="str">
        <f>CONCATENATE("CATEGORY_",UPPER(Pokemon!B425))</f>
        <v>CATEGORY_AMBIPOM</v>
      </c>
      <c r="B437" s="5" t="str">
        <f t="shared" ref="B437:K437" si="161">B201</f>
        <v>Long Tail</v>
      </c>
      <c r="C437" s="5" t="str">
        <f t="shared" si="161"/>
        <v>おなが</v>
      </c>
      <c r="D437" s="5" t="str">
        <f t="shared" si="161"/>
        <v>Longqueue</v>
      </c>
      <c r="E437" s="5" t="str">
        <f t="shared" si="161"/>
        <v>Langschweif</v>
      </c>
      <c r="F437" s="5" t="str">
        <f t="shared" si="161"/>
        <v>Cola Larga</v>
      </c>
      <c r="G437" s="5" t="str">
        <f t="shared" si="161"/>
        <v>Lungacoda</v>
      </c>
      <c r="H437" s="5" t="str">
        <f t="shared" si="161"/>
        <v>긴꼬리</v>
      </c>
      <c r="I437" s="5" t="str">
        <f t="shared" si="161"/>
        <v>長尾</v>
      </c>
      <c r="J437" s="5" t="str">
        <f t="shared" si="161"/>
        <v>长尾</v>
      </c>
      <c r="K437" s="5" t="str">
        <f t="shared" si="161"/>
        <v/>
      </c>
    </row>
    <row r="438">
      <c r="A438" s="5" t="str">
        <f>CONCATENATE("CATEGORY_",UPPER(Pokemon!B426))</f>
        <v>CATEGORY_DRIFLOON</v>
      </c>
      <c r="B438" s="5" t="str">
        <f t="shared" ref="B438:K438" si="162">B40</f>
        <v>Balloon</v>
      </c>
      <c r="C438" s="5" t="str">
        <f t="shared" si="162"/>
        <v>ふうせん</v>
      </c>
      <c r="D438" s="5" t="str">
        <f t="shared" si="162"/>
        <v>Bouboule</v>
      </c>
      <c r="E438" s="5" t="str">
        <f t="shared" si="162"/>
        <v>Ballon</v>
      </c>
      <c r="F438" s="5" t="str">
        <f t="shared" si="162"/>
        <v>Globo</v>
      </c>
      <c r="G438" s="5" t="str">
        <f t="shared" si="162"/>
        <v>Pallone</v>
      </c>
      <c r="H438" s="5" t="str">
        <f t="shared" si="162"/>
        <v>풍선</v>
      </c>
      <c r="I438" s="5" t="str">
        <f t="shared" si="162"/>
        <v>氣球</v>
      </c>
      <c r="J438" s="5" t="str">
        <f t="shared" si="162"/>
        <v>气球</v>
      </c>
      <c r="K438" s="5" t="str">
        <f t="shared" si="162"/>
        <v/>
      </c>
    </row>
    <row r="439">
      <c r="A439" s="5" t="str">
        <f>CONCATENATE("CATEGORY_",UPPER(Pokemon!B427))</f>
        <v>CATEGORY_DRIFBLIM</v>
      </c>
      <c r="B439" s="3" t="s">
        <v>9575</v>
      </c>
      <c r="C439" s="3" t="s">
        <v>9576</v>
      </c>
      <c r="D439" s="3" t="s">
        <v>7503</v>
      </c>
      <c r="E439" s="3" t="s">
        <v>9577</v>
      </c>
      <c r="F439" s="3" t="s">
        <v>9578</v>
      </c>
      <c r="G439" s="3" t="s">
        <v>9579</v>
      </c>
      <c r="H439" s="3" t="s">
        <v>9580</v>
      </c>
      <c r="I439" s="3" t="s">
        <v>9581</v>
      </c>
      <c r="J439" s="5" t="str">
        <f>IFERROR(__xludf.DUMMYFUNCTION("GOOGLETRANSLATE(I439, ""zh_HANT"",""zh_HANS"")"),"热气球")</f>
        <v>热气球</v>
      </c>
    </row>
    <row r="440">
      <c r="A440" s="5" t="str">
        <f>CONCATENATE("CATEGORY_",UPPER(Pokemon!B428))</f>
        <v>CATEGORY_BUNEARY</v>
      </c>
      <c r="B440" s="3" t="s">
        <v>9582</v>
      </c>
      <c r="C440" s="3" t="s">
        <v>9583</v>
      </c>
      <c r="D440" s="3" t="s">
        <v>9584</v>
      </c>
      <c r="E440" s="3" t="s">
        <v>9585</v>
      </c>
      <c r="F440" s="3" t="s">
        <v>9586</v>
      </c>
      <c r="G440" s="3" t="s">
        <v>9587</v>
      </c>
      <c r="H440" s="3" t="s">
        <v>9588</v>
      </c>
      <c r="I440" s="3" t="s">
        <v>9589</v>
      </c>
      <c r="J440" s="5" t="str">
        <f>I440</f>
        <v>兔子</v>
      </c>
    </row>
    <row r="441">
      <c r="A441" s="5" t="str">
        <f>CONCATENATE("CATEGORY_",UPPER(Pokemon!B429))</f>
        <v>CATEGORY_LOPUNNY</v>
      </c>
      <c r="B441" s="5" t="str">
        <f t="shared" ref="B441:J441" si="163">B440</f>
        <v>Rabbit</v>
      </c>
      <c r="C441" s="5" t="str">
        <f t="shared" si="163"/>
        <v>うさぎ</v>
      </c>
      <c r="D441" s="5" t="str">
        <f t="shared" si="163"/>
        <v>Lapin</v>
      </c>
      <c r="E441" s="5" t="str">
        <f t="shared" si="163"/>
        <v>Hase</v>
      </c>
      <c r="F441" s="5" t="str">
        <f t="shared" si="163"/>
        <v>Conejo</v>
      </c>
      <c r="G441" s="5" t="str">
        <f t="shared" si="163"/>
        <v>Coniglio</v>
      </c>
      <c r="H441" s="5" t="str">
        <f t="shared" si="163"/>
        <v>토끼</v>
      </c>
      <c r="I441" s="5" t="str">
        <f t="shared" si="163"/>
        <v>兔子</v>
      </c>
      <c r="J441" s="5" t="str">
        <f t="shared" si="163"/>
        <v>兔子</v>
      </c>
    </row>
    <row r="442">
      <c r="A442" s="5" t="str">
        <f>CONCATENATE("CATEGORY_",UPPER(Pokemon!B430))</f>
        <v>CATEGORY_MISMAGIUS</v>
      </c>
      <c r="B442" s="3" t="s">
        <v>9590</v>
      </c>
      <c r="C442" s="3" t="s">
        <v>9591</v>
      </c>
      <c r="D442" s="3" t="s">
        <v>9592</v>
      </c>
      <c r="E442" s="3" t="s">
        <v>9593</v>
      </c>
      <c r="F442" s="3" t="s">
        <v>9594</v>
      </c>
      <c r="G442" s="3" t="s">
        <v>8305</v>
      </c>
      <c r="H442" s="3" t="s">
        <v>9595</v>
      </c>
      <c r="I442" s="3" t="s">
        <v>9596</v>
      </c>
      <c r="J442" s="5" t="str">
        <f>I442</f>
        <v>魔法</v>
      </c>
    </row>
    <row r="443">
      <c r="A443" s="5" t="str">
        <f>CONCATENATE("CATEGORY_",UPPER(Pokemon!B431))</f>
        <v>CATEGORY_HONCHKROW</v>
      </c>
      <c r="B443" s="3" t="s">
        <v>9597</v>
      </c>
      <c r="C443" s="3" t="s">
        <v>9598</v>
      </c>
      <c r="D443" s="3" t="s">
        <v>9597</v>
      </c>
      <c r="E443" s="3" t="s">
        <v>9599</v>
      </c>
      <c r="F443" s="3" t="s">
        <v>9600</v>
      </c>
      <c r="G443" s="3" t="s">
        <v>9601</v>
      </c>
      <c r="H443" s="3" t="s">
        <v>9602</v>
      </c>
      <c r="I443" s="3" t="s">
        <v>9603</v>
      </c>
      <c r="J443" s="5" t="str">
        <f>IFERROR(__xludf.DUMMYFUNCTION("GOOGLETRANSLATE(I443, ""zh_HANT"",""zh_HANS"")"),"大头目")</f>
        <v>大头目</v>
      </c>
    </row>
    <row r="444">
      <c r="A444" s="5" t="str">
        <f>CONCATENATE("CATEGORY_",UPPER(Pokemon!B432))</f>
        <v>CATEGORY_GLAMEOW</v>
      </c>
      <c r="B444" s="3" t="s">
        <v>9604</v>
      </c>
      <c r="C444" s="3" t="s">
        <v>9605</v>
      </c>
      <c r="D444" s="3" t="s">
        <v>9606</v>
      </c>
      <c r="E444" s="3" t="s">
        <v>9607</v>
      </c>
      <c r="F444" s="3" t="s">
        <v>9608</v>
      </c>
      <c r="G444" s="3" t="s">
        <v>9609</v>
      </c>
      <c r="H444" s="3" t="s">
        <v>9610</v>
      </c>
      <c r="I444" s="3" t="s">
        <v>9611</v>
      </c>
      <c r="J444" s="5" t="str">
        <f>IFERROR(__xludf.DUMMYFUNCTION("GOOGLETRANSLATE(I444, ""zh_HANT"",""zh_HANS"")"),"装乖")</f>
        <v>装乖</v>
      </c>
    </row>
    <row r="445">
      <c r="A445" s="5" t="str">
        <f>CONCATENATE("CATEGORY_",UPPER(Pokemon!B433))</f>
        <v>CATEGORY_PURUGLY</v>
      </c>
      <c r="B445" s="3" t="s">
        <v>9612</v>
      </c>
      <c r="C445" s="3" t="s">
        <v>9613</v>
      </c>
      <c r="D445" s="3" t="s">
        <v>9614</v>
      </c>
      <c r="E445" s="3" t="s">
        <v>9615</v>
      </c>
      <c r="F445" s="3" t="s">
        <v>9616</v>
      </c>
      <c r="G445" s="3" t="s">
        <v>9617</v>
      </c>
      <c r="H445" s="3" t="s">
        <v>9618</v>
      </c>
      <c r="I445" s="3" t="s">
        <v>9619</v>
      </c>
      <c r="J445" s="5" t="str">
        <f>IFERROR(__xludf.DUMMYFUNCTION("GOOGLETRANSLATE(I445, ""zh_HANT"",""zh_HANS"")"),"虎斑猫")</f>
        <v>虎斑猫</v>
      </c>
    </row>
    <row r="446">
      <c r="A446" s="5" t="str">
        <f>CONCATENATE("CATEGORY_",UPPER(Pokemon!B434))</f>
        <v>CATEGORY_CHINGLING</v>
      </c>
      <c r="B446" s="3" t="s">
        <v>9620</v>
      </c>
      <c r="C446" s="3" t="s">
        <v>9621</v>
      </c>
      <c r="D446" s="3" t="s">
        <v>9622</v>
      </c>
      <c r="E446" s="3" t="s">
        <v>9623</v>
      </c>
      <c r="F446" s="3" t="s">
        <v>9624</v>
      </c>
      <c r="G446" s="3" t="s">
        <v>9625</v>
      </c>
      <c r="H446" s="3" t="s">
        <v>9626</v>
      </c>
      <c r="I446" s="3" t="s">
        <v>9627</v>
      </c>
      <c r="J446" s="5" t="str">
        <f>IFERROR(__xludf.DUMMYFUNCTION("GOOGLETRANSLATE(I446, ""zh_HANT"",""zh_HANS"")"),"铃铛")</f>
        <v>铃铛</v>
      </c>
    </row>
    <row r="447">
      <c r="A447" s="5" t="str">
        <f>CONCATENATE("CATEGORY_",UPPER(Pokemon!B435))</f>
        <v>CATEGORY_STUNKY</v>
      </c>
      <c r="B447" s="3" t="s">
        <v>9628</v>
      </c>
      <c r="C447" s="3" t="s">
        <v>9629</v>
      </c>
      <c r="D447" s="3" t="s">
        <v>9630</v>
      </c>
      <c r="E447" s="3" t="s">
        <v>9631</v>
      </c>
      <c r="F447" s="3" t="s">
        <v>9632</v>
      </c>
      <c r="G447" s="3" t="s">
        <v>9633</v>
      </c>
      <c r="H447" s="3" t="s">
        <v>9634</v>
      </c>
      <c r="I447" s="3" t="s">
        <v>9635</v>
      </c>
      <c r="J447" s="5" t="str">
        <f>I447</f>
        <v>臭鼬</v>
      </c>
    </row>
    <row r="448">
      <c r="A448" s="5" t="str">
        <f>CONCATENATE("CATEGORY_",UPPER(Pokemon!B436))</f>
        <v>CATEGORY_SKUNTANK</v>
      </c>
      <c r="B448" s="5" t="str">
        <f t="shared" ref="B448:J448" si="164">B447</f>
        <v>Skunk</v>
      </c>
      <c r="C448" s="5" t="str">
        <f t="shared" si="164"/>
        <v>スカンク</v>
      </c>
      <c r="D448" s="5" t="str">
        <f t="shared" si="164"/>
        <v>Moufette</v>
      </c>
      <c r="E448" s="5" t="str">
        <f t="shared" si="164"/>
        <v>Stinktier</v>
      </c>
      <c r="F448" s="5" t="str">
        <f t="shared" si="164"/>
        <v>Mofeta</v>
      </c>
      <c r="G448" s="5" t="str">
        <f t="shared" si="164"/>
        <v>Moffetta</v>
      </c>
      <c r="H448" s="5" t="str">
        <f t="shared" si="164"/>
        <v>스컹크</v>
      </c>
      <c r="I448" s="5" t="str">
        <f t="shared" si="164"/>
        <v>臭鼬</v>
      </c>
      <c r="J448" s="5" t="str">
        <f t="shared" si="164"/>
        <v>臭鼬</v>
      </c>
    </row>
    <row r="449">
      <c r="A449" s="5" t="str">
        <f>CONCATENATE("CATEGORY_",UPPER(Pokemon!B437))</f>
        <v>CATEGORY_BRONZOR</v>
      </c>
      <c r="B449" s="3" t="s">
        <v>9636</v>
      </c>
      <c r="C449" s="3" t="s">
        <v>9637</v>
      </c>
      <c r="D449" s="3" t="s">
        <v>9636</v>
      </c>
      <c r="E449" s="5" t="str">
        <f>B449</f>
        <v>Bronze</v>
      </c>
      <c r="F449" s="3" t="s">
        <v>9638</v>
      </c>
      <c r="G449" s="3" t="s">
        <v>9639</v>
      </c>
      <c r="H449" s="3" t="s">
        <v>9640</v>
      </c>
      <c r="I449" s="3" t="s">
        <v>9641</v>
      </c>
      <c r="J449" s="5" t="str">
        <f>IFERROR(__xludf.DUMMYFUNCTION("GOOGLETRANSLATE(I449, ""zh_HANT"",""zh_HANS"")"),"青铜")</f>
        <v>青铜</v>
      </c>
    </row>
    <row r="450">
      <c r="A450" s="5" t="str">
        <f>CONCATENATE("CATEGORY_",UPPER(Pokemon!B438))</f>
        <v>CATEGORY_BRONZONG</v>
      </c>
      <c r="B450" s="3" t="s">
        <v>9642</v>
      </c>
      <c r="C450" s="3" t="s">
        <v>9643</v>
      </c>
      <c r="D450" s="3" t="s">
        <v>9644</v>
      </c>
      <c r="E450" s="3" t="s">
        <v>9645</v>
      </c>
      <c r="F450" s="5" t="str">
        <f>CONCATENATE("Cam. ",F449)</f>
        <v>Cam. Bronce</v>
      </c>
      <c r="G450" s="3" t="s">
        <v>9646</v>
      </c>
      <c r="H450" s="3" t="s">
        <v>9647</v>
      </c>
      <c r="I450" s="3" t="s">
        <v>9648</v>
      </c>
      <c r="J450" s="5" t="str">
        <f>IFERROR(__xludf.DUMMYFUNCTION("GOOGLETRANSLATE(I450, ""zh_HANT"",""zh_HANS"")"),"铜钟")</f>
        <v>铜钟</v>
      </c>
    </row>
    <row r="451">
      <c r="A451" s="5" t="str">
        <f>CONCATENATE("CATEGORY_",UPPER(Pokemon!B439))</f>
        <v>CATEGORY_BONSLY</v>
      </c>
      <c r="B451" s="3" t="s">
        <v>9649</v>
      </c>
      <c r="C451" s="3" t="s">
        <v>9650</v>
      </c>
      <c r="D451" s="3" t="s">
        <v>9651</v>
      </c>
      <c r="E451" s="5" t="str">
        <f t="shared" ref="E451:E452" si="165">B451</f>
        <v>Bonsai</v>
      </c>
      <c r="F451" s="3" t="s">
        <v>9652</v>
      </c>
      <c r="G451" s="5" t="str">
        <f>B451</f>
        <v>Bonsai</v>
      </c>
      <c r="H451" s="3" t="s">
        <v>9653</v>
      </c>
      <c r="I451" s="3" t="s">
        <v>9654</v>
      </c>
      <c r="J451" s="5" t="str">
        <f>I451</f>
        <v>盆栽</v>
      </c>
    </row>
    <row r="452">
      <c r="A452" s="5" t="str">
        <f>CONCATENATE("CATEGORY_",UPPER(Pokemon!B440))</f>
        <v>CATEGORY_MIME JR.</v>
      </c>
      <c r="B452" s="3" t="s">
        <v>9655</v>
      </c>
      <c r="C452" s="3" t="s">
        <v>9656</v>
      </c>
      <c r="D452" s="3" t="s">
        <v>9655</v>
      </c>
      <c r="E452" s="5" t="str">
        <f t="shared" si="165"/>
        <v>Mime</v>
      </c>
      <c r="F452" s="3" t="s">
        <v>9657</v>
      </c>
      <c r="G452" s="5" t="str">
        <f>F452</f>
        <v>Mimo</v>
      </c>
      <c r="H452" s="3" t="s">
        <v>9658</v>
      </c>
      <c r="I452" s="3" t="s">
        <v>9659</v>
      </c>
      <c r="J452" s="5" t="str">
        <f>IFERROR(__xludf.DUMMYFUNCTION("GOOGLETRANSLATE(I452, ""zh_HANT"",""zh_HANS"")"),"默剧")</f>
        <v>默剧</v>
      </c>
    </row>
    <row r="453">
      <c r="A453" s="5" t="str">
        <f>CONCATENATE("CATEGORY_",UPPER(Pokemon!B441))</f>
        <v>CATEGORY_HAPPINY</v>
      </c>
      <c r="B453" s="3" t="s">
        <v>9660</v>
      </c>
      <c r="C453" s="3" t="s">
        <v>9661</v>
      </c>
      <c r="D453" s="3" t="s">
        <v>9662</v>
      </c>
      <c r="E453" s="3" t="s">
        <v>9663</v>
      </c>
      <c r="F453" s="3" t="s">
        <v>9664</v>
      </c>
      <c r="G453" s="3" t="s">
        <v>9665</v>
      </c>
      <c r="H453" s="3" t="s">
        <v>9666</v>
      </c>
      <c r="I453" s="3" t="s">
        <v>9667</v>
      </c>
      <c r="J453" s="5" t="str">
        <f t="shared" ref="J453:J455" si="166">I453</f>
        <v>家家酒</v>
      </c>
    </row>
    <row r="454">
      <c r="A454" s="5" t="str">
        <f>CONCATENATE("CATEGORY_",UPPER(Pokemon!B442))</f>
        <v>CATEGORY_CHATOT</v>
      </c>
      <c r="B454" s="3" t="s">
        <v>9668</v>
      </c>
      <c r="C454" s="3" t="s">
        <v>9669</v>
      </c>
      <c r="D454" s="3" t="s">
        <v>9670</v>
      </c>
      <c r="E454" s="3" t="s">
        <v>9671</v>
      </c>
      <c r="F454" s="3" t="s">
        <v>9672</v>
      </c>
      <c r="G454" s="3" t="s">
        <v>9673</v>
      </c>
      <c r="H454" s="3" t="s">
        <v>9674</v>
      </c>
      <c r="I454" s="3" t="s">
        <v>9675</v>
      </c>
      <c r="J454" s="5" t="str">
        <f t="shared" si="166"/>
        <v>音符</v>
      </c>
    </row>
    <row r="455">
      <c r="A455" s="5" t="str">
        <f>CONCATENATE("CATEGORY_",UPPER(Pokemon!B443))</f>
        <v>CATEGORY_SPIRITOMB</v>
      </c>
      <c r="B455" s="3" t="s">
        <v>9676</v>
      </c>
      <c r="C455" s="3" t="s">
        <v>9677</v>
      </c>
      <c r="D455" s="3" t="s">
        <v>9678</v>
      </c>
      <c r="E455" s="3" t="s">
        <v>9679</v>
      </c>
      <c r="F455" s="3" t="s">
        <v>9680</v>
      </c>
      <c r="G455" s="3" t="s">
        <v>9681</v>
      </c>
      <c r="H455" s="3" t="s">
        <v>9682</v>
      </c>
      <c r="I455" s="3" t="s">
        <v>9683</v>
      </c>
      <c r="J455" s="5" t="str">
        <f t="shared" si="166"/>
        <v>封印</v>
      </c>
    </row>
    <row r="456">
      <c r="A456" s="5" t="str">
        <f>CONCATENATE("CATEGORY_",UPPER(Pokemon!B444))</f>
        <v>CATEGORY_GIBLE</v>
      </c>
      <c r="B456" s="3" t="s">
        <v>9684</v>
      </c>
      <c r="C456" s="3" t="s">
        <v>9685</v>
      </c>
      <c r="D456" s="3" t="s">
        <v>9686</v>
      </c>
      <c r="E456" s="3" t="s">
        <v>9687</v>
      </c>
      <c r="F456" s="3" t="s">
        <v>9688</v>
      </c>
      <c r="G456" s="3" t="s">
        <v>9689</v>
      </c>
      <c r="H456" s="3" t="s">
        <v>9690</v>
      </c>
      <c r="I456" s="3" t="s">
        <v>9691</v>
      </c>
      <c r="J456" s="5" t="str">
        <f>IFERROR(__xludf.DUMMYFUNCTION("GOOGLETRANSLATE(I456, ""zh_HANT"",""zh_HANS"")"),"陆鲨")</f>
        <v>陆鲨</v>
      </c>
    </row>
    <row r="457">
      <c r="A457" s="5" t="str">
        <f>CONCATENATE("CATEGORY_",UPPER(Pokemon!B445))</f>
        <v>CATEGORY_GABITE</v>
      </c>
      <c r="B457" s="3" t="s">
        <v>9692</v>
      </c>
      <c r="C457" s="3" t="s">
        <v>9693</v>
      </c>
      <c r="D457" s="3" t="s">
        <v>9694</v>
      </c>
      <c r="E457" s="3" t="s">
        <v>9695</v>
      </c>
      <c r="F457" s="3" t="s">
        <v>9696</v>
      </c>
      <c r="G457" s="3" t="s">
        <v>9697</v>
      </c>
      <c r="H457" s="3" t="s">
        <v>9698</v>
      </c>
      <c r="I457" s="3" t="s">
        <v>9699</v>
      </c>
      <c r="J457" s="5" t="str">
        <f t="shared" ref="J457:J459" si="167">I457</f>
        <v>洞穴</v>
      </c>
    </row>
    <row r="458">
      <c r="A458" s="5" t="str">
        <f>CONCATENATE("CATEGORY_",UPPER(Pokemon!B446))</f>
        <v>CATEGORY_GARCHOMP</v>
      </c>
      <c r="B458" s="3" t="s">
        <v>9700</v>
      </c>
      <c r="C458" s="3" t="s">
        <v>9701</v>
      </c>
      <c r="D458" s="3" t="s">
        <v>9702</v>
      </c>
      <c r="E458" s="3" t="s">
        <v>9703</v>
      </c>
      <c r="F458" s="5" t="str">
        <f>B458</f>
        <v>Mach</v>
      </c>
      <c r="G458" s="5" t="str">
        <f>B458</f>
        <v>Mach</v>
      </c>
      <c r="H458" s="3" t="s">
        <v>9704</v>
      </c>
      <c r="I458" s="3" t="s">
        <v>9705</v>
      </c>
      <c r="J458" s="5" t="str">
        <f t="shared" si="167"/>
        <v>音速</v>
      </c>
    </row>
    <row r="459">
      <c r="A459" s="5" t="str">
        <f>CONCATENATE("CATEGORY_",UPPER(Pokemon!B447))</f>
        <v>CATEGORY_MUNCHLAX</v>
      </c>
      <c r="B459" s="3" t="s">
        <v>9706</v>
      </c>
      <c r="C459" s="3" t="s">
        <v>9707</v>
      </c>
      <c r="D459" s="3" t="s">
        <v>9708</v>
      </c>
      <c r="E459" s="3" t="s">
        <v>9709</v>
      </c>
      <c r="F459" s="3" t="s">
        <v>9710</v>
      </c>
      <c r="G459" s="3" t="s">
        <v>9711</v>
      </c>
      <c r="H459" s="3" t="s">
        <v>9712</v>
      </c>
      <c r="I459" s="3" t="s">
        <v>9713</v>
      </c>
      <c r="J459" s="5" t="str">
        <f t="shared" si="167"/>
        <v>大胃王</v>
      </c>
    </row>
    <row r="460">
      <c r="A460" s="5" t="str">
        <f>CONCATENATE("CATEGORY_",UPPER(Pokemon!B448))</f>
        <v>CATEGORY_RIOLU</v>
      </c>
      <c r="B460" s="3" t="s">
        <v>9714</v>
      </c>
      <c r="C460" s="3" t="s">
        <v>9715</v>
      </c>
      <c r="D460" s="3" t="s">
        <v>9716</v>
      </c>
      <c r="E460" s="3" t="s">
        <v>9717</v>
      </c>
      <c r="F460" s="3" t="s">
        <v>9718</v>
      </c>
      <c r="G460" s="3" t="s">
        <v>9719</v>
      </c>
      <c r="H460" s="3" t="s">
        <v>9720</v>
      </c>
      <c r="I460" s="3" t="s">
        <v>9721</v>
      </c>
      <c r="J460" s="5" t="str">
        <f>IFERROR(__xludf.DUMMYFUNCTION("GOOGLETRANSLATE(I460, ""zh_HANT"",""zh_HANS"")"),"波纹")</f>
        <v>波纹</v>
      </c>
    </row>
    <row r="461">
      <c r="A461" s="5" t="str">
        <f>CONCATENATE("CATEGORY_",UPPER(Pokemon!B449))</f>
        <v>CATEGORY_LUCARIO</v>
      </c>
      <c r="B461" s="3" t="s">
        <v>9722</v>
      </c>
      <c r="C461" s="3" t="s">
        <v>9723</v>
      </c>
      <c r="D461" s="5" t="str">
        <f t="shared" ref="D461:D462" si="168">B461</f>
        <v>Aura</v>
      </c>
      <c r="E461" s="5" t="str">
        <f>B461</f>
        <v>Aura</v>
      </c>
      <c r="F461" s="5" t="str">
        <f>B461</f>
        <v>Aura</v>
      </c>
      <c r="G461" s="5" t="str">
        <f>B461</f>
        <v>Aura</v>
      </c>
      <c r="H461" s="3" t="s">
        <v>9724</v>
      </c>
      <c r="I461" s="3" t="s">
        <v>9725</v>
      </c>
      <c r="J461" s="5" t="str">
        <f>IFERROR(__xludf.DUMMYFUNCTION("GOOGLETRANSLATE(I461, ""zh_HANT"",""zh_HANS"")"),"波导")</f>
        <v>波导</v>
      </c>
    </row>
    <row r="462">
      <c r="A462" s="5" t="str">
        <f>CONCATENATE("CATEGORY_",UPPER(Pokemon!B450))</f>
        <v>CATEGORY_HIPPOPOTAS</v>
      </c>
      <c r="B462" s="3" t="s">
        <v>9726</v>
      </c>
      <c r="C462" s="3" t="s">
        <v>9727</v>
      </c>
      <c r="D462" s="5" t="str">
        <f t="shared" si="168"/>
        <v>Hippo</v>
      </c>
      <c r="E462" s="3" t="s">
        <v>9728</v>
      </c>
      <c r="F462" s="3" t="s">
        <v>9729</v>
      </c>
      <c r="G462" s="3" t="s">
        <v>9730</v>
      </c>
      <c r="H462" s="3" t="s">
        <v>9731</v>
      </c>
      <c r="I462" s="3" t="s">
        <v>9732</v>
      </c>
      <c r="J462" s="5" t="str">
        <f>IFERROR(__xludf.DUMMYFUNCTION("GOOGLETRANSLATE(I462, ""zh_HANT"",""zh_HANS"")"),"河马")</f>
        <v>河马</v>
      </c>
    </row>
    <row r="463">
      <c r="A463" s="5" t="str">
        <f>CONCATENATE("CATEGORY_",UPPER(Pokemon!B451))</f>
        <v>CATEGORY_HIPPOWDON</v>
      </c>
      <c r="B463" s="3" t="s">
        <v>9733</v>
      </c>
      <c r="C463" s="3" t="s">
        <v>9734</v>
      </c>
      <c r="D463" s="3" t="s">
        <v>9735</v>
      </c>
      <c r="E463" s="3" t="s">
        <v>9736</v>
      </c>
      <c r="F463" s="3" t="s">
        <v>9737</v>
      </c>
      <c r="G463" s="3" t="s">
        <v>9738</v>
      </c>
      <c r="H463" s="3" t="s">
        <v>9739</v>
      </c>
      <c r="I463" s="3" t="s">
        <v>9740</v>
      </c>
      <c r="J463" s="5" t="str">
        <f>I463</f>
        <v>重量</v>
      </c>
    </row>
    <row r="464">
      <c r="A464" s="5" t="str">
        <f>CONCATENATE("CATEGORY_",UPPER(Pokemon!B452))</f>
        <v>CATEGORY_SKORUPI</v>
      </c>
      <c r="B464" s="3" t="s">
        <v>9741</v>
      </c>
      <c r="C464" s="3" t="s">
        <v>9742</v>
      </c>
      <c r="D464" s="3" t="s">
        <v>9741</v>
      </c>
      <c r="E464" s="3" t="s">
        <v>9743</v>
      </c>
      <c r="F464" s="3" t="s">
        <v>9744</v>
      </c>
      <c r="G464" s="5" t="str">
        <f>CONCATENATE(B464,"e")</f>
        <v>Scorpione</v>
      </c>
      <c r="H464" s="3" t="s">
        <v>9745</v>
      </c>
      <c r="I464" s="3" t="s">
        <v>9746</v>
      </c>
      <c r="J464" s="5" t="str">
        <f>IFERROR(__xludf.DUMMYFUNCTION("GOOGLETRANSLATE(I464, ""zh_HANT"",""zh_HANS"")"),"蝎子")</f>
        <v>蝎子</v>
      </c>
    </row>
    <row r="465">
      <c r="A465" s="5" t="str">
        <f>CONCATENATE("CATEGORY_",UPPER(Pokemon!B453))</f>
        <v>CATEGORY_DRAPION</v>
      </c>
      <c r="B465" s="3" t="s">
        <v>9747</v>
      </c>
      <c r="C465" s="3" t="s">
        <v>9748</v>
      </c>
      <c r="D465" s="3" t="s">
        <v>9749</v>
      </c>
      <c r="E465" s="3" t="s">
        <v>9750</v>
      </c>
      <c r="F465" s="3" t="s">
        <v>9751</v>
      </c>
      <c r="G465" s="3" t="s">
        <v>9752</v>
      </c>
      <c r="H465" s="3" t="s">
        <v>9753</v>
      </c>
      <c r="I465" s="3" t="s">
        <v>9754</v>
      </c>
      <c r="J465" s="5" t="str">
        <f>IFERROR(__xludf.DUMMYFUNCTION("GOOGLETRANSLATE(I465, ""zh_HANT"",""zh_HANS"")"),"蝎怪")</f>
        <v>蝎怪</v>
      </c>
    </row>
    <row r="466">
      <c r="A466" s="5" t="str">
        <f>CONCATENATE("CATEGORY_",UPPER(Pokemon!B454))</f>
        <v>CATEGORY_CROAGUNK</v>
      </c>
      <c r="B466" s="3" t="s">
        <v>9755</v>
      </c>
      <c r="C466" s="3" t="s">
        <v>9756</v>
      </c>
      <c r="D466" s="3" t="s">
        <v>9757</v>
      </c>
      <c r="E466" s="3" t="s">
        <v>9758</v>
      </c>
      <c r="F466" s="3" t="s">
        <v>9759</v>
      </c>
      <c r="G466" s="3" t="s">
        <v>9760</v>
      </c>
      <c r="H466" s="3" t="s">
        <v>9761</v>
      </c>
      <c r="I466" s="3" t="s">
        <v>9762</v>
      </c>
      <c r="J466" s="5" t="str">
        <f>IFERROR(__xludf.DUMMYFUNCTION("GOOGLETRANSLATE(I466, ""zh_HANT"",""zh_HANS"")"),"毒击")</f>
        <v>毒击</v>
      </c>
    </row>
    <row r="467">
      <c r="A467" s="5" t="str">
        <f>CONCATENATE("CATEGORY_",UPPER(Pokemon!B455))</f>
        <v>CATEGORY_TOXICROAK</v>
      </c>
      <c r="B467" s="5" t="str">
        <f t="shared" ref="B467:J467" si="169">B466</f>
        <v>Toxic Mouth</v>
      </c>
      <c r="C467" s="5" t="str">
        <f t="shared" si="169"/>
        <v>どくづき</v>
      </c>
      <c r="D467" s="5" t="str">
        <f t="shared" si="169"/>
        <v>Toxique</v>
      </c>
      <c r="E467" s="5" t="str">
        <f t="shared" si="169"/>
        <v>Giftmund</v>
      </c>
      <c r="F467" s="5" t="str">
        <f t="shared" si="169"/>
        <v>Boca Tóxica</v>
      </c>
      <c r="G467" s="5" t="str">
        <f t="shared" si="169"/>
        <v>Inveieleno</v>
      </c>
      <c r="H467" s="5" t="str">
        <f t="shared" si="169"/>
        <v>독설</v>
      </c>
      <c r="I467" s="5" t="str">
        <f t="shared" si="169"/>
        <v>毒擊</v>
      </c>
      <c r="J467" s="5" t="str">
        <f t="shared" si="169"/>
        <v>毒击</v>
      </c>
    </row>
    <row r="468">
      <c r="A468" s="5" t="str">
        <f>CONCATENATE("CATEGORY_",UPPER(Pokemon!B456))</f>
        <v>CATEGORY_CARNIVINE</v>
      </c>
      <c r="B468" s="3" t="s">
        <v>9763</v>
      </c>
      <c r="C468" s="3" t="s">
        <v>9764</v>
      </c>
      <c r="D468" s="3" t="s">
        <v>9765</v>
      </c>
      <c r="E468" s="3" t="s">
        <v>9766</v>
      </c>
      <c r="F468" s="3" t="s">
        <v>9767</v>
      </c>
      <c r="G468" s="3" t="s">
        <v>9768</v>
      </c>
      <c r="H468" s="3" t="s">
        <v>9769</v>
      </c>
      <c r="I468" s="3" t="s">
        <v>9770</v>
      </c>
      <c r="J468" s="5" t="str">
        <f>IFERROR(__xludf.DUMMYFUNCTION("GOOGLETRANSLATE(I468, ""zh_HANT"",""zh_HANS"")"),"捕虫")</f>
        <v>捕虫</v>
      </c>
    </row>
    <row r="469">
      <c r="A469" s="5" t="str">
        <f>CONCATENATE("CATEGORY_",UPPER(Pokemon!B457))</f>
        <v>CATEGORY_FINNEON</v>
      </c>
      <c r="B469" s="3" t="s">
        <v>9771</v>
      </c>
      <c r="C469" s="3" t="s">
        <v>9772</v>
      </c>
      <c r="D469" s="3" t="s">
        <v>9773</v>
      </c>
      <c r="E469" s="3" t="s">
        <v>9774</v>
      </c>
      <c r="F469" s="3" t="s">
        <v>9775</v>
      </c>
      <c r="G469" s="3" t="s">
        <v>9776</v>
      </c>
      <c r="H469" s="3" t="s">
        <v>9777</v>
      </c>
      <c r="I469" s="3" t="s">
        <v>9778</v>
      </c>
      <c r="J469" s="5" t="str">
        <f>IFERROR(__xludf.DUMMYFUNCTION("GOOGLETRANSLATE(I469, ""zh_HANT"",""zh_HANS"")"),"飞翅鱼")</f>
        <v>飞翅鱼</v>
      </c>
    </row>
    <row r="470">
      <c r="A470" s="5" t="str">
        <f>CONCATENATE("CATEGORY_",UPPER(Pokemon!B458))</f>
        <v>CATEGORY_LUMINEON</v>
      </c>
      <c r="B470" s="3" t="s">
        <v>9779</v>
      </c>
      <c r="C470" s="3" t="s">
        <v>9780</v>
      </c>
      <c r="D470" s="3" t="s">
        <v>9781</v>
      </c>
      <c r="E470" s="5" t="str">
        <f>B470</f>
        <v>Neon</v>
      </c>
      <c r="F470" s="3" t="s">
        <v>9782</v>
      </c>
      <c r="G470" s="5" t="str">
        <f>B470</f>
        <v>Neon</v>
      </c>
      <c r="H470" s="3" t="s">
        <v>9783</v>
      </c>
      <c r="I470" s="3" t="s">
        <v>9784</v>
      </c>
      <c r="J470" s="5" t="str">
        <f>I470</f>
        <v>霓虹</v>
      </c>
    </row>
    <row r="471">
      <c r="A471" s="5" t="str">
        <f>CONCATENATE("CATEGORY_",UPPER(Pokemon!B459))</f>
        <v>CATEGORY_MANTYKE</v>
      </c>
      <c r="B471" s="5" t="str">
        <f t="shared" ref="B471:K471" si="170">B239</f>
        <v>Kite</v>
      </c>
      <c r="C471" s="5" t="str">
        <f t="shared" si="170"/>
        <v>カイト</v>
      </c>
      <c r="D471" s="5" t="str">
        <f t="shared" si="170"/>
        <v>Cervolant</v>
      </c>
      <c r="E471" s="5" t="str">
        <f t="shared" si="170"/>
        <v>Flugrochen</v>
      </c>
      <c r="F471" s="5" t="str">
        <f t="shared" si="170"/>
        <v>Milano</v>
      </c>
      <c r="G471" s="5" t="str">
        <f t="shared" si="170"/>
        <v>Aquilone</v>
      </c>
      <c r="H471" s="5" t="str">
        <f t="shared" si="170"/>
        <v>연</v>
      </c>
      <c r="I471" s="5" t="str">
        <f t="shared" si="170"/>
        <v>風箏</v>
      </c>
      <c r="J471" s="5" t="str">
        <f t="shared" si="170"/>
        <v>风筝</v>
      </c>
      <c r="K471" s="5" t="str">
        <f t="shared" si="170"/>
        <v/>
      </c>
    </row>
    <row r="472">
      <c r="A472" s="5" t="str">
        <f>CONCATENATE("CATEGORY_",UPPER(Pokemon!B460))</f>
        <v>CATEGORY_SNOVER</v>
      </c>
      <c r="B472" s="3" t="s">
        <v>9785</v>
      </c>
      <c r="C472" s="3" t="s">
        <v>9786</v>
      </c>
      <c r="D472" s="3" t="s">
        <v>9787</v>
      </c>
      <c r="E472" s="3" t="s">
        <v>9788</v>
      </c>
      <c r="F472" s="3" t="s">
        <v>9789</v>
      </c>
      <c r="G472" s="3" t="s">
        <v>9790</v>
      </c>
      <c r="H472" s="3" t="s">
        <v>9791</v>
      </c>
      <c r="I472" s="3" t="s">
        <v>9792</v>
      </c>
      <c r="J472" s="5" t="str">
        <f>IFERROR(__xludf.DUMMYFUNCTION("GOOGLETRANSLATE(I472, ""zh_HANT"",""zh_HANS"")"),"树冰")</f>
        <v>树冰</v>
      </c>
    </row>
    <row r="473">
      <c r="A473" s="5" t="str">
        <f>CONCATENATE("CATEGORY_",UPPER(Pokemon!B461))</f>
        <v>CATEGORY_ABOMASNOW</v>
      </c>
      <c r="B473" s="5" t="str">
        <f t="shared" ref="B473:J473" si="171">B472</f>
        <v>Frost Tree</v>
      </c>
      <c r="C473" s="5" t="str">
        <f t="shared" si="171"/>
        <v>じゅひょう</v>
      </c>
      <c r="D473" s="5" t="str">
        <f t="shared" si="171"/>
        <v>Arbregelé</v>
      </c>
      <c r="E473" s="5" t="str">
        <f t="shared" si="171"/>
        <v>Frostbaum</v>
      </c>
      <c r="F473" s="5" t="str">
        <f t="shared" si="171"/>
        <v>Árbol Nieve</v>
      </c>
      <c r="G473" s="5" t="str">
        <f t="shared" si="171"/>
        <v>Albergelo</v>
      </c>
      <c r="H473" s="5" t="str">
        <f t="shared" si="171"/>
        <v>얼음나무</v>
      </c>
      <c r="I473" s="5" t="str">
        <f t="shared" si="171"/>
        <v>樹冰</v>
      </c>
      <c r="J473" s="5" t="str">
        <f t="shared" si="171"/>
        <v>树冰</v>
      </c>
    </row>
    <row r="474">
      <c r="A474" s="5" t="str">
        <f>CONCATENATE("CATEGORY_",UPPER(Pokemon!B462))</f>
        <v>CATEGORY_WEAVILE</v>
      </c>
      <c r="B474" s="5" t="str">
        <f t="shared" ref="B474:K474" si="172">B228</f>
        <v>Sharp Claw</v>
      </c>
      <c r="C474" s="5" t="str">
        <f t="shared" si="172"/>
        <v>かぎづめ</v>
      </c>
      <c r="D474" s="5" t="str">
        <f t="shared" si="172"/>
        <v>Grifacérée</v>
      </c>
      <c r="E474" s="5" t="str">
        <f t="shared" si="172"/>
        <v>Stichklaue</v>
      </c>
      <c r="F474" s="5" t="str">
        <f t="shared" si="172"/>
        <v>Garra Filo</v>
      </c>
      <c r="G474" s="5" t="str">
        <f t="shared" si="172"/>
        <v>Lamartigli</v>
      </c>
      <c r="H474" s="5" t="str">
        <f t="shared" si="172"/>
        <v>갈고리손톱</v>
      </c>
      <c r="I474" s="5" t="str">
        <f t="shared" si="172"/>
        <v>鉤爪</v>
      </c>
      <c r="J474" s="5" t="str">
        <f t="shared" si="172"/>
        <v>钩爪</v>
      </c>
      <c r="K474" s="5" t="str">
        <f t="shared" si="172"/>
        <v/>
      </c>
    </row>
    <row r="475">
      <c r="A475" s="5" t="str">
        <f>CONCATENATE("CATEGORY_",UPPER(Pokemon!B463))</f>
        <v>CATEGORY_MAGNEZONE</v>
      </c>
      <c r="B475" s="3" t="s">
        <v>9793</v>
      </c>
      <c r="C475" s="3" t="s">
        <v>9794</v>
      </c>
      <c r="D475" s="3" t="s">
        <v>9795</v>
      </c>
      <c r="E475" s="3" t="s">
        <v>9796</v>
      </c>
      <c r="F475" s="3" t="s">
        <v>9797</v>
      </c>
      <c r="G475" s="3" t="s">
        <v>9798</v>
      </c>
      <c r="H475" s="3" t="s">
        <v>9799</v>
      </c>
      <c r="I475" s="3" t="s">
        <v>9800</v>
      </c>
      <c r="J475" s="5" t="str">
        <f>IFERROR(__xludf.DUMMYFUNCTION("GOOGLETRANSLATE(I475, ""zh_HANT"",""zh_HANS"")"),"磁场")</f>
        <v>磁场</v>
      </c>
    </row>
    <row r="476">
      <c r="A476" s="5" t="str">
        <f>CONCATENATE("CATEGORY_",UPPER(Pokemon!B464))</f>
        <v>CATEGORY_LICKILICKY</v>
      </c>
      <c r="B476" s="5" t="str">
        <f t="shared" ref="B476:K476" si="173">B114</f>
        <v>Licking</v>
      </c>
      <c r="C476" s="5" t="str">
        <f t="shared" si="173"/>
        <v>なめまわし</v>
      </c>
      <c r="D476" s="5" t="str">
        <f t="shared" si="173"/>
        <v>Lécheur</v>
      </c>
      <c r="E476" s="5" t="str">
        <f t="shared" si="173"/>
        <v>Schlecker</v>
      </c>
      <c r="F476" s="5" t="str">
        <f t="shared" si="173"/>
        <v>Lametazo</v>
      </c>
      <c r="G476" s="5" t="str">
        <f t="shared" si="173"/>
        <v>Linguaccia</v>
      </c>
      <c r="H476" s="5" t="str">
        <f t="shared" si="173"/>
        <v>핥기</v>
      </c>
      <c r="I476" s="5" t="str">
        <f t="shared" si="173"/>
        <v>舔舔</v>
      </c>
      <c r="J476" s="5" t="str">
        <f t="shared" si="173"/>
        <v>舔舔</v>
      </c>
      <c r="K476" s="5" t="str">
        <f t="shared" si="173"/>
        <v/>
      </c>
    </row>
    <row r="477">
      <c r="A477" s="5" t="str">
        <f>CONCATENATE("CATEGORY_",UPPER(Pokemon!B465))</f>
        <v>CATEGORY_RHYPERIOR</v>
      </c>
      <c r="B477" s="5" t="str">
        <f t="shared" ref="B477:K477" si="174">B32</f>
        <v>Drill</v>
      </c>
      <c r="C477" s="5" t="str">
        <f t="shared" si="174"/>
        <v>ドリル</v>
      </c>
      <c r="D477" s="5" t="str">
        <f t="shared" si="174"/>
        <v>Perceur</v>
      </c>
      <c r="E477" s="5" t="str">
        <f t="shared" si="174"/>
        <v>Bohrer</v>
      </c>
      <c r="F477" s="5" t="str">
        <f t="shared" si="174"/>
        <v>Taladro</v>
      </c>
      <c r="G477" s="5" t="str">
        <f t="shared" si="174"/>
        <v>Trapano</v>
      </c>
      <c r="H477" s="5" t="str">
        <f t="shared" si="174"/>
        <v>드릴</v>
      </c>
      <c r="I477" s="5" t="str">
        <f t="shared" si="174"/>
        <v>鑽錐</v>
      </c>
      <c r="J477" s="5" t="str">
        <f t="shared" si="174"/>
        <v>钻锥</v>
      </c>
      <c r="K477" s="5" t="str">
        <f t="shared" si="174"/>
        <v/>
      </c>
    </row>
    <row r="478">
      <c r="A478" s="5" t="str">
        <f>CONCATENATE("CATEGORY_",UPPER(Pokemon!B466))</f>
        <v>CATEGORY_TANGROWTH</v>
      </c>
      <c r="B478" s="5" t="str">
        <f t="shared" ref="B478:K478" si="175">B120</f>
        <v>Vine</v>
      </c>
      <c r="C478" s="5" t="str">
        <f t="shared" si="175"/>
        <v>ツルじょう</v>
      </c>
      <c r="D478" s="5" t="str">
        <f t="shared" si="175"/>
        <v>Vigne</v>
      </c>
      <c r="E478" s="5" t="str">
        <f t="shared" si="175"/>
        <v>Ranke</v>
      </c>
      <c r="F478" s="5" t="str">
        <f t="shared" si="175"/>
        <v>Enredadera</v>
      </c>
      <c r="G478" s="5" t="str">
        <f t="shared" si="175"/>
        <v>Liana</v>
      </c>
      <c r="H478" s="5" t="str">
        <f t="shared" si="175"/>
        <v>넝쿨</v>
      </c>
      <c r="I478" s="5" t="str">
        <f t="shared" si="175"/>
        <v>藤蔓狀</v>
      </c>
      <c r="J478" s="5" t="str">
        <f t="shared" si="175"/>
        <v>藤蔓状</v>
      </c>
      <c r="K478" s="5" t="str">
        <f t="shared" si="175"/>
        <v/>
      </c>
    </row>
    <row r="479">
      <c r="A479" s="5" t="str">
        <f>CONCATENATE("CATEGORY_",UPPER(Pokemon!B467))</f>
        <v>CATEGORY_ELECTIVIRE</v>
      </c>
      <c r="B479" s="3" t="str">
        <f>Moves!B86</f>
        <v>Thunderbolt</v>
      </c>
      <c r="C479" s="3" t="s">
        <v>9801</v>
      </c>
      <c r="D479" s="3" t="s">
        <v>9802</v>
      </c>
      <c r="E479" s="4" t="s">
        <v>9803</v>
      </c>
      <c r="F479" s="3" t="str">
        <f>Moves!F86</f>
        <v>Rayo</v>
      </c>
      <c r="G479" s="3" t="s">
        <v>9804</v>
      </c>
      <c r="H479" s="3" t="s">
        <v>9805</v>
      </c>
      <c r="I479" s="3" t="s">
        <v>9806</v>
      </c>
      <c r="J479" s="5" t="str">
        <f>IFERROR(__xludf.DUMMYFUNCTION("GOOGLETRANSLATE(I479, ""zh_HANT"",""zh_HANS"")"),"雷电")</f>
        <v>雷电</v>
      </c>
    </row>
    <row r="480">
      <c r="A480" s="5" t="str">
        <f>CONCATENATE("CATEGORY_",UPPER(Pokemon!B468))</f>
        <v>CATEGORY_MAGMORTAR</v>
      </c>
      <c r="B480" s="3" t="s">
        <v>9807</v>
      </c>
      <c r="C480" s="3" t="s">
        <v>9808</v>
      </c>
      <c r="D480" s="3" t="s">
        <v>9809</v>
      </c>
      <c r="E480" s="3" t="s">
        <v>9810</v>
      </c>
      <c r="F480" s="3" t="s">
        <v>9811</v>
      </c>
      <c r="G480" s="3" t="s">
        <v>9812</v>
      </c>
      <c r="H480" s="3" t="s">
        <v>9813</v>
      </c>
      <c r="I480" s="3" t="s">
        <v>9814</v>
      </c>
      <c r="J480" s="5" t="str">
        <f t="shared" ref="J480:J482" si="176">I480</f>
        <v>爆炎</v>
      </c>
    </row>
    <row r="481">
      <c r="A481" s="5" t="str">
        <f>CONCATENATE("CATEGORY_",UPPER(Pokemon!B469))</f>
        <v>CATEGORY_TOGEKISS</v>
      </c>
      <c r="B481" s="3" t="s">
        <v>9815</v>
      </c>
      <c r="C481" s="3" t="s">
        <v>9816</v>
      </c>
      <c r="D481" s="3" t="s">
        <v>9817</v>
      </c>
      <c r="E481" s="3" t="s">
        <v>9818</v>
      </c>
      <c r="F481" s="3" t="s">
        <v>9819</v>
      </c>
      <c r="G481" s="3" t="s">
        <v>9820</v>
      </c>
      <c r="H481" s="3" t="s">
        <v>9821</v>
      </c>
      <c r="I481" s="3" t="s">
        <v>9822</v>
      </c>
      <c r="J481" s="5" t="str">
        <f t="shared" si="176"/>
        <v>祝福</v>
      </c>
    </row>
    <row r="482">
      <c r="A482" s="5" t="str">
        <f>CONCATENATE("CATEGORY_",UPPER(Pokemon!B470))</f>
        <v>CATEGORY_YANMEGA</v>
      </c>
      <c r="B482" s="3" t="s">
        <v>9823</v>
      </c>
      <c r="C482" s="3" t="s">
        <v>9824</v>
      </c>
      <c r="D482" s="3" t="s">
        <v>9825</v>
      </c>
      <c r="E482" s="3" t="s">
        <v>9826</v>
      </c>
      <c r="F482" s="3" t="s">
        <v>9827</v>
      </c>
      <c r="G482" s="3" t="s">
        <v>9828</v>
      </c>
      <c r="H482" s="3" t="s">
        <v>9829</v>
      </c>
      <c r="I482" s="3" t="s">
        <v>9830</v>
      </c>
      <c r="J482" s="5" t="str">
        <f t="shared" si="176"/>
        <v>勾蜓</v>
      </c>
    </row>
    <row r="483">
      <c r="A483" s="5" t="str">
        <f>CONCATENATE("CATEGORY_",UPPER(Pokemon!B471))</f>
        <v>CATEGORY_LEAFEON</v>
      </c>
      <c r="B483" s="3" t="s">
        <v>9831</v>
      </c>
      <c r="C483" s="3" t="s">
        <v>9832</v>
      </c>
      <c r="D483" s="3" t="s">
        <v>9833</v>
      </c>
      <c r="E483" s="3" t="s">
        <v>9834</v>
      </c>
      <c r="F483" s="3" t="s">
        <v>9835</v>
      </c>
      <c r="G483" s="3" t="s">
        <v>9836</v>
      </c>
      <c r="H483" s="3" t="s">
        <v>9837</v>
      </c>
      <c r="I483" s="3" t="s">
        <v>9838</v>
      </c>
      <c r="J483" s="5" t="str">
        <f>IFERROR(__xludf.DUMMYFUNCTION("GOOGLETRANSLATE(I483, ""zh_HANT"",""zh_HANS"")"),"新绿")</f>
        <v>新绿</v>
      </c>
    </row>
    <row r="484">
      <c r="A484" s="5" t="str">
        <f>CONCATENATE("CATEGORY_",UPPER(Pokemon!B472))</f>
        <v>CATEGORY_GLACEON</v>
      </c>
      <c r="B484" s="3" t="s">
        <v>9839</v>
      </c>
      <c r="C484" s="3" t="s">
        <v>9840</v>
      </c>
      <c r="D484" s="3" t="s">
        <v>9841</v>
      </c>
      <c r="E484" s="3" t="s">
        <v>9842</v>
      </c>
      <c r="F484" s="3" t="s">
        <v>9843</v>
      </c>
      <c r="G484" s="3" t="s">
        <v>9844</v>
      </c>
      <c r="H484" s="3" t="s">
        <v>9845</v>
      </c>
      <c r="I484" s="3" t="s">
        <v>9846</v>
      </c>
      <c r="J484" s="5" t="str">
        <f>I484</f>
        <v>新雪</v>
      </c>
    </row>
    <row r="485">
      <c r="A485" s="5" t="str">
        <f>CONCATENATE("CATEGORY_",UPPER(Pokemon!B473))</f>
        <v>CATEGORY_GLISCOR</v>
      </c>
      <c r="B485" s="3" t="s">
        <v>9847</v>
      </c>
      <c r="C485" s="3" t="s">
        <v>9848</v>
      </c>
      <c r="D485" s="3" t="s">
        <v>9849</v>
      </c>
      <c r="E485" s="3" t="s">
        <v>9850</v>
      </c>
      <c r="F485" s="3" t="s">
        <v>9851</v>
      </c>
      <c r="G485" s="3" t="s">
        <v>9852</v>
      </c>
      <c r="H485" s="3" t="s">
        <v>9853</v>
      </c>
      <c r="I485" s="3" t="s">
        <v>9854</v>
      </c>
      <c r="J485" s="5" t="str">
        <f>IFERROR(__xludf.DUMMYFUNCTION("GOOGLETRANSLATE(I485, ""zh_HANT"",""zh_HANS"")"),"牙蝎")</f>
        <v>牙蝎</v>
      </c>
    </row>
    <row r="486">
      <c r="A486" s="5" t="str">
        <f>CONCATENATE("CATEGORY_",UPPER(Pokemon!B474))</f>
        <v>CATEGORY_MAMOSWINE</v>
      </c>
      <c r="B486" s="3" t="s">
        <v>9855</v>
      </c>
      <c r="C486" s="3" t="s">
        <v>9856</v>
      </c>
      <c r="D486" s="3" t="s">
        <v>9857</v>
      </c>
      <c r="E486" s="3" t="s">
        <v>9858</v>
      </c>
      <c r="F486" s="3" t="s">
        <v>9859</v>
      </c>
      <c r="G486" s="3" t="s">
        <v>9860</v>
      </c>
      <c r="H486" s="3" t="s">
        <v>9861</v>
      </c>
      <c r="I486" s="3" t="s">
        <v>9862</v>
      </c>
      <c r="J486" s="5" t="str">
        <f>IFERROR(__xludf.DUMMYFUNCTION("GOOGLETRANSLATE(I486, ""zh_HANT"",""zh_HANS"")"),"双牙")</f>
        <v>双牙</v>
      </c>
    </row>
    <row r="487">
      <c r="A487" s="3" t="s">
        <v>9863</v>
      </c>
      <c r="B487" s="5" t="str">
        <f t="shared" ref="B487:K487" si="177">B144</f>
        <v>Virtual</v>
      </c>
      <c r="C487" s="5" t="str">
        <f t="shared" si="177"/>
        <v>バーチャル</v>
      </c>
      <c r="D487" s="5" t="str">
        <f t="shared" si="177"/>
        <v>Virtuel</v>
      </c>
      <c r="E487" s="5" t="str">
        <f t="shared" si="177"/>
        <v>Virtuell</v>
      </c>
      <c r="F487" s="5" t="str">
        <f t="shared" si="177"/>
        <v>Virtual</v>
      </c>
      <c r="G487" s="5" t="str">
        <f t="shared" si="177"/>
        <v>Virtuale</v>
      </c>
      <c r="H487" s="5" t="str">
        <f t="shared" si="177"/>
        <v>가상</v>
      </c>
      <c r="I487" s="5" t="str">
        <f t="shared" si="177"/>
        <v>虛擬</v>
      </c>
      <c r="J487" s="5" t="str">
        <f t="shared" si="177"/>
        <v>虚拟</v>
      </c>
      <c r="K487" s="5" t="str">
        <f t="shared" si="177"/>
        <v/>
      </c>
    </row>
    <row r="488">
      <c r="A488" s="5" t="str">
        <f>CONCATENATE("CATEGORY_",UPPER(Pokemon!B476))</f>
        <v>CATEGORY_GALLADE</v>
      </c>
      <c r="B488" s="3" t="s">
        <v>9864</v>
      </c>
      <c r="C488" s="3" t="s">
        <v>9865</v>
      </c>
      <c r="D488" s="3" t="s">
        <v>9866</v>
      </c>
      <c r="E488" s="3" t="s">
        <v>9867</v>
      </c>
      <c r="F488" s="3" t="s">
        <v>9868</v>
      </c>
      <c r="G488" s="3" t="s">
        <v>9869</v>
      </c>
      <c r="H488" s="3" t="s">
        <v>9870</v>
      </c>
      <c r="I488" s="3" t="s">
        <v>9871</v>
      </c>
      <c r="J488" s="5" t="str">
        <f>J145</f>
        <v>漩涡</v>
      </c>
    </row>
    <row r="489">
      <c r="A489" s="5" t="str">
        <f>CONCATENATE("CATEGORY_",UPPER(Pokemon!B477))</f>
        <v>CATEGORY_PROBOPASS</v>
      </c>
      <c r="B489" s="5" t="str">
        <f t="shared" ref="B489:K489" si="178">B312</f>
        <v>Compass</v>
      </c>
      <c r="C489" s="5" t="str">
        <f t="shared" si="178"/>
        <v>コンパス</v>
      </c>
      <c r="D489" s="5" t="str">
        <f t="shared" si="178"/>
        <v>Boussole</v>
      </c>
      <c r="E489" s="5" t="str">
        <f t="shared" si="178"/>
        <v>Kompass</v>
      </c>
      <c r="F489" s="5" t="str">
        <f t="shared" si="178"/>
        <v>Brújula</v>
      </c>
      <c r="G489" s="5" t="str">
        <f t="shared" si="178"/>
        <v>Bussola</v>
      </c>
      <c r="H489" s="5" t="str">
        <f t="shared" si="178"/>
        <v>콤파스</v>
      </c>
      <c r="I489" s="5" t="str">
        <f t="shared" si="178"/>
        <v>羅盤</v>
      </c>
      <c r="J489" s="5" t="str">
        <f t="shared" si="178"/>
        <v>罗盘</v>
      </c>
      <c r="K489" s="5" t="str">
        <f t="shared" si="178"/>
        <v/>
      </c>
    </row>
    <row r="490">
      <c r="A490" s="5" t="str">
        <f>CONCATENATE("CATEGORY_",UPPER(Pokemon!B478))</f>
        <v>CATEGORY_DUSKNOIR</v>
      </c>
      <c r="B490" s="3" t="s">
        <v>9872</v>
      </c>
      <c r="C490" s="3" t="s">
        <v>9873</v>
      </c>
      <c r="D490" s="3" t="s">
        <v>9874</v>
      </c>
      <c r="E490" s="3" t="s">
        <v>9875</v>
      </c>
      <c r="F490" s="3" t="s">
        <v>9876</v>
      </c>
      <c r="G490" s="3" t="s">
        <v>9877</v>
      </c>
      <c r="H490" s="3" t="s">
        <v>9878</v>
      </c>
      <c r="I490" s="3" t="s">
        <v>9879</v>
      </c>
      <c r="J490" s="5" t="str">
        <f>I490</f>
        <v>抓握</v>
      </c>
    </row>
    <row r="491">
      <c r="A491" s="5" t="str">
        <f>CONCATENATE("CATEGORY_",UPPER(Pokemon!B479))</f>
        <v>CATEGORY_FROSLASS</v>
      </c>
      <c r="B491" s="3" t="s">
        <v>9880</v>
      </c>
      <c r="C491" s="3" t="s">
        <v>9881</v>
      </c>
      <c r="D491" s="3" t="s">
        <v>9882</v>
      </c>
      <c r="E491" s="3" t="s">
        <v>9883</v>
      </c>
      <c r="F491" s="3" t="s">
        <v>9884</v>
      </c>
      <c r="G491" s="3" t="s">
        <v>9885</v>
      </c>
      <c r="H491" s="3" t="s">
        <v>9886</v>
      </c>
      <c r="I491" s="3" t="s">
        <v>9887</v>
      </c>
      <c r="J491" s="5" t="str">
        <f>IFERROR(__xludf.DUMMYFUNCTION("GOOGLETRANSLATE(I491, ""zh_HANT"",""zh_HANS"")"),"雪国")</f>
        <v>雪国</v>
      </c>
    </row>
    <row r="492">
      <c r="A492" s="5" t="str">
        <f>CONCATENATE("CATEGORY_",UPPER(Pokemon!B480))</f>
        <v>CATEGORY_ROTOM</v>
      </c>
      <c r="B492" s="3" t="s">
        <v>9888</v>
      </c>
      <c r="C492" s="3" t="s">
        <v>9889</v>
      </c>
      <c r="D492" s="3" t="str">
        <f>B492</f>
        <v>Plasma</v>
      </c>
      <c r="E492" s="5" t="str">
        <f>B492</f>
        <v>Plasma</v>
      </c>
      <c r="F492" s="5" t="str">
        <f>B492</f>
        <v>Plasma</v>
      </c>
      <c r="G492" s="5" t="str">
        <f>B492</f>
        <v>Plasma</v>
      </c>
      <c r="H492" s="3" t="s">
        <v>9890</v>
      </c>
      <c r="I492" s="3" t="s">
        <v>9891</v>
      </c>
      <c r="J492" s="5" t="str">
        <f>IFERROR(__xludf.DUMMYFUNCTION("GOOGLETRANSLATE(I492, ""zh_HANT"",""zh_HANS"")"),"等离子")</f>
        <v>等离子</v>
      </c>
    </row>
    <row r="493">
      <c r="A493" s="5" t="str">
        <f>CONCATENATE("CATEGORY_",UPPER(Pokemon!B481))</f>
        <v>CATEGORY_UXIE</v>
      </c>
      <c r="B493" s="3" t="s">
        <v>9892</v>
      </c>
      <c r="C493" s="3" t="s">
        <v>9893</v>
      </c>
      <c r="D493" s="3" t="s">
        <v>9894</v>
      </c>
      <c r="E493" s="3" t="s">
        <v>9895</v>
      </c>
      <c r="F493" s="3" t="s">
        <v>9896</v>
      </c>
      <c r="G493" s="3" t="s">
        <v>9897</v>
      </c>
      <c r="H493" s="3" t="s">
        <v>9898</v>
      </c>
      <c r="I493" s="3" t="s">
        <v>9899</v>
      </c>
      <c r="J493" s="5" t="str">
        <f>IFERROR(__xludf.DUMMYFUNCTION("GOOGLETRANSLATE(I493, ""zh_HANT"",""zh_HANS"")"),"知识")</f>
        <v>知识</v>
      </c>
    </row>
    <row r="494">
      <c r="A494" s="5" t="str">
        <f>CONCATENATE("CATEGORY_",UPPER(Pokemon!B482))</f>
        <v>CATEGORY_MESPRIT</v>
      </c>
      <c r="B494" s="5" t="str">
        <f t="shared" ref="B494:K494" si="179">B294</f>
        <v>Emotion</v>
      </c>
      <c r="C494" s="5" t="str">
        <f t="shared" si="179"/>
        <v>かんじょう</v>
      </c>
      <c r="D494" s="5" t="str">
        <f t="shared" si="179"/>
        <v>Émotion</v>
      </c>
      <c r="E494" s="5" t="str">
        <f t="shared" si="179"/>
        <v>Emotion</v>
      </c>
      <c r="F494" s="5" t="str">
        <f t="shared" si="179"/>
        <v>Sensorio</v>
      </c>
      <c r="G494" s="5" t="str">
        <f t="shared" si="179"/>
        <v>Emozione</v>
      </c>
      <c r="H494" s="5" t="str">
        <f t="shared" si="179"/>
        <v>감정</v>
      </c>
      <c r="I494" s="5" t="str">
        <f t="shared" si="179"/>
        <v>感情</v>
      </c>
      <c r="J494" s="5" t="str">
        <f t="shared" si="179"/>
        <v>感情</v>
      </c>
      <c r="K494" s="5" t="str">
        <f t="shared" si="179"/>
        <v/>
      </c>
    </row>
    <row r="495">
      <c r="A495" s="5" t="str">
        <f>CONCATENATE("CATEGORY_",UPPER(Pokemon!B483))</f>
        <v>CATEGORY_AZELF</v>
      </c>
      <c r="B495" s="3" t="s">
        <v>9900</v>
      </c>
      <c r="C495" s="3" t="s">
        <v>9901</v>
      </c>
      <c r="D495" s="3" t="s">
        <v>9902</v>
      </c>
      <c r="E495" s="3" t="s">
        <v>9903</v>
      </c>
      <c r="F495" s="3" t="s">
        <v>9904</v>
      </c>
      <c r="G495" s="3" t="s">
        <v>9905</v>
      </c>
      <c r="H495" s="3" t="s">
        <v>9906</v>
      </c>
      <c r="I495" s="3" t="s">
        <v>9907</v>
      </c>
      <c r="J495" s="5" t="str">
        <f>I495</f>
        <v>意志</v>
      </c>
    </row>
    <row r="496">
      <c r="A496" s="5" t="str">
        <f>CONCATENATE("CATEGORY_",UPPER(Pokemon!B484))</f>
        <v>CATEGORY_DIALGA</v>
      </c>
      <c r="B496" s="3" t="s">
        <v>9908</v>
      </c>
      <c r="C496" s="3" t="s">
        <v>9909</v>
      </c>
      <c r="D496" s="3" t="s">
        <v>9910</v>
      </c>
      <c r="E496" s="3" t="s">
        <v>9911</v>
      </c>
      <c r="F496" s="5" t="str">
        <f>B496</f>
        <v>Temporal</v>
      </c>
      <c r="G496" s="3" t="s">
        <v>9912</v>
      </c>
      <c r="H496" s="3" t="s">
        <v>9913</v>
      </c>
      <c r="I496" s="3" t="s">
        <v>9914</v>
      </c>
      <c r="J496" s="5" t="str">
        <f>IFERROR(__xludf.DUMMYFUNCTION("GOOGLETRANSLATE(I496, ""zh_HANT"",""zh_HANS"")"),"时间")</f>
        <v>时间</v>
      </c>
    </row>
    <row r="497">
      <c r="A497" s="5" t="str">
        <f>CONCATENATE("CATEGORY_",UPPER(Pokemon!B485))</f>
        <v>CATEGORY_PALKIA</v>
      </c>
      <c r="B497" s="3" t="s">
        <v>9915</v>
      </c>
      <c r="C497" s="3" t="s">
        <v>9916</v>
      </c>
      <c r="D497" s="3" t="s">
        <v>9917</v>
      </c>
      <c r="E497" s="3" t="s">
        <v>9918</v>
      </c>
      <c r="F497" s="3" t="s">
        <v>9919</v>
      </c>
      <c r="G497" s="3" t="s">
        <v>9920</v>
      </c>
      <c r="H497" s="3" t="s">
        <v>9921</v>
      </c>
      <c r="I497" s="3" t="s">
        <v>9922</v>
      </c>
      <c r="J497" s="5" t="str">
        <f>IFERROR(__xludf.DUMMYFUNCTION("GOOGLETRANSLATE(I497, ""zh_HANT"",""zh_HANS"")"),"空间")</f>
        <v>空间</v>
      </c>
    </row>
    <row r="498">
      <c r="A498" s="5" t="str">
        <f>CONCATENATE("CATEGORY_",UPPER(Pokemon!B486))</f>
        <v>CATEGORY_HEATRAN</v>
      </c>
      <c r="B498" s="3" t="s">
        <v>9923</v>
      </c>
      <c r="C498" s="3" t="s">
        <v>9924</v>
      </c>
      <c r="D498" s="3" t="s">
        <v>9925</v>
      </c>
      <c r="E498" s="3" t="s">
        <v>9926</v>
      </c>
      <c r="F498" s="3" t="s">
        <v>9927</v>
      </c>
      <c r="G498" s="3" t="s">
        <v>9928</v>
      </c>
      <c r="H498" s="3" t="s">
        <v>9929</v>
      </c>
      <c r="I498" s="3" t="s">
        <v>9930</v>
      </c>
      <c r="J498" s="5" t="str">
        <f t="shared" ref="J498:J502" si="180">I498</f>
        <v>火山口</v>
      </c>
    </row>
    <row r="499">
      <c r="A499" s="5" t="str">
        <f>CONCATENATE("CATEGORY_",UPPER(Pokemon!B487))</f>
        <v>CATEGORY_REGIGIGAS</v>
      </c>
      <c r="B499" s="3" t="s">
        <v>9931</v>
      </c>
      <c r="C499" s="3" t="s">
        <v>9932</v>
      </c>
      <c r="D499" s="3" t="s">
        <v>9933</v>
      </c>
      <c r="E499" s="3" t="s">
        <v>9934</v>
      </c>
      <c r="F499" s="3" t="s">
        <v>9935</v>
      </c>
      <c r="G499" s="5" t="str">
        <f>CONCATENATE(B499,"e")</f>
        <v>Colossale</v>
      </c>
      <c r="H499" s="3" t="s">
        <v>9936</v>
      </c>
      <c r="I499" s="3" t="s">
        <v>9937</v>
      </c>
      <c r="J499" s="5" t="str">
        <f t="shared" si="180"/>
        <v>巨大</v>
      </c>
    </row>
    <row r="500">
      <c r="A500" s="5" t="str">
        <f>CONCATENATE("CATEGORY_",UPPER(Pokemon!B488))</f>
        <v>CATEGORY_GIRATINA</v>
      </c>
      <c r="B500" s="3" t="s">
        <v>9938</v>
      </c>
      <c r="C500" s="3" t="s">
        <v>9939</v>
      </c>
      <c r="D500" s="3" t="s">
        <v>9940</v>
      </c>
      <c r="E500" s="3" t="s">
        <v>9941</v>
      </c>
      <c r="F500" s="3" t="s">
        <v>9942</v>
      </c>
      <c r="G500" s="3" t="s">
        <v>9943</v>
      </c>
      <c r="H500" s="3" t="s">
        <v>9944</v>
      </c>
      <c r="I500" s="3" t="s">
        <v>9945</v>
      </c>
      <c r="J500" s="5" t="str">
        <f t="shared" si="180"/>
        <v>反抗</v>
      </c>
    </row>
    <row r="501">
      <c r="A501" s="5" t="str">
        <f>CONCATENATE("CATEGORY_",UPPER(Pokemon!B489))</f>
        <v>CATEGORY_CRESSELIA</v>
      </c>
      <c r="B501" s="3" t="s">
        <v>9946</v>
      </c>
      <c r="C501" s="3" t="s">
        <v>9947</v>
      </c>
      <c r="D501" s="3" t="s">
        <v>9948</v>
      </c>
      <c r="E501" s="5" t="str">
        <f>B501</f>
        <v>Lunar</v>
      </c>
      <c r="F501" s="5" t="str">
        <f>B501</f>
        <v>Lunar</v>
      </c>
      <c r="G501" s="3" t="s">
        <v>9949</v>
      </c>
      <c r="H501" s="3" t="s">
        <v>9950</v>
      </c>
      <c r="I501" s="3" t="s">
        <v>9951</v>
      </c>
      <c r="J501" s="5" t="str">
        <f t="shared" si="180"/>
        <v>新月</v>
      </c>
    </row>
    <row r="502">
      <c r="A502" s="5" t="str">
        <f>CONCATENATE("CATEGORY_",UPPER(Pokemon!B490))</f>
        <v>CATEGORY_PHIONE</v>
      </c>
      <c r="B502" s="3" t="s">
        <v>9952</v>
      </c>
      <c r="C502" s="3" t="s">
        <v>9953</v>
      </c>
      <c r="D502" s="3" t="s">
        <v>9954</v>
      </c>
      <c r="E502" s="3" t="s">
        <v>9955</v>
      </c>
      <c r="F502" s="3" t="s">
        <v>9956</v>
      </c>
      <c r="G502" s="3" t="s">
        <v>9957</v>
      </c>
      <c r="H502" s="3" t="s">
        <v>9958</v>
      </c>
      <c r="I502" s="3" t="s">
        <v>9959</v>
      </c>
      <c r="J502" s="5" t="str">
        <f t="shared" si="180"/>
        <v>海洋</v>
      </c>
    </row>
    <row r="503">
      <c r="A503" s="5" t="str">
        <f>CONCATENATE("CATEGORY_",UPPER(Pokemon!B491))</f>
        <v>CATEGORY_MANAPHY</v>
      </c>
      <c r="B503" s="3" t="s">
        <v>9960</v>
      </c>
      <c r="C503" s="3" t="s">
        <v>9961</v>
      </c>
      <c r="D503" s="3" t="s">
        <v>9962</v>
      </c>
      <c r="E503" s="3" t="s">
        <v>9963</v>
      </c>
      <c r="F503" s="3" t="s">
        <v>9964</v>
      </c>
      <c r="G503" s="3" t="s">
        <v>9965</v>
      </c>
      <c r="H503" s="3" t="s">
        <v>9966</v>
      </c>
      <c r="I503" s="3" t="s">
        <v>9967</v>
      </c>
      <c r="J503" s="5" t="str">
        <f>IFERROR(__xludf.DUMMYFUNCTION("GOOGLETRANSLATE(I503, ""zh_HANT"",""zh_HANS"")"),"洄游")</f>
        <v>洄游</v>
      </c>
    </row>
    <row r="504">
      <c r="A504" s="5" t="str">
        <f>CONCATENATE("CATEGORY_",UPPER(Pokemon!B492))</f>
        <v>CATEGORY_DARKRAI</v>
      </c>
      <c r="B504" s="3" t="s">
        <v>9968</v>
      </c>
      <c r="C504" s="3" t="s">
        <v>9969</v>
      </c>
      <c r="D504" s="3" t="s">
        <v>9970</v>
      </c>
      <c r="E504" s="3" t="s">
        <v>9971</v>
      </c>
      <c r="F504" s="3" t="s">
        <v>9972</v>
      </c>
      <c r="G504" s="3" t="s">
        <v>8289</v>
      </c>
      <c r="H504" s="3" t="s">
        <v>9973</v>
      </c>
      <c r="I504" s="3" t="s">
        <v>9974</v>
      </c>
      <c r="J504" s="5" t="str">
        <f>I504</f>
        <v>暗黑</v>
      </c>
    </row>
    <row r="505">
      <c r="A505" s="5" t="str">
        <f>CONCATENATE("CATEGORY_",UPPER(Pokemon!B493))</f>
        <v>CATEGORY_SHAYMIN</v>
      </c>
      <c r="B505" s="3" t="str">
        <f>CONCATENATE(F505,"e")</f>
        <v>Graditude</v>
      </c>
      <c r="C505" s="3" t="s">
        <v>9975</v>
      </c>
      <c r="D505" s="3" t="str">
        <f t="shared" ref="D505:D506" si="181">B505</f>
        <v>Graditude</v>
      </c>
      <c r="E505" s="3" t="s">
        <v>9976</v>
      </c>
      <c r="F505" s="3" t="s">
        <v>9977</v>
      </c>
      <c r="G505" s="5" t="str">
        <f>CONCATENATE(F505,"ine")</f>
        <v>Graditudine</v>
      </c>
      <c r="H505" s="3" t="s">
        <v>9978</v>
      </c>
      <c r="I505" s="3" t="s">
        <v>9979</v>
      </c>
      <c r="J505" s="5" t="str">
        <f>IFERROR(__xludf.DUMMYFUNCTION("GOOGLETRANSLATE(I505, ""zh_HANT"",""zh_HANS"")"),"感谢")</f>
        <v>感谢</v>
      </c>
    </row>
    <row r="506">
      <c r="A506" s="5" t="str">
        <f>CONCATENATE("CATEGORY_",UPPER(Pokemon!B494))</f>
        <v>CATEGORY_ARCEUS</v>
      </c>
      <c r="B506" s="3" t="s">
        <v>9980</v>
      </c>
      <c r="C506" s="3" t="s">
        <v>9981</v>
      </c>
      <c r="D506" s="5" t="str">
        <f t="shared" si="181"/>
        <v>Alpha</v>
      </c>
      <c r="E506" s="5" t="str">
        <f>B506</f>
        <v>Alpha</v>
      </c>
      <c r="F506" s="3" t="s">
        <v>9982</v>
      </c>
      <c r="G506" s="3" t="s">
        <v>9983</v>
      </c>
      <c r="H506" s="3" t="s">
        <v>9984</v>
      </c>
      <c r="I506" s="3" t="s">
        <v>9985</v>
      </c>
      <c r="J506" s="5" t="str">
        <f>IFERROR(__xludf.DUMMYFUNCTION("GOOGLETRANSLATE(I506, ""zh_HANT"",""zh_HANS"")"),"创造")</f>
        <v>创造</v>
      </c>
    </row>
    <row r="507">
      <c r="A507" s="5" t="str">
        <f>CONCATENATE("CATEGORY_",UPPER(Pokemon!B495))</f>
        <v>CATEGORY_VICTINI</v>
      </c>
      <c r="B507" s="3" t="s">
        <v>9986</v>
      </c>
      <c r="C507" s="3" t="s">
        <v>9987</v>
      </c>
      <c r="D507" s="3" t="s">
        <v>9988</v>
      </c>
      <c r="E507" s="3" t="s">
        <v>9989</v>
      </c>
      <c r="F507" s="3" t="s">
        <v>9990</v>
      </c>
      <c r="G507" s="3" t="s">
        <v>9991</v>
      </c>
      <c r="H507" s="3" t="s">
        <v>9992</v>
      </c>
      <c r="I507" s="3" t="s">
        <v>9993</v>
      </c>
      <c r="J507" s="5" t="str">
        <f>IFERROR(__xludf.DUMMYFUNCTION("GOOGLETRANSLATE(I507, ""zh_HANT"",""zh_HANS"")"),"胜利")</f>
        <v>胜利</v>
      </c>
    </row>
    <row r="508">
      <c r="A508" s="5" t="str">
        <f>CONCATENATE("CATEGORY_",UPPER(Pokemon!B496))</f>
        <v>CATEGORY_SNIVY</v>
      </c>
      <c r="B508" s="3" t="s">
        <v>9994</v>
      </c>
      <c r="C508" s="3" t="s">
        <v>9995</v>
      </c>
      <c r="D508" s="3" t="s">
        <v>9996</v>
      </c>
      <c r="E508" s="3" t="s">
        <v>9997</v>
      </c>
      <c r="F508" s="3" t="s">
        <v>9998</v>
      </c>
      <c r="G508" s="3" t="s">
        <v>9999</v>
      </c>
      <c r="H508" s="3" t="s">
        <v>10000</v>
      </c>
      <c r="I508" s="3" t="s">
        <v>10001</v>
      </c>
      <c r="J508" s="5" t="str">
        <f>I508</f>
        <v>草蛇</v>
      </c>
    </row>
    <row r="509">
      <c r="A509" s="5" t="str">
        <f>CONCATENATE("CATEGORY_",UPPER(Pokemon!B497))</f>
        <v>CATEGORY_SERVINE</v>
      </c>
      <c r="B509" s="5" t="str">
        <f t="shared" ref="B509:J509" si="182">B508</f>
        <v>Grass Snake</v>
      </c>
      <c r="C509" s="5" t="str">
        <f t="shared" si="182"/>
        <v>くさへび</v>
      </c>
      <c r="D509" s="5" t="str">
        <f t="shared" si="182"/>
        <v>Serpenterbe</v>
      </c>
      <c r="E509" s="5" t="str">
        <f t="shared" si="182"/>
        <v>Grasschlange</v>
      </c>
      <c r="F509" s="5" t="str">
        <f t="shared" si="182"/>
        <v>Serp. Hierba</v>
      </c>
      <c r="G509" s="5" t="str">
        <f t="shared" si="182"/>
        <v>Serperba</v>
      </c>
      <c r="H509" s="5" t="str">
        <f t="shared" si="182"/>
        <v>풀뱀</v>
      </c>
      <c r="I509" s="5" t="str">
        <f t="shared" si="182"/>
        <v>草蛇</v>
      </c>
      <c r="J509" s="5" t="str">
        <f t="shared" si="182"/>
        <v>草蛇</v>
      </c>
    </row>
    <row r="510">
      <c r="A510" s="5" t="str">
        <f>CONCATENATE("CATEGORY_",UPPER(Pokemon!B498))</f>
        <v>CATEGORY_SERPERIOR</v>
      </c>
      <c r="B510" s="3" t="s">
        <v>10002</v>
      </c>
      <c r="C510" s="3" t="s">
        <v>10003</v>
      </c>
      <c r="D510" s="3" t="s">
        <v>10004</v>
      </c>
      <c r="E510" s="3" t="s">
        <v>10005</v>
      </c>
      <c r="F510" s="3" t="s">
        <v>10006</v>
      </c>
      <c r="G510" s="5" t="str">
        <f>CONCATENATE(B510,"e")</f>
        <v>Regale</v>
      </c>
      <c r="H510" s="3" t="s">
        <v>10007</v>
      </c>
      <c r="I510" s="3" t="s">
        <v>10008</v>
      </c>
      <c r="J510" s="5" t="str">
        <f>I510</f>
        <v>皇家</v>
      </c>
    </row>
    <row r="511">
      <c r="A511" s="5" t="str">
        <f>CONCATENATE("CATEGORY_",UPPER(Pokemon!B499))</f>
        <v>CATEGORY_TEPIG</v>
      </c>
      <c r="B511" s="3" t="s">
        <v>10009</v>
      </c>
      <c r="C511" s="3" t="s">
        <v>10010</v>
      </c>
      <c r="D511" s="3" t="s">
        <v>10011</v>
      </c>
      <c r="E511" s="3" t="s">
        <v>10012</v>
      </c>
      <c r="F511" s="3" t="s">
        <v>10013</v>
      </c>
      <c r="G511" s="3" t="s">
        <v>10014</v>
      </c>
      <c r="H511" s="3" t="s">
        <v>10015</v>
      </c>
      <c r="I511" s="3" t="s">
        <v>10016</v>
      </c>
      <c r="J511" s="5" t="str">
        <f>IFERROR(__xludf.DUMMYFUNCTION("GOOGLETRANSLATE(I511, ""zh_HANT"",""zh_HANS"")"),"火猪")</f>
        <v>火猪</v>
      </c>
    </row>
    <row r="512">
      <c r="A512" s="5" t="str">
        <f>CONCATENATE("CATEGORY_",UPPER(Pokemon!B500))</f>
        <v>CATEGORY_PIGNITE</v>
      </c>
      <c r="B512" s="5" t="str">
        <f t="shared" ref="B512:J512" si="183">B511</f>
        <v>Fire Pig</v>
      </c>
      <c r="C512" s="5" t="str">
        <f t="shared" si="183"/>
        <v>ひぶた</v>
      </c>
      <c r="D512" s="5" t="str">
        <f t="shared" si="183"/>
        <v>Cochon Feu</v>
      </c>
      <c r="E512" s="5" t="str">
        <f t="shared" si="183"/>
        <v>Feuerferkel</v>
      </c>
      <c r="F512" s="5" t="str">
        <f t="shared" si="183"/>
        <v>Cerdo Fuego</v>
      </c>
      <c r="G512" s="5" t="str">
        <f t="shared" si="183"/>
        <v>Suinfuoco</v>
      </c>
      <c r="H512" s="5" t="str">
        <f t="shared" si="183"/>
        <v>불돼지</v>
      </c>
      <c r="I512" s="5" t="str">
        <f t="shared" si="183"/>
        <v>火豬</v>
      </c>
      <c r="J512" s="5" t="str">
        <f t="shared" si="183"/>
        <v>火猪</v>
      </c>
    </row>
    <row r="513">
      <c r="A513" s="5" t="str">
        <f>CONCATENATE("CATEGORY_",UPPER(Pokemon!B501))</f>
        <v>CATEGORY_EMBOAR</v>
      </c>
      <c r="B513" s="3" t="s">
        <v>10017</v>
      </c>
      <c r="C513" s="3" t="s">
        <v>10018</v>
      </c>
      <c r="D513" s="3" t="s">
        <v>10019</v>
      </c>
      <c r="E513" s="3" t="s">
        <v>10020</v>
      </c>
      <c r="F513" s="3" t="s">
        <v>10021</v>
      </c>
      <c r="G513" s="3" t="s">
        <v>10022</v>
      </c>
      <c r="H513" s="3" t="s">
        <v>10023</v>
      </c>
      <c r="I513" s="3" t="s">
        <v>10024</v>
      </c>
      <c r="J513" s="5" t="str">
        <f>IFERROR(__xludf.DUMMYFUNCTION("GOOGLETRANSLATE(I513, ""zh_HANT"",""zh_HANS"")"),"大火猪")</f>
        <v>大火猪</v>
      </c>
    </row>
    <row r="514">
      <c r="A514" s="5" t="str">
        <f>CONCATENATE("CATEGORY_",UPPER(Pokemon!B502))</f>
        <v>CATEGORY_OSHAWOTT</v>
      </c>
      <c r="B514" s="3" t="s">
        <v>10025</v>
      </c>
      <c r="C514" s="3" t="s">
        <v>10026</v>
      </c>
      <c r="D514" s="3" t="s">
        <v>10027</v>
      </c>
      <c r="E514" s="3" t="s">
        <v>10028</v>
      </c>
      <c r="F514" s="3" t="s">
        <v>10029</v>
      </c>
      <c r="G514" s="3" t="s">
        <v>10030</v>
      </c>
      <c r="H514" s="3" t="s">
        <v>10031</v>
      </c>
      <c r="I514" s="3" t="s">
        <v>10032</v>
      </c>
      <c r="J514" s="5" t="str">
        <f>IFERROR(__xludf.DUMMYFUNCTION("GOOGLETRANSLATE(I514, ""zh_HANT"",""zh_HANS"")"),"海獭")</f>
        <v>海獭</v>
      </c>
    </row>
    <row r="515">
      <c r="A515" s="5" t="str">
        <f>CONCATENATE("CATEGORY_",UPPER(Pokemon!B503))</f>
        <v>CATEGORY_DEWOTT</v>
      </c>
      <c r="B515" s="3" t="s">
        <v>10033</v>
      </c>
      <c r="C515" s="3" t="s">
        <v>10034</v>
      </c>
      <c r="D515" s="3" t="s">
        <v>10035</v>
      </c>
      <c r="E515" s="3" t="s">
        <v>10036</v>
      </c>
      <c r="F515" s="3" t="s">
        <v>10037</v>
      </c>
      <c r="G515" s="3" t="s">
        <v>10038</v>
      </c>
      <c r="H515" s="3" t="s">
        <v>10039</v>
      </c>
      <c r="I515" s="3" t="s">
        <v>10040</v>
      </c>
      <c r="J515" s="5" t="str">
        <f>I515</f>
        <v>修行</v>
      </c>
    </row>
    <row r="516">
      <c r="A516" s="5" t="str">
        <f>CONCATENATE("CATEGORY_",UPPER(Pokemon!B504))</f>
        <v>CATEGORY_SAMUROTT</v>
      </c>
      <c r="B516" s="3" t="s">
        <v>10041</v>
      </c>
      <c r="C516" s="3" t="s">
        <v>10042</v>
      </c>
      <c r="D516" s="3" t="s">
        <v>10043</v>
      </c>
      <c r="E516" s="3" t="s">
        <v>10044</v>
      </c>
      <c r="F516" s="3" t="s">
        <v>10045</v>
      </c>
      <c r="G516" s="3" t="s">
        <v>10046</v>
      </c>
      <c r="H516" s="3" t="s">
        <v>10047</v>
      </c>
      <c r="I516" s="3" t="s">
        <v>10048</v>
      </c>
      <c r="J516" s="5" t="str">
        <f>IFERROR(__xludf.DUMMYFUNCTION("GOOGLETRANSLATE(I516, ""zh_HANT"",""zh_HANS"")"),"威严")</f>
        <v>威严</v>
      </c>
    </row>
    <row r="517">
      <c r="A517" s="5" t="str">
        <f>CONCATENATE("CATEGORY_",UPPER(Pokemon!B505))</f>
        <v>CATEGORY_PATRAT</v>
      </c>
      <c r="B517" s="5" t="str">
        <f t="shared" ref="B517:K517" si="184">B172</f>
        <v>Scout</v>
      </c>
      <c r="C517" s="5" t="str">
        <f t="shared" si="184"/>
        <v>みはり</v>
      </c>
      <c r="D517" s="5" t="str">
        <f t="shared" si="184"/>
        <v>Espion</v>
      </c>
      <c r="E517" s="5" t="str">
        <f t="shared" si="184"/>
        <v>Späher</v>
      </c>
      <c r="F517" s="5" t="str">
        <f t="shared" si="184"/>
        <v>Explorador</v>
      </c>
      <c r="G517" s="5" t="str">
        <f t="shared" si="184"/>
        <v>Esplorante</v>
      </c>
      <c r="H517" s="5" t="str">
        <f t="shared" si="184"/>
        <v>망보기</v>
      </c>
      <c r="I517" s="5" t="str">
        <f t="shared" si="184"/>
        <v>放哨</v>
      </c>
      <c r="J517" s="5" t="str">
        <f t="shared" si="184"/>
        <v>放哨</v>
      </c>
      <c r="K517" s="5" t="str">
        <f t="shared" si="184"/>
        <v/>
      </c>
    </row>
    <row r="518">
      <c r="A518" s="5" t="str">
        <f>CONCATENATE("CATEGORY_",UPPER(Pokemon!B506))</f>
        <v>CATEGORY_WATCHOG</v>
      </c>
      <c r="B518" s="3" t="s">
        <v>10049</v>
      </c>
      <c r="C518" s="3" t="s">
        <v>10050</v>
      </c>
      <c r="D518" s="3" t="s">
        <v>10051</v>
      </c>
      <c r="E518" s="3" t="s">
        <v>10052</v>
      </c>
      <c r="F518" s="3" t="s">
        <v>10053</v>
      </c>
      <c r="G518" s="3" t="s">
        <v>10054</v>
      </c>
      <c r="H518" s="3" t="s">
        <v>10055</v>
      </c>
      <c r="I518" s="3" t="s">
        <v>10056</v>
      </c>
      <c r="J518" s="5" t="str">
        <f>I518</f>
        <v>警戒</v>
      </c>
    </row>
    <row r="519">
      <c r="A519" s="5" t="str">
        <f>CONCATENATE("CATEGORY_",UPPER(Pokemon!B507))</f>
        <v>CATEGORY_LILLIPUP</v>
      </c>
      <c r="B519" s="5" t="str">
        <f t="shared" ref="B519:K519" si="185">B59</f>
        <v>Puppy</v>
      </c>
      <c r="C519" s="5" t="str">
        <f t="shared" si="185"/>
        <v>こいぬ</v>
      </c>
      <c r="D519" s="5" t="str">
        <f t="shared" si="185"/>
        <v>Chiot</v>
      </c>
      <c r="E519" s="5" t="str">
        <f t="shared" si="185"/>
        <v>Welpen</v>
      </c>
      <c r="F519" s="5" t="str">
        <f t="shared" si="185"/>
        <v>Perrito</v>
      </c>
      <c r="G519" s="5" t="str">
        <f t="shared" si="185"/>
        <v>Cagnolino</v>
      </c>
      <c r="H519" s="5" t="str">
        <f t="shared" si="185"/>
        <v>강아지</v>
      </c>
      <c r="I519" s="5" t="str">
        <f t="shared" si="185"/>
        <v>小狗</v>
      </c>
      <c r="J519" s="5" t="str">
        <f t="shared" si="185"/>
        <v>小狗</v>
      </c>
      <c r="K519" s="5" t="str">
        <f t="shared" si="185"/>
        <v/>
      </c>
    </row>
    <row r="520">
      <c r="A520" s="5" t="str">
        <f>CONCATENATE("CATEGORY_",UPPER(Pokemon!B508))</f>
        <v>CATEGORY_HERDIER</v>
      </c>
      <c r="B520" s="3" t="s">
        <v>10057</v>
      </c>
      <c r="C520" s="3" t="s">
        <v>10058</v>
      </c>
      <c r="D520" s="3" t="s">
        <v>10059</v>
      </c>
      <c r="E520" s="3" t="s">
        <v>10060</v>
      </c>
      <c r="F520" s="3" t="s">
        <v>10061</v>
      </c>
      <c r="G520" s="3" t="s">
        <v>10062</v>
      </c>
      <c r="H520" s="3" t="s">
        <v>10063</v>
      </c>
      <c r="I520" s="3" t="s">
        <v>10064</v>
      </c>
      <c r="J520" s="5" t="str">
        <f>I520</f>
        <v>忠犬</v>
      </c>
    </row>
    <row r="521">
      <c r="A521" s="5" t="str">
        <f>CONCATENATE("CATEGORY_",UPPER(Pokemon!B509))</f>
        <v>CATEGORY_STOUTLAND</v>
      </c>
      <c r="B521" s="3" t="s">
        <v>10065</v>
      </c>
      <c r="C521" s="3" t="s">
        <v>10066</v>
      </c>
      <c r="D521" s="3" t="s">
        <v>10067</v>
      </c>
      <c r="E521" s="3" t="s">
        <v>10068</v>
      </c>
      <c r="F521" s="3" t="s">
        <v>10069</v>
      </c>
      <c r="G521" s="3" t="s">
        <v>10070</v>
      </c>
      <c r="H521" s="3" t="s">
        <v>10071</v>
      </c>
      <c r="I521" s="3" t="s">
        <v>10072</v>
      </c>
      <c r="J521" s="5" t="str">
        <f>IFERROR(__xludf.DUMMYFUNCTION("GOOGLETRANSLATE(I521, ""zh_HANT"",""zh_HANS"")"),"宽大")</f>
        <v>宽大</v>
      </c>
    </row>
    <row r="522">
      <c r="A522" s="5" t="str">
        <f>CONCATENATE("CATEGORY_",UPPER(Pokemon!B510))</f>
        <v>CATEGORY_PURRLOIN</v>
      </c>
      <c r="B522" s="3" t="s">
        <v>10073</v>
      </c>
      <c r="C522" s="3" t="s">
        <v>10074</v>
      </c>
      <c r="D522" s="3" t="s">
        <v>10075</v>
      </c>
      <c r="E522" s="3" t="s">
        <v>10076</v>
      </c>
      <c r="F522" s="3" t="s">
        <v>10077</v>
      </c>
      <c r="G522" s="3" t="s">
        <v>10078</v>
      </c>
      <c r="H522" s="3" t="s">
        <v>10079</v>
      </c>
      <c r="I522" s="3" t="s">
        <v>10080</v>
      </c>
      <c r="J522" s="5" t="str">
        <f>IFERROR(__xludf.DUMMYFUNCTION("GOOGLETRANSLATE(I522, ""zh_HANT"",""zh_HANS"")"),"坏心眼")</f>
        <v>坏心眼</v>
      </c>
    </row>
    <row r="523">
      <c r="A523" s="5" t="str">
        <f>CONCATENATE("CATEGORY_",UPPER(Pokemon!B511))</f>
        <v>CATEGORY_LIEPARD</v>
      </c>
      <c r="B523" s="3" t="s">
        <v>10081</v>
      </c>
      <c r="C523" s="3" t="s">
        <v>10082</v>
      </c>
      <c r="D523" s="3" t="s">
        <v>10083</v>
      </c>
      <c r="E523" s="3" t="s">
        <v>10084</v>
      </c>
      <c r="F523" s="3" t="s">
        <v>10085</v>
      </c>
      <c r="G523" s="3" t="s">
        <v>10086</v>
      </c>
      <c r="H523" s="3" t="s">
        <v>10087</v>
      </c>
      <c r="I523" s="5" t="str">
        <f>J523</f>
        <v>冷酷</v>
      </c>
      <c r="J523" s="3" t="s">
        <v>10088</v>
      </c>
    </row>
    <row r="524">
      <c r="A524" s="5" t="str">
        <f>CONCATENATE("CATEGORY_",UPPER(Pokemon!B512))</f>
        <v>CATEGORY_PANSAGE</v>
      </c>
      <c r="B524" s="3" t="s">
        <v>10089</v>
      </c>
      <c r="C524" s="3" t="s">
        <v>10090</v>
      </c>
      <c r="D524" s="3" t="s">
        <v>10091</v>
      </c>
      <c r="E524" s="3" t="s">
        <v>10092</v>
      </c>
      <c r="F524" s="3" t="s">
        <v>10093</v>
      </c>
      <c r="G524" s="3" t="s">
        <v>10094</v>
      </c>
      <c r="H524" s="3" t="s">
        <v>10095</v>
      </c>
      <c r="I524" s="3" t="s">
        <v>10096</v>
      </c>
      <c r="J524" s="5" t="str">
        <f t="shared" ref="J524:J525" si="186">I524</f>
        <v>草猴</v>
      </c>
    </row>
    <row r="525">
      <c r="A525" s="5" t="str">
        <f>CONCATENATE("CATEGORY_",UPPER(Pokemon!B513))</f>
        <v>CATEGORY_SIMISAGE</v>
      </c>
      <c r="B525" s="3" t="s">
        <v>10097</v>
      </c>
      <c r="C525" s="3" t="s">
        <v>10098</v>
      </c>
      <c r="D525" s="3" t="s">
        <v>10099</v>
      </c>
      <c r="E525" s="3" t="s">
        <v>10100</v>
      </c>
      <c r="F525" s="3" t="s">
        <v>10101</v>
      </c>
      <c r="G525" s="3" t="s">
        <v>10102</v>
      </c>
      <c r="H525" s="3" t="s">
        <v>10103</v>
      </c>
      <c r="I525" s="3" t="s">
        <v>10104</v>
      </c>
      <c r="J525" s="5" t="str">
        <f t="shared" si="186"/>
        <v>刺猴</v>
      </c>
    </row>
    <row r="526">
      <c r="A526" s="5" t="str">
        <f>CONCATENATE("CATEGORY_",UPPER(Pokemon!B514))</f>
        <v>CATEGORY_PANSEAR</v>
      </c>
      <c r="B526" s="3" t="s">
        <v>10105</v>
      </c>
      <c r="C526" s="3" t="s">
        <v>10106</v>
      </c>
      <c r="D526" s="3" t="s">
        <v>10107</v>
      </c>
      <c r="E526" s="3" t="s">
        <v>10108</v>
      </c>
      <c r="F526" s="3" t="s">
        <v>10109</v>
      </c>
      <c r="G526" s="3" t="s">
        <v>10110</v>
      </c>
      <c r="H526" s="3" t="s">
        <v>10111</v>
      </c>
      <c r="I526" s="3" t="s">
        <v>10112</v>
      </c>
      <c r="J526" s="5" t="str">
        <f>IFERROR(__xludf.DUMMYFUNCTION("GOOGLETRANSLATE(I526, ""zh_HANT"",""zh_HANS"")"),"高温")</f>
        <v>高温</v>
      </c>
    </row>
    <row r="527">
      <c r="A527" s="5" t="str">
        <f>CONCATENATE("CATEGORY_",UPPER(Pokemon!B515))</f>
        <v>CATEGORY_SIMISEAR</v>
      </c>
      <c r="B527" s="3" t="str">
        <f>Moves!B53</f>
        <v>Ember</v>
      </c>
      <c r="C527" s="3" t="str">
        <f>Moves!C53</f>
        <v>ほのこ</v>
      </c>
      <c r="D527" s="3" t="s">
        <v>10113</v>
      </c>
      <c r="E527" s="3" t="str">
        <f>Moves!E53</f>
        <v>Glut</v>
      </c>
      <c r="F527" s="3" t="str">
        <f>Moves!F53</f>
        <v>Ascuas</v>
      </c>
      <c r="G527" s="3" t="str">
        <f>Moves!G53</f>
        <v>Braciere</v>
      </c>
      <c r="H527" s="3" t="str">
        <f>Moves!H53</f>
        <v>불꽃세례</v>
      </c>
      <c r="I527" s="3" t="str">
        <f>Moves!I53</f>
        <v>火花</v>
      </c>
      <c r="J527" s="3" t="str">
        <f>Moves!J53</f>
        <v>火花</v>
      </c>
    </row>
    <row r="528">
      <c r="A528" s="5" t="str">
        <f>CONCATENATE("CATEGORY_",UPPER(Pokemon!B516))</f>
        <v>CATEGORY_PANPOUR</v>
      </c>
      <c r="B528" s="3" t="s">
        <v>10114</v>
      </c>
      <c r="C528" s="3" t="s">
        <v>10115</v>
      </c>
      <c r="D528" s="3" t="s">
        <v>10116</v>
      </c>
      <c r="E528" s="3" t="s">
        <v>10117</v>
      </c>
      <c r="F528" s="3" t="s">
        <v>10118</v>
      </c>
      <c r="G528" s="3" t="s">
        <v>10119</v>
      </c>
      <c r="H528" s="3" t="s">
        <v>10120</v>
      </c>
      <c r="I528" s="3" t="s">
        <v>10121</v>
      </c>
      <c r="J528" s="5" t="str">
        <f>IFERROR(__xludf.DUMMYFUNCTION("GOOGLETRANSLATE(I528, ""zh_HANT"",""zh_HANS"")"),"泼水")</f>
        <v>泼水</v>
      </c>
    </row>
    <row r="529">
      <c r="A529" s="5" t="str">
        <f>CONCATENATE("CATEGORY_",UPPER(Pokemon!B517))</f>
        <v>CATEGORY_SIMIPOUR</v>
      </c>
      <c r="B529" s="3" t="s">
        <v>10122</v>
      </c>
      <c r="C529" s="3" t="s">
        <v>10123</v>
      </c>
      <c r="D529" s="3" t="s">
        <v>10124</v>
      </c>
      <c r="E529" s="5" t="str">
        <f>D529</f>
        <v>Drainage</v>
      </c>
      <c r="F529" s="3" t="s">
        <v>10125</v>
      </c>
      <c r="G529" s="3" t="s">
        <v>10126</v>
      </c>
      <c r="H529" s="3" t="s">
        <v>10127</v>
      </c>
      <c r="I529" s="3" t="s">
        <v>10128</v>
      </c>
      <c r="J529" s="5" t="str">
        <f>I529</f>
        <v>放水</v>
      </c>
    </row>
    <row r="530">
      <c r="A530" s="5" t="str">
        <f>CONCATENATE("CATEGORY_",UPPER(Pokemon!B518))</f>
        <v>CATEGORY_MUNNA</v>
      </c>
      <c r="B530" s="5" t="str">
        <f>Moves!B139</f>
        <v>Dream Eater</v>
      </c>
      <c r="C530" s="5" t="str">
        <f>Moves!C139</f>
        <v>ゆめくい</v>
      </c>
      <c r="D530" s="3" t="s">
        <v>10129</v>
      </c>
      <c r="E530" s="5" t="str">
        <f>Moves!E139</f>
        <v>Traumfresser</v>
      </c>
      <c r="F530" s="5" t="str">
        <f>Moves!F139</f>
        <v>Comesueños</v>
      </c>
      <c r="G530" s="5" t="str">
        <f>Moves!G139</f>
        <v>Mangiasogni</v>
      </c>
      <c r="H530" s="5" t="str">
        <f>Moves!H139</f>
        <v>꿈먹기</v>
      </c>
      <c r="I530" s="5" t="str">
        <f>Moves!I139</f>
        <v>食夢</v>
      </c>
      <c r="J530" s="5" t="str">
        <f>Moves!J139</f>
        <v>食梦</v>
      </c>
    </row>
    <row r="531">
      <c r="A531" s="5" t="str">
        <f>CONCATENATE("CATEGORY_",UPPER(Pokemon!B519))</f>
        <v>CATEGORY_MUSHARNA</v>
      </c>
      <c r="B531" s="3" t="s">
        <v>10130</v>
      </c>
      <c r="C531" s="3" t="s">
        <v>10131</v>
      </c>
      <c r="D531" s="3" t="s">
        <v>10132</v>
      </c>
      <c r="E531" s="3" t="s">
        <v>10133</v>
      </c>
      <c r="F531" s="3" t="s">
        <v>10134</v>
      </c>
      <c r="G531" s="3" t="s">
        <v>10135</v>
      </c>
      <c r="H531" s="3" t="s">
        <v>10136</v>
      </c>
      <c r="I531" s="3" t="s">
        <v>10137</v>
      </c>
      <c r="J531" s="5" t="str">
        <f>IFERROR(__xludf.DUMMYFUNCTION("GOOGLETRANSLATE(I531, ""zh_HANT"",""zh_HANS"")"),"半梦半醒")</f>
        <v>半梦半醒</v>
      </c>
    </row>
    <row r="532">
      <c r="A532" s="5" t="str">
        <f>CONCATENATE("CATEGORY_",UPPER(Pokemon!B520))</f>
        <v>CATEGORY_PIDOVE</v>
      </c>
      <c r="B532" s="3" t="s">
        <v>10138</v>
      </c>
      <c r="C532" s="3" t="s">
        <v>10139</v>
      </c>
      <c r="D532" s="3" t="s">
        <v>10140</v>
      </c>
      <c r="E532" s="3" t="s">
        <v>10141</v>
      </c>
      <c r="F532" s="3" t="s">
        <v>10142</v>
      </c>
      <c r="G532" s="3" t="s">
        <v>10143</v>
      </c>
      <c r="H532" s="3" t="s">
        <v>10144</v>
      </c>
      <c r="I532" s="3" t="s">
        <v>10145</v>
      </c>
      <c r="J532" s="5" t="str">
        <f>IFERROR(__xludf.DUMMYFUNCTION("GOOGLETRANSLATE(I532, ""zh_HANT"",""zh_HANS"")"),"小鸽")</f>
        <v>小鸽</v>
      </c>
    </row>
    <row r="533">
      <c r="A533" s="5" t="str">
        <f>CONCATENATE("CATEGORY_",UPPER(Pokemon!B521))</f>
        <v>CATEGORY_TRANQUILL</v>
      </c>
      <c r="B533" s="3" t="s">
        <v>10146</v>
      </c>
      <c r="C533" s="3" t="s">
        <v>10147</v>
      </c>
      <c r="D533" s="3" t="s">
        <v>10148</v>
      </c>
      <c r="E533" s="3" t="s">
        <v>10149</v>
      </c>
      <c r="F533" s="3" t="s">
        <v>10150</v>
      </c>
      <c r="G533" s="3" t="s">
        <v>10151</v>
      </c>
      <c r="H533" s="3" t="s">
        <v>10152</v>
      </c>
      <c r="I533" s="3" t="s">
        <v>10153</v>
      </c>
      <c r="J533" s="5" t="str">
        <f>IFERROR(__xludf.DUMMYFUNCTION("GOOGLETRANSLATE(I533, ""zh_HANT"",""zh_HANS"")"),"野鸽")</f>
        <v>野鸽</v>
      </c>
    </row>
    <row r="534">
      <c r="A534" s="5" t="str">
        <f>CONCATENATE("CATEGORY_",UPPER(Pokemon!B522))</f>
        <v>CATEGORY_UNFEZANT</v>
      </c>
      <c r="B534" s="3" t="s">
        <v>10154</v>
      </c>
      <c r="C534" s="3" t="s">
        <v>10155</v>
      </c>
      <c r="D534" s="3" t="s">
        <v>10156</v>
      </c>
      <c r="E534" s="3" t="s">
        <v>10157</v>
      </c>
      <c r="F534" s="3" t="s">
        <v>10158</v>
      </c>
      <c r="G534" s="3" t="s">
        <v>10159</v>
      </c>
      <c r="H534" s="3" t="s">
        <v>10160</v>
      </c>
      <c r="I534" s="3" t="s">
        <v>10161</v>
      </c>
      <c r="J534" s="5" t="str">
        <f>I534</f>
        <v>自尊心</v>
      </c>
    </row>
    <row r="535">
      <c r="A535" s="5" t="str">
        <f>CONCATENATE("CATEGORY_",UPPER(Pokemon!B523))</f>
        <v>CATEGORY_BLITZLE</v>
      </c>
      <c r="B535" s="3" t="s">
        <v>10162</v>
      </c>
      <c r="C535" s="3" t="s">
        <v>10163</v>
      </c>
      <c r="D535" s="3" t="s">
        <v>10164</v>
      </c>
      <c r="E535" s="3" t="s">
        <v>10165</v>
      </c>
      <c r="F535" s="3" t="s">
        <v>10166</v>
      </c>
      <c r="G535" s="3" t="s">
        <v>10167</v>
      </c>
      <c r="H535" s="3" t="s">
        <v>10168</v>
      </c>
      <c r="I535" s="3" t="s">
        <v>10169</v>
      </c>
      <c r="J535" s="5" t="str">
        <f>IFERROR(__xludf.DUMMYFUNCTION("GOOGLETRANSLATE(I535, ""zh_HANT"",""zh_HANS"")"),"带电")</f>
        <v>带电</v>
      </c>
    </row>
    <row r="536">
      <c r="A536" s="5" t="str">
        <f>CONCATENATE("CATEGORY_",UPPER(Pokemon!B524))</f>
        <v>CATEGORY_ZEBSTRIKA</v>
      </c>
      <c r="B536" s="5" t="str">
        <f t="shared" ref="B536:K536" si="187">B479</f>
        <v>Thunderbolt</v>
      </c>
      <c r="C536" s="5" t="str">
        <f t="shared" si="187"/>
        <v>らいでん</v>
      </c>
      <c r="D536" s="5" t="str">
        <f t="shared" si="187"/>
        <v>Foudrélec</v>
      </c>
      <c r="E536" s="5" t="str">
        <f t="shared" si="187"/>
        <v>Donnerkeil</v>
      </c>
      <c r="F536" s="5" t="str">
        <f t="shared" si="187"/>
        <v>Rayo</v>
      </c>
      <c r="G536" s="5" t="str">
        <f t="shared" si="187"/>
        <v>Saetta</v>
      </c>
      <c r="H536" s="5" t="str">
        <f t="shared" si="187"/>
        <v>뇌전</v>
      </c>
      <c r="I536" s="5" t="str">
        <f t="shared" si="187"/>
        <v>雷電</v>
      </c>
      <c r="J536" s="5" t="str">
        <f t="shared" si="187"/>
        <v>雷电</v>
      </c>
      <c r="K536" s="5" t="str">
        <f t="shared" si="187"/>
        <v/>
      </c>
    </row>
    <row r="537">
      <c r="A537" s="5" t="str">
        <f>CONCATENATE("CATEGORY_",UPPER(Pokemon!B525))</f>
        <v>CATEGORY_ROGGENROLA</v>
      </c>
      <c r="B537" s="3" t="s">
        <v>10170</v>
      </c>
      <c r="C537" s="3" t="s">
        <v>10171</v>
      </c>
      <c r="D537" s="3" t="s">
        <v>10172</v>
      </c>
      <c r="E537" s="3" t="s">
        <v>10173</v>
      </c>
      <c r="F537" s="3" t="s">
        <v>10174</v>
      </c>
      <c r="G537" s="3" t="s">
        <v>10175</v>
      </c>
      <c r="H537" s="3" t="s">
        <v>10176</v>
      </c>
      <c r="I537" s="3" t="s">
        <v>10177</v>
      </c>
      <c r="J537" s="5" t="str">
        <f>I537</f>
        <v>地幔</v>
      </c>
    </row>
    <row r="538">
      <c r="A538" s="5" t="str">
        <f>CONCATENATE("CATEGORY_",UPPER(Pokemon!B526))</f>
        <v>CATEGORY_BOLDORE</v>
      </c>
      <c r="B538" s="3" t="s">
        <v>10178</v>
      </c>
      <c r="C538" s="3" t="s">
        <v>10179</v>
      </c>
      <c r="D538" s="3" t="s">
        <v>10180</v>
      </c>
      <c r="E538" s="3" t="s">
        <v>10181</v>
      </c>
      <c r="F538" s="3" t="s">
        <v>10182</v>
      </c>
      <c r="G538" s="5" t="str">
        <f>CONCATENATE(F538,"e")</f>
        <v>Minerale</v>
      </c>
      <c r="H538" s="3" t="s">
        <v>10183</v>
      </c>
      <c r="I538" s="3" t="s">
        <v>10184</v>
      </c>
      <c r="J538" s="5" t="str">
        <f>IFERROR(__xludf.DUMMYFUNCTION("GOOGLETRANSLATE(I538, ""zh_HANT"",""zh_HANS"")"),"矿石")</f>
        <v>矿石</v>
      </c>
    </row>
    <row r="539">
      <c r="A539" s="5" t="str">
        <f>CONCATENATE("CATEGORY_",UPPER(Pokemon!B527))</f>
        <v>CATEGORY_GIGALITH</v>
      </c>
      <c r="B539" s="3" t="s">
        <v>10185</v>
      </c>
      <c r="C539" s="3" t="s">
        <v>10186</v>
      </c>
      <c r="D539" s="3" t="s">
        <v>10187</v>
      </c>
      <c r="E539" s="3" t="s">
        <v>10188</v>
      </c>
      <c r="F539" s="3" t="s">
        <v>10189</v>
      </c>
      <c r="G539" s="3" t="s">
        <v>10190</v>
      </c>
      <c r="H539" s="3" t="s">
        <v>10191</v>
      </c>
      <c r="I539" s="3" t="s">
        <v>10192</v>
      </c>
      <c r="J539" s="5" t="str">
        <f>IFERROR(__xludf.DUMMYFUNCTION("GOOGLETRANSLATE(I539, ""zh_HANT"",""zh_HANS"")"),"高压")</f>
        <v>高压</v>
      </c>
    </row>
    <row r="540">
      <c r="A540" s="5" t="str">
        <f>CONCATENATE("CATEGORY_",UPPER(Pokemon!B528))</f>
        <v>CATEGORY_WOOBAT</v>
      </c>
      <c r="B540" s="5" t="str">
        <f t="shared" ref="B540:K540" si="188">B42</f>
        <v>Bat</v>
      </c>
      <c r="C540" s="5" t="str">
        <f t="shared" si="188"/>
        <v>こうもり</v>
      </c>
      <c r="D540" s="5" t="str">
        <f t="shared" si="188"/>
        <v>Chovsouris</v>
      </c>
      <c r="E540" s="5" t="str">
        <f t="shared" si="188"/>
        <v>Fledermaus</v>
      </c>
      <c r="F540" s="5" t="str">
        <f t="shared" si="188"/>
        <v>Murciélago</v>
      </c>
      <c r="G540" s="5" t="str">
        <f t="shared" si="188"/>
        <v>Pipistrello</v>
      </c>
      <c r="H540" s="5" t="str">
        <f t="shared" si="188"/>
        <v>박쥐</v>
      </c>
      <c r="I540" s="5" t="str">
        <f t="shared" si="188"/>
        <v>蝙蝠</v>
      </c>
      <c r="J540" s="5" t="str">
        <f t="shared" si="188"/>
        <v>蝙蝠</v>
      </c>
      <c r="K540" s="5" t="str">
        <f t="shared" si="188"/>
        <v/>
      </c>
    </row>
    <row r="541">
      <c r="A541" s="5" t="str">
        <f>CONCATENATE("CATEGORY_",UPPER(Pokemon!B529))</f>
        <v>CATEGORY_SWOOBAT</v>
      </c>
      <c r="B541" s="3" t="s">
        <v>10193</v>
      </c>
      <c r="C541" s="3" t="s">
        <v>10194</v>
      </c>
      <c r="D541" s="3" t="s">
        <v>10195</v>
      </c>
      <c r="E541" s="3" t="s">
        <v>10196</v>
      </c>
      <c r="F541" s="3" t="s">
        <v>10197</v>
      </c>
      <c r="G541" s="3" t="s">
        <v>10198</v>
      </c>
      <c r="H541" s="3" t="s">
        <v>10199</v>
      </c>
      <c r="I541" s="3" t="s">
        <v>10200</v>
      </c>
      <c r="J541" s="5" t="str">
        <f>IFERROR(__xludf.DUMMYFUNCTION("GOOGLETRANSLATE(I541, ""zh_HANT"",""zh_HANS"")"),"求爱")</f>
        <v>求爱</v>
      </c>
    </row>
    <row r="542">
      <c r="A542" s="5" t="str">
        <f>CONCATENATE("CATEGORY_",UPPER(Pokemon!B530))</f>
        <v>CATEGORY_DRILBUR</v>
      </c>
      <c r="B542" s="5" t="str">
        <f t="shared" ref="B542:K542" si="189">B51</f>
        <v>Mole</v>
      </c>
      <c r="C542" s="5" t="str">
        <f t="shared" si="189"/>
        <v>もぐら</v>
      </c>
      <c r="D542" s="5" t="str">
        <f t="shared" si="189"/>
        <v>Taupe</v>
      </c>
      <c r="E542" s="5" t="str">
        <f t="shared" si="189"/>
        <v>Maulwurf</v>
      </c>
      <c r="F542" s="5" t="str">
        <f t="shared" si="189"/>
        <v>Topo</v>
      </c>
      <c r="G542" s="5" t="str">
        <f t="shared" si="189"/>
        <v>Talpa</v>
      </c>
      <c r="H542" s="5" t="str">
        <f t="shared" si="189"/>
        <v>두더지</v>
      </c>
      <c r="I542" s="5" t="str">
        <f t="shared" si="189"/>
        <v>鼴鼠</v>
      </c>
      <c r="J542" s="5" t="str">
        <f t="shared" si="189"/>
        <v>鼹鼠</v>
      </c>
      <c r="K542" s="5" t="str">
        <f t="shared" si="189"/>
        <v/>
      </c>
    </row>
    <row r="543">
      <c r="A543" s="5" t="str">
        <f>CONCATENATE("CATEGORY_",UPPER(Pokemon!B531))</f>
        <v>CATEGORY_EXCADRILL</v>
      </c>
      <c r="B543" s="3" t="s">
        <v>10201</v>
      </c>
      <c r="C543" s="3" t="s">
        <v>10202</v>
      </c>
      <c r="D543" s="3" t="s">
        <v>10203</v>
      </c>
      <c r="E543" s="3" t="s">
        <v>10204</v>
      </c>
      <c r="F543" s="3" t="s">
        <v>10205</v>
      </c>
      <c r="G543" s="3" t="s">
        <v>10206</v>
      </c>
      <c r="H543" s="3" t="s">
        <v>10207</v>
      </c>
      <c r="I543" s="3" t="s">
        <v>10208</v>
      </c>
      <c r="J543" s="5" t="str">
        <f>I543</f>
        <v>地底</v>
      </c>
    </row>
    <row r="544">
      <c r="A544" s="5" t="str">
        <f>CONCATENATE("CATEGORY_",UPPER(Pokemon!B532))</f>
        <v>CATEGORY_AUDINO</v>
      </c>
      <c r="B544" s="3" t="s">
        <v>10209</v>
      </c>
      <c r="C544" s="3" t="s">
        <v>10210</v>
      </c>
      <c r="D544" s="3" t="s">
        <v>10211</v>
      </c>
      <c r="E544" s="3" t="s">
        <v>10212</v>
      </c>
      <c r="F544" s="3" t="s">
        <v>10213</v>
      </c>
      <c r="G544" s="3" t="s">
        <v>10214</v>
      </c>
      <c r="H544" s="3" t="s">
        <v>10215</v>
      </c>
      <c r="I544" s="3" t="s">
        <v>10216</v>
      </c>
      <c r="J544" s="5" t="str">
        <f>IFERROR(__xludf.DUMMYFUNCTION("GOOGLETRANSLATE(I544, ""zh_HANT"",""zh_HANS"")"),"听力")</f>
        <v>听力</v>
      </c>
    </row>
    <row r="545">
      <c r="A545" s="5" t="str">
        <f>CONCATENATE("CATEGORY_",UPPER(Pokemon!B533))</f>
        <v>CATEGORY_TIMBURR</v>
      </c>
      <c r="B545" s="3" t="s">
        <v>10217</v>
      </c>
      <c r="C545" s="3" t="s">
        <v>10218</v>
      </c>
      <c r="D545" s="3" t="s">
        <v>10219</v>
      </c>
      <c r="E545" s="3" t="s">
        <v>10220</v>
      </c>
      <c r="F545" s="3" t="s">
        <v>10221</v>
      </c>
      <c r="G545" s="3" t="s">
        <v>10222</v>
      </c>
      <c r="H545" s="3" t="s">
        <v>10223</v>
      </c>
      <c r="I545" s="3" t="s">
        <v>10224</v>
      </c>
      <c r="J545" s="5" t="str">
        <f>I545</f>
        <v>筋骨</v>
      </c>
    </row>
    <row r="546">
      <c r="A546" s="5" t="str">
        <f>CONCATENATE("CATEGORY_",UPPER(Pokemon!B534))</f>
        <v>CATEGORY_GURDURR</v>
      </c>
      <c r="B546" s="5" t="str">
        <f t="shared" ref="B546:J546" si="190">B545</f>
        <v>Muscular</v>
      </c>
      <c r="C546" s="5" t="str">
        <f t="shared" si="190"/>
        <v>きんこつ</v>
      </c>
      <c r="D546" s="5" t="str">
        <f t="shared" si="190"/>
        <v>Costaud</v>
      </c>
      <c r="E546" s="5" t="str">
        <f t="shared" si="190"/>
        <v>Muskel</v>
      </c>
      <c r="F546" s="5" t="str">
        <f t="shared" si="190"/>
        <v>Musculoso</v>
      </c>
      <c r="G546" s="5" t="str">
        <f t="shared" si="190"/>
        <v>Forzaimmane</v>
      </c>
      <c r="H546" s="5" t="str">
        <f t="shared" si="190"/>
        <v>근골</v>
      </c>
      <c r="I546" s="5" t="str">
        <f t="shared" si="190"/>
        <v>筋骨</v>
      </c>
      <c r="J546" s="5" t="str">
        <f t="shared" si="190"/>
        <v>筋骨</v>
      </c>
    </row>
    <row r="547">
      <c r="A547" s="5" t="str">
        <f>CONCATENATE("CATEGORY_",UPPER(Pokemon!B535))</f>
        <v>CATEGORY_CONKELDURR</v>
      </c>
      <c r="B547" s="5" t="str">
        <f t="shared" ref="B547:J547" si="191">B545</f>
        <v>Muscular</v>
      </c>
      <c r="C547" s="5" t="str">
        <f t="shared" si="191"/>
        <v>きんこつ</v>
      </c>
      <c r="D547" s="5" t="str">
        <f t="shared" si="191"/>
        <v>Costaud</v>
      </c>
      <c r="E547" s="5" t="str">
        <f t="shared" si="191"/>
        <v>Muskel</v>
      </c>
      <c r="F547" s="5" t="str">
        <f t="shared" si="191"/>
        <v>Musculoso</v>
      </c>
      <c r="G547" s="5" t="str">
        <f t="shared" si="191"/>
        <v>Forzaimmane</v>
      </c>
      <c r="H547" s="5" t="str">
        <f t="shared" si="191"/>
        <v>근골</v>
      </c>
      <c r="I547" s="5" t="str">
        <f t="shared" si="191"/>
        <v>筋骨</v>
      </c>
      <c r="J547" s="5" t="str">
        <f t="shared" si="191"/>
        <v>筋骨</v>
      </c>
    </row>
    <row r="548">
      <c r="A548" s="5" t="str">
        <f>CONCATENATE("CATEGORY_",UPPER(Pokemon!B536))</f>
        <v>CATEGORY_TYMPOLE</v>
      </c>
      <c r="B548" s="5" t="str">
        <f t="shared" ref="B548:K548" si="192">B62</f>
        <v>Tadpole</v>
      </c>
      <c r="C548" s="5" t="str">
        <f t="shared" si="192"/>
        <v>おたま</v>
      </c>
      <c r="D548" s="5" t="str">
        <f t="shared" si="192"/>
        <v>Têtard</v>
      </c>
      <c r="E548" s="5" t="str">
        <f t="shared" si="192"/>
        <v>Kaulquappe</v>
      </c>
      <c r="F548" s="5" t="str">
        <f t="shared" si="192"/>
        <v>Renacuajo</v>
      </c>
      <c r="G548" s="5" t="str">
        <f t="shared" si="192"/>
        <v>Girino</v>
      </c>
      <c r="H548" s="5" t="str">
        <f t="shared" si="192"/>
        <v>올챙이</v>
      </c>
      <c r="I548" s="5" t="str">
        <f t="shared" si="192"/>
        <v>蝌蚪</v>
      </c>
      <c r="J548" s="5" t="str">
        <f t="shared" si="192"/>
        <v>蝌蚪</v>
      </c>
      <c r="K548" s="5" t="str">
        <f t="shared" si="192"/>
        <v/>
      </c>
    </row>
    <row r="549">
      <c r="A549" s="5" t="str">
        <f>CONCATENATE("CATEGORY_",UPPER(Pokemon!B537))</f>
        <v>CATEGORY_PALPITOAD</v>
      </c>
      <c r="B549" s="5" t="str">
        <f t="shared" ref="B549:K549" si="193">B342</f>
        <v>Vibration</v>
      </c>
      <c r="C549" s="5" t="str">
        <f t="shared" si="193"/>
        <v>しんどう</v>
      </c>
      <c r="D549" s="5" t="str">
        <f t="shared" si="193"/>
        <v>Vibration</v>
      </c>
      <c r="E549" s="5" t="str">
        <f t="shared" si="193"/>
        <v>Vibration</v>
      </c>
      <c r="F549" s="5" t="str">
        <f t="shared" si="193"/>
        <v>Vibrante</v>
      </c>
      <c r="G549" s="5" t="str">
        <f t="shared" si="193"/>
        <v>Vibrazione</v>
      </c>
      <c r="H549" s="5" t="str">
        <f t="shared" si="193"/>
        <v>진동</v>
      </c>
      <c r="I549" s="5" t="str">
        <f t="shared" si="193"/>
        <v>震動</v>
      </c>
      <c r="J549" s="5" t="str">
        <f t="shared" si="193"/>
        <v>震动</v>
      </c>
      <c r="K549" s="5" t="str">
        <f t="shared" si="193"/>
        <v/>
      </c>
    </row>
    <row r="550">
      <c r="A550" s="5" t="str">
        <f>CONCATENATE("CATEGORY_",UPPER(Pokemon!B538))</f>
        <v>CATEGORY_SEISMITOAD</v>
      </c>
      <c r="B550" s="5" t="str">
        <f t="shared" ref="B550:K550" si="194">B342</f>
        <v>Vibration</v>
      </c>
      <c r="C550" s="5" t="str">
        <f t="shared" si="194"/>
        <v>しんどう</v>
      </c>
      <c r="D550" s="5" t="str">
        <f t="shared" si="194"/>
        <v>Vibration</v>
      </c>
      <c r="E550" s="5" t="str">
        <f t="shared" si="194"/>
        <v>Vibration</v>
      </c>
      <c r="F550" s="5" t="str">
        <f t="shared" si="194"/>
        <v>Vibrante</v>
      </c>
      <c r="G550" s="5" t="str">
        <f t="shared" si="194"/>
        <v>Vibrazione</v>
      </c>
      <c r="H550" s="5" t="str">
        <f t="shared" si="194"/>
        <v>진동</v>
      </c>
      <c r="I550" s="5" t="str">
        <f t="shared" si="194"/>
        <v>震動</v>
      </c>
      <c r="J550" s="5" t="str">
        <f t="shared" si="194"/>
        <v>震动</v>
      </c>
      <c r="K550" s="5" t="str">
        <f t="shared" si="194"/>
        <v/>
      </c>
    </row>
    <row r="551">
      <c r="A551" s="5" t="str">
        <f>CONCATENATE("CATEGORY_",UPPER(Pokemon!B539))</f>
        <v>CATEGORY_THROH</v>
      </c>
      <c r="B551" s="3" t="s">
        <v>10225</v>
      </c>
      <c r="C551" s="3" t="s">
        <v>10226</v>
      </c>
      <c r="D551" s="3" t="s">
        <v>10225</v>
      </c>
      <c r="E551" s="5" t="str">
        <f t="shared" ref="E551:E552" si="195">B551</f>
        <v>Judo</v>
      </c>
      <c r="F551" s="5" t="str">
        <f>B551</f>
        <v>Judo</v>
      </c>
      <c r="G551" s="5" t="str">
        <f t="shared" ref="G551:G552" si="196">B551</f>
        <v>Judo</v>
      </c>
      <c r="H551" s="3" t="s">
        <v>10227</v>
      </c>
      <c r="I551" s="3" t="s">
        <v>10228</v>
      </c>
      <c r="J551" s="5" t="str">
        <f t="shared" ref="J551:J552" si="197">I551</f>
        <v>柔道</v>
      </c>
    </row>
    <row r="552">
      <c r="A552" s="5" t="str">
        <f>CONCATENATE("CATEGORY_",UPPER(Pokemon!B540))</f>
        <v>CATEGORY_SAWK</v>
      </c>
      <c r="B552" s="3" t="s">
        <v>10229</v>
      </c>
      <c r="C552" s="3" t="s">
        <v>10230</v>
      </c>
      <c r="D552" s="3" t="s">
        <v>10231</v>
      </c>
      <c r="E552" s="5" t="str">
        <f t="shared" si="195"/>
        <v>Karate</v>
      </c>
      <c r="F552" s="3" t="s">
        <v>10232</v>
      </c>
      <c r="G552" s="5" t="str">
        <f t="shared" si="196"/>
        <v>Karate</v>
      </c>
      <c r="H552" s="3" t="s">
        <v>10233</v>
      </c>
      <c r="I552" s="3" t="s">
        <v>10234</v>
      </c>
      <c r="J552" s="5" t="str">
        <f t="shared" si="197"/>
        <v>空手道</v>
      </c>
    </row>
    <row r="553">
      <c r="A553" s="5" t="str">
        <f>CONCATENATE("CATEGORY_",UPPER(Pokemon!B541))</f>
        <v>CATEGORY_SEWADDLE</v>
      </c>
      <c r="B553" s="3" t="s">
        <v>10235</v>
      </c>
      <c r="C553" s="3" t="s">
        <v>10236</v>
      </c>
      <c r="D553" s="3" t="s">
        <v>10237</v>
      </c>
      <c r="E553" s="3" t="s">
        <v>10238</v>
      </c>
      <c r="F553" s="3" t="s">
        <v>10239</v>
      </c>
      <c r="G553" s="3" t="s">
        <v>10240</v>
      </c>
      <c r="H553" s="3" t="s">
        <v>10241</v>
      </c>
      <c r="I553" s="3" t="s">
        <v>10242</v>
      </c>
      <c r="J553" s="5" t="str">
        <f>IFERROR(__xludf.DUMMYFUNCTION("GOOGLETRANSLATE(I553, ""zh_HANT"",""zh_HANS"")"),"裁缝")</f>
        <v>裁缝</v>
      </c>
    </row>
    <row r="554">
      <c r="A554" s="5" t="str">
        <f>CONCATENATE("CATEGORY_",UPPER(Pokemon!B542))</f>
        <v>CATEGORY_SWADLOON</v>
      </c>
      <c r="B554" s="3" t="s">
        <v>10243</v>
      </c>
      <c r="C554" s="3" t="s">
        <v>10244</v>
      </c>
      <c r="D554" s="3" t="s">
        <v>10245</v>
      </c>
      <c r="E554" s="3" t="s">
        <v>10246</v>
      </c>
      <c r="F554" s="3" t="s">
        <v>10247</v>
      </c>
      <c r="G554" s="3" t="s">
        <v>10248</v>
      </c>
      <c r="H554" s="3" t="s">
        <v>10249</v>
      </c>
      <c r="I554" s="3" t="s">
        <v>10250</v>
      </c>
      <c r="J554" s="5" t="str">
        <f>IFERROR(__xludf.DUMMYFUNCTION("GOOGLETRANSLATE(I554, ""zh_HANT"",""zh_HANS"")"),"足不出叶")</f>
        <v>足不出叶</v>
      </c>
    </row>
    <row r="555">
      <c r="A555" s="5" t="str">
        <f>CONCATENATE("CATEGORY_",UPPER(Pokemon!B543))</f>
        <v>CATEGORY_LEAVANNY</v>
      </c>
      <c r="B555" s="3" t="s">
        <v>10251</v>
      </c>
      <c r="C555" s="3" t="s">
        <v>10252</v>
      </c>
      <c r="D555" s="3" t="s">
        <v>10253</v>
      </c>
      <c r="E555" s="3" t="s">
        <v>10254</v>
      </c>
      <c r="F555" s="3" t="s">
        <v>10255</v>
      </c>
      <c r="G555" s="3" t="s">
        <v>10256</v>
      </c>
      <c r="H555" s="3" t="s">
        <v>10257</v>
      </c>
      <c r="I555" s="3" t="s">
        <v>10258</v>
      </c>
      <c r="J555" s="5" t="str">
        <f>IFERROR(__xludf.DUMMYFUNCTION("GOOGLETRANSLATE(I555, ""zh_HANT"",""zh_HANS"")"),"育儿")</f>
        <v>育儿</v>
      </c>
    </row>
    <row r="556">
      <c r="A556" s="5" t="str">
        <f>CONCATENATE("CATEGORY_",UPPER(Pokemon!B544))</f>
        <v>CATEGORY_VENIPEDE</v>
      </c>
      <c r="B556" s="3" t="s">
        <v>10259</v>
      </c>
      <c r="C556" s="3" t="s">
        <v>10260</v>
      </c>
      <c r="D556" s="3" t="s">
        <v>10261</v>
      </c>
      <c r="E556" s="3" t="s">
        <v>10262</v>
      </c>
      <c r="F556" s="3" t="s">
        <v>10263</v>
      </c>
      <c r="G556" s="5" t="str">
        <f>B556</f>
        <v>Centipede</v>
      </c>
      <c r="H556" s="3" t="s">
        <v>10264</v>
      </c>
      <c r="I556" s="3" t="s">
        <v>10265</v>
      </c>
      <c r="J556" s="5" t="str">
        <f>I556</f>
        <v>蜈蚣</v>
      </c>
    </row>
    <row r="557">
      <c r="A557" s="5" t="str">
        <f>CONCATENATE("CATEGORY_",UPPER(Pokemon!B545))</f>
        <v>CATEGORY_WHIRLIPEDE</v>
      </c>
      <c r="B557" s="3" t="s">
        <v>10266</v>
      </c>
      <c r="C557" s="3" t="s">
        <v>10267</v>
      </c>
      <c r="D557" s="3" t="s">
        <v>10268</v>
      </c>
      <c r="E557" s="3" t="s">
        <v>10269</v>
      </c>
      <c r="F557" s="3" t="s">
        <v>10270</v>
      </c>
      <c r="G557" s="3" t="s">
        <v>10271</v>
      </c>
      <c r="H557" s="3" t="s">
        <v>10272</v>
      </c>
      <c r="I557" s="3" t="s">
        <v>10273</v>
      </c>
      <c r="J557" s="5" t="str">
        <f>IFERROR(__xludf.DUMMYFUNCTION("GOOGLETRANSLATE(I557, ""zh_HANT"",""zh_HANS"")"),"茧蜈蚣")</f>
        <v>茧蜈蚣</v>
      </c>
    </row>
    <row r="558">
      <c r="A558" s="5" t="str">
        <f>CONCATENATE("CATEGORY_",UPPER(Pokemon!B546))</f>
        <v>CATEGORY_SCOLIOPEDE</v>
      </c>
      <c r="B558" s="3" t="s">
        <v>10274</v>
      </c>
      <c r="C558" s="3" t="s">
        <v>10275</v>
      </c>
      <c r="D558" s="3" t="s">
        <v>10276</v>
      </c>
      <c r="E558" s="3" t="s">
        <v>10277</v>
      </c>
      <c r="F558" s="3" t="s">
        <v>10278</v>
      </c>
      <c r="G558" s="5" t="str">
        <f>B558</f>
        <v>Megapede</v>
      </c>
      <c r="H558" s="3" t="s">
        <v>10279</v>
      </c>
      <c r="I558" s="3" t="s">
        <v>10280</v>
      </c>
      <c r="J558" s="5" t="str">
        <f t="shared" ref="J558:J559" si="198">I558</f>
        <v>巨蜈蚣</v>
      </c>
    </row>
    <row r="559">
      <c r="A559" s="5" t="str">
        <f>CONCATENATE("CATEGORY_",UPPER(Pokemon!B547))</f>
        <v>CATEGORY_COTTONEE</v>
      </c>
      <c r="B559" s="3" t="s">
        <v>10281</v>
      </c>
      <c r="C559" s="3" t="s">
        <v>10282</v>
      </c>
      <c r="D559" s="3" t="s">
        <v>10283</v>
      </c>
      <c r="E559" s="3" t="s">
        <v>10284</v>
      </c>
      <c r="F559" s="3" t="s">
        <v>10285</v>
      </c>
      <c r="G559" s="3" t="s">
        <v>10286</v>
      </c>
      <c r="H559" s="3" t="s">
        <v>10287</v>
      </c>
      <c r="I559" s="3" t="s">
        <v>10288</v>
      </c>
      <c r="J559" s="5" t="str">
        <f t="shared" si="198"/>
        <v>棉球</v>
      </c>
    </row>
    <row r="560">
      <c r="A560" s="5" t="str">
        <f>CONCATENATE("CATEGORY_",UPPER(Pokemon!B548))</f>
        <v>CATEGORY_WHIMSICOTT</v>
      </c>
      <c r="B560" s="3" t="s">
        <v>10289</v>
      </c>
      <c r="C560" s="3" t="s">
        <v>10290</v>
      </c>
      <c r="D560" s="3" t="s">
        <v>10291</v>
      </c>
      <c r="E560" s="3" t="s">
        <v>10292</v>
      </c>
      <c r="F560" s="3" t="s">
        <v>10293</v>
      </c>
      <c r="G560" s="3" t="s">
        <v>10294</v>
      </c>
      <c r="H560" s="3" t="s">
        <v>10295</v>
      </c>
      <c r="I560" s="3" t="s">
        <v>10296</v>
      </c>
      <c r="J560" s="5" t="str">
        <f>IFERROR(__xludf.DUMMYFUNCTION("GOOGLETRANSLATE(I560, ""zh_HANT"",""zh_HANS"")"),"风隐")</f>
        <v>风隐</v>
      </c>
    </row>
    <row r="561">
      <c r="A561" s="5" t="str">
        <f>CONCATENATE("CATEGORY_",UPPER(Pokemon!B549))</f>
        <v>CATEGORY_PETILIL</v>
      </c>
      <c r="B561" s="3" t="s">
        <v>10297</v>
      </c>
      <c r="C561" s="3" t="s">
        <v>10298</v>
      </c>
      <c r="D561" s="3" t="s">
        <v>7518</v>
      </c>
      <c r="E561" s="3" t="s">
        <v>10299</v>
      </c>
      <c r="F561" s="3" t="s">
        <v>10300</v>
      </c>
      <c r="G561" s="3" t="s">
        <v>10301</v>
      </c>
      <c r="H561" s="3" t="s">
        <v>10302</v>
      </c>
      <c r="I561" s="3" t="s">
        <v>10303</v>
      </c>
      <c r="J561" s="5" t="str">
        <f>IFERROR(__xludf.DUMMYFUNCTION("GOOGLETRANSLATE(I561, ""zh_HANT"",""zh_HANS"")"),"根茎")</f>
        <v>根茎</v>
      </c>
    </row>
    <row r="562">
      <c r="A562" s="5" t="str">
        <f>CONCATENATE("CATEGORY_",UPPER(Pokemon!B550))</f>
        <v>CATEGORY_LILLIGANT</v>
      </c>
      <c r="B562" s="3" t="s">
        <v>10304</v>
      </c>
      <c r="C562" s="3" t="s">
        <v>10305</v>
      </c>
      <c r="D562" s="3" t="s">
        <v>10306</v>
      </c>
      <c r="E562" s="3" t="s">
        <v>10307</v>
      </c>
      <c r="F562" s="3" t="s">
        <v>10308</v>
      </c>
      <c r="G562" s="3" t="s">
        <v>10309</v>
      </c>
      <c r="H562" s="3" t="s">
        <v>10310</v>
      </c>
      <c r="I562" s="3" t="s">
        <v>10311</v>
      </c>
      <c r="J562" s="5" t="str">
        <f>IFERROR(__xludf.DUMMYFUNCTION("GOOGLETRANSLATE(I562, ""zh_HANT"",""zh_HANS"")"),"花饰")</f>
        <v>花饰</v>
      </c>
    </row>
    <row r="563">
      <c r="A563" s="5" t="str">
        <f>CONCATENATE(A562,"-H")</f>
        <v>CATEGORY_LILLIGANT-H</v>
      </c>
      <c r="B563" s="3" t="s">
        <v>10312</v>
      </c>
      <c r="C563" s="3" t="s">
        <v>10313</v>
      </c>
      <c r="D563" s="3" t="s">
        <v>10314</v>
      </c>
      <c r="E563" s="3" t="s">
        <v>10315</v>
      </c>
      <c r="F563" s="3" t="s">
        <v>10316</v>
      </c>
      <c r="G563" s="3" t="s">
        <v>10317</v>
      </c>
      <c r="H563" s="7" t="s">
        <v>10318</v>
      </c>
      <c r="I563" s="3" t="str">
        <f>IFERROR(__xludf.DUMMYFUNCTION("GOOGLETRANSLATE(J563,""zh_HANS"",""zh_HANT"")"),"旋轉")</f>
        <v>旋轉</v>
      </c>
      <c r="J563" s="7" t="s">
        <v>10319</v>
      </c>
    </row>
    <row r="564">
      <c r="A564" s="5" t="str">
        <f>CONCATENATE("CATEGORY_",UPPER(Pokemon!B551))</f>
        <v>CATEGORY_BASCULIN</v>
      </c>
      <c r="B564" s="3" t="s">
        <v>10320</v>
      </c>
      <c r="C564" s="3" t="s">
        <v>10321</v>
      </c>
      <c r="D564" s="3" t="s">
        <v>10322</v>
      </c>
      <c r="E564" s="3" t="s">
        <v>10323</v>
      </c>
      <c r="F564" s="5" t="str">
        <f>CONCATENATE(D564,"o")</f>
        <v>Violento</v>
      </c>
      <c r="G564" s="3" t="s">
        <v>10324</v>
      </c>
      <c r="H564" s="7" t="s">
        <v>10325</v>
      </c>
      <c r="I564" s="3" t="s">
        <v>10326</v>
      </c>
      <c r="J564" s="5" t="str">
        <f>I564</f>
        <v>粗暴</v>
      </c>
    </row>
    <row r="565">
      <c r="A565" s="3" t="s">
        <v>10327</v>
      </c>
      <c r="B565" s="3" t="s">
        <v>10328</v>
      </c>
      <c r="C565" s="3" t="s">
        <v>10329</v>
      </c>
      <c r="D565" s="3" t="s">
        <v>10330</v>
      </c>
      <c r="E565" s="3" t="s">
        <v>10331</v>
      </c>
      <c r="F565" s="3" t="s">
        <v>10332</v>
      </c>
      <c r="G565" s="3" t="s">
        <v>10333</v>
      </c>
      <c r="H565" s="3" t="s">
        <v>10334</v>
      </c>
      <c r="I565" s="3" t="str">
        <f>IFERROR(__xludf.DUMMYFUNCTION("GOOGLETRANSLATE(J565,""zh_HANS"",""zh_HANT"")"),"溫厚")</f>
        <v>溫厚</v>
      </c>
      <c r="J565" s="7" t="s">
        <v>10335</v>
      </c>
    </row>
    <row r="566">
      <c r="A566" s="5" t="str">
        <f>CONCATENATE("CATEGORY_",UPPER(Pokemon!B552))</f>
        <v>CATEGORY_SANDILE</v>
      </c>
      <c r="B566" s="3" t="s">
        <v>10336</v>
      </c>
      <c r="C566" s="3" t="s">
        <v>10337</v>
      </c>
      <c r="D566" s="3" t="s">
        <v>10338</v>
      </c>
      <c r="E566" s="3" t="s">
        <v>10339</v>
      </c>
      <c r="F566" s="3" t="s">
        <v>10340</v>
      </c>
      <c r="G566" s="3" t="s">
        <v>10341</v>
      </c>
      <c r="H566" s="3" t="s">
        <v>10342</v>
      </c>
      <c r="I566" s="3" t="s">
        <v>10343</v>
      </c>
      <c r="J566" s="5" t="str">
        <f>IFERROR(__xludf.DUMMYFUNCTION("GOOGLETRANSLATE(I566, ""zh_HANT"",""zh_HANS"")"),"沙漠鳄鱼")</f>
        <v>沙漠鳄鱼</v>
      </c>
    </row>
    <row r="567">
      <c r="A567" s="5" t="str">
        <f>CONCATENATE("CATEGORY_",UPPER(Pokemon!B553))</f>
        <v>CATEGORY_KROKOROK</v>
      </c>
      <c r="B567" s="5" t="str">
        <f t="shared" ref="B567:J567" si="199">B566</f>
        <v>Desert Croc</v>
      </c>
      <c r="C567" s="5" t="str">
        <f t="shared" si="199"/>
        <v>さばくワニ</v>
      </c>
      <c r="D567" s="5" t="str">
        <f t="shared" si="199"/>
        <v>Croco Sable</v>
      </c>
      <c r="E567" s="5" t="str">
        <f t="shared" si="199"/>
        <v>Wüstenkroko</v>
      </c>
      <c r="F567" s="5" t="str">
        <f t="shared" si="199"/>
        <v>Desierdrilo</v>
      </c>
      <c r="G567" s="5" t="str">
        <f t="shared" si="199"/>
        <v>Sabbiadrillo</v>
      </c>
      <c r="H567" s="5" t="str">
        <f t="shared" si="199"/>
        <v>사막악어</v>
      </c>
      <c r="I567" s="5" t="str">
        <f t="shared" si="199"/>
        <v>沙漠鱷魚</v>
      </c>
      <c r="J567" s="5" t="str">
        <f t="shared" si="199"/>
        <v>沙漠鳄鱼</v>
      </c>
    </row>
    <row r="568">
      <c r="A568" s="5" t="str">
        <f>CONCATENATE("CATEGORY_",UPPER(Pokemon!B554))</f>
        <v>CATEGORY_KROOKODILE</v>
      </c>
      <c r="B568" s="3" t="str">
        <f>D568</f>
        <v>Intimidation</v>
      </c>
      <c r="C568" s="3" t="str">
        <f>Abilities!C23</f>
        <v>いかく</v>
      </c>
      <c r="D568" s="3" t="str">
        <f>Abilities!D23</f>
        <v>Intimidation</v>
      </c>
      <c r="E568" s="3" t="s">
        <v>10344</v>
      </c>
      <c r="F568" s="3" t="s">
        <v>10345</v>
      </c>
      <c r="G568" s="3" t="s">
        <v>10346</v>
      </c>
      <c r="H568" s="3" t="str">
        <f>Abilities!H23</f>
        <v>위협</v>
      </c>
      <c r="I568" s="3" t="str">
        <f>Abilities!I23</f>
        <v>威嚇</v>
      </c>
      <c r="J568" s="3" t="str">
        <f>Abilities!J23</f>
        <v>威吓</v>
      </c>
    </row>
    <row r="569">
      <c r="A569" s="5" t="str">
        <f>CONCATENATE("CATEGORY_",UPPER(Pokemon!B555))</f>
        <v>CATEGORY_DARUMAKA</v>
      </c>
      <c r="B569" s="3" t="s">
        <v>10347</v>
      </c>
      <c r="C569" s="3" t="s">
        <v>10348</v>
      </c>
      <c r="D569" s="3" t="s">
        <v>10349</v>
      </c>
      <c r="E569" s="3" t="s">
        <v>10350</v>
      </c>
      <c r="F569" s="5" t="str">
        <f>D569</f>
        <v>Daruma</v>
      </c>
      <c r="G569" s="5" t="str">
        <f>D569</f>
        <v>Daruma</v>
      </c>
      <c r="H569" s="3" t="s">
        <v>10351</v>
      </c>
      <c r="I569" s="3" t="s">
        <v>10352</v>
      </c>
      <c r="J569" s="5" t="str">
        <f t="shared" ref="J569:J570" si="200">I569</f>
        <v>不倒翁</v>
      </c>
    </row>
    <row r="570">
      <c r="A570" s="5" t="str">
        <f>CONCATENATE("CATEGORY_",UPPER(Pokemon!B556))</f>
        <v>CATEGORY_DARMANITAN</v>
      </c>
      <c r="B570" s="3" t="s">
        <v>10353</v>
      </c>
      <c r="C570" s="3" t="s">
        <v>10354</v>
      </c>
      <c r="D570" s="3" t="s">
        <v>10355</v>
      </c>
      <c r="E570" s="3" t="s">
        <v>10356</v>
      </c>
      <c r="F570" s="3" t="s">
        <v>10357</v>
      </c>
      <c r="G570" s="3" t="s">
        <v>10358</v>
      </c>
      <c r="H570" s="3" t="s">
        <v>10359</v>
      </c>
      <c r="I570" s="3" t="s">
        <v>10360</v>
      </c>
      <c r="J570" s="5" t="str">
        <f t="shared" si="200"/>
        <v>爆燃</v>
      </c>
    </row>
    <row r="571">
      <c r="A571" s="5" t="str">
        <f>CONCATENATE(A570,"-G")</f>
        <v>CATEGORY_DARMANITAN-G</v>
      </c>
      <c r="B571" s="5" t="str">
        <f t="shared" ref="B571:J571" si="201">B569</f>
        <v>Zen Charm</v>
      </c>
      <c r="C571" s="5" t="str">
        <f t="shared" si="201"/>
        <v>だるま</v>
      </c>
      <c r="D571" s="5" t="str">
        <f t="shared" si="201"/>
        <v>Daruma</v>
      </c>
      <c r="E571" s="5" t="str">
        <f t="shared" si="201"/>
        <v>Lampion</v>
      </c>
      <c r="F571" s="5" t="str">
        <f t="shared" si="201"/>
        <v>Daruma</v>
      </c>
      <c r="G571" s="5" t="str">
        <f t="shared" si="201"/>
        <v>Daruma</v>
      </c>
      <c r="H571" s="5" t="str">
        <f t="shared" si="201"/>
        <v>달마</v>
      </c>
      <c r="I571" s="5" t="str">
        <f t="shared" si="201"/>
        <v>不倒翁</v>
      </c>
      <c r="J571" s="5" t="str">
        <f t="shared" si="201"/>
        <v>不倒翁</v>
      </c>
    </row>
    <row r="572">
      <c r="A572" s="5" t="str">
        <f>CONCATENATE(A571,"Z")</f>
        <v>CATEGORY_DARMANITAN-GZ</v>
      </c>
      <c r="B572" s="5" t="str">
        <f t="shared" ref="B572:J572" si="202">B570</f>
        <v>Blazing</v>
      </c>
      <c r="C572" s="5" t="str">
        <f t="shared" si="202"/>
        <v>えんじょう</v>
      </c>
      <c r="D572" s="5" t="str">
        <f t="shared" si="202"/>
        <v>Enflammé</v>
      </c>
      <c r="E572" s="5" t="str">
        <f t="shared" si="202"/>
        <v>Lichterloh</v>
      </c>
      <c r="F572" s="5" t="str">
        <f t="shared" si="202"/>
        <v>Candente</v>
      </c>
      <c r="G572" s="5" t="str">
        <f t="shared" si="202"/>
        <v>Altefiamme</v>
      </c>
      <c r="H572" s="5" t="str">
        <f t="shared" si="202"/>
        <v>염상</v>
      </c>
      <c r="I572" s="5" t="str">
        <f t="shared" si="202"/>
        <v>爆燃</v>
      </c>
      <c r="J572" s="5" t="str">
        <f t="shared" si="202"/>
        <v>爆燃</v>
      </c>
    </row>
    <row r="573">
      <c r="A573" s="5" t="str">
        <f>CONCATENATE("CATEGORY_",UPPER(Pokemon!B557))</f>
        <v>CATEGORY_MARACTUS</v>
      </c>
      <c r="B573" s="5" t="str">
        <f t="shared" ref="B573:K573" si="203">B344</f>
        <v>Cactus</v>
      </c>
      <c r="C573" s="5" t="str">
        <f t="shared" si="203"/>
        <v>サボテン</v>
      </c>
      <c r="D573" s="5" t="str">
        <f t="shared" si="203"/>
        <v>Cactus</v>
      </c>
      <c r="E573" s="5" t="str">
        <f t="shared" si="203"/>
        <v>Kaktus</v>
      </c>
      <c r="F573" s="5" t="str">
        <f t="shared" si="203"/>
        <v>Cactus</v>
      </c>
      <c r="G573" s="5" t="str">
        <f t="shared" si="203"/>
        <v>Cactus</v>
      </c>
      <c r="H573" s="5" t="str">
        <f t="shared" si="203"/>
        <v>선인장</v>
      </c>
      <c r="I573" s="5" t="str">
        <f t="shared" si="203"/>
        <v>仙人掌</v>
      </c>
      <c r="J573" s="5" t="str">
        <f t="shared" si="203"/>
        <v>仙人掌</v>
      </c>
      <c r="K573" s="5" t="str">
        <f t="shared" si="203"/>
        <v/>
      </c>
    </row>
    <row r="574">
      <c r="A574" s="5" t="str">
        <f>CONCATENATE("CATEGORY_",UPPER(Pokemon!B558))</f>
        <v>CATEGORY_DWEBBLE</v>
      </c>
      <c r="B574" s="3" t="s">
        <v>10361</v>
      </c>
      <c r="C574" s="3" t="s">
        <v>10362</v>
      </c>
      <c r="D574" s="3" t="s">
        <v>10363</v>
      </c>
      <c r="E574" s="3" t="s">
        <v>10364</v>
      </c>
      <c r="F574" s="3" t="s">
        <v>10365</v>
      </c>
      <c r="G574" s="3" t="s">
        <v>10366</v>
      </c>
      <c r="H574" s="3" t="s">
        <v>10367</v>
      </c>
      <c r="I574" s="3" t="s">
        <v>10368</v>
      </c>
      <c r="J574" s="5" t="str">
        <f t="shared" ref="J574:J575" si="204">I574</f>
        <v>石居</v>
      </c>
    </row>
    <row r="575">
      <c r="A575" s="5" t="str">
        <f>CONCATENATE("CATEGORY_",UPPER(Pokemon!B559))</f>
        <v>CATEGORY_CRUSTLE</v>
      </c>
      <c r="B575" s="3" t="s">
        <v>10369</v>
      </c>
      <c r="C575" s="3" t="s">
        <v>10370</v>
      </c>
      <c r="D575" s="3" t="s">
        <v>10371</v>
      </c>
      <c r="E575" s="3" t="s">
        <v>10372</v>
      </c>
      <c r="F575" s="3" t="s">
        <v>10373</v>
      </c>
      <c r="G575" s="3" t="s">
        <v>10374</v>
      </c>
      <c r="H575" s="3" t="s">
        <v>10375</v>
      </c>
      <c r="I575" s="3" t="s">
        <v>10376</v>
      </c>
      <c r="J575" s="5" t="str">
        <f t="shared" si="204"/>
        <v>岩居</v>
      </c>
    </row>
    <row r="576">
      <c r="A576" s="5" t="str">
        <f>CONCATENATE("CATEGORY_",UPPER(Pokemon!B560))</f>
        <v>CATEGORY_SCRAGGY</v>
      </c>
      <c r="B576" s="3" t="s">
        <v>10377</v>
      </c>
      <c r="C576" s="3" t="s">
        <v>10378</v>
      </c>
      <c r="D576" s="3" t="s">
        <v>10379</v>
      </c>
      <c r="E576" s="3" t="s">
        <v>10380</v>
      </c>
      <c r="F576" s="3" t="s">
        <v>10381</v>
      </c>
      <c r="G576" s="3" t="s">
        <v>10382</v>
      </c>
      <c r="H576" s="3" t="s">
        <v>10383</v>
      </c>
      <c r="I576" s="3" t="s">
        <v>10384</v>
      </c>
      <c r="J576" s="5" t="str">
        <f>IFERROR(__xludf.DUMMYFUNCTION("GOOGLETRANSLATE(I576, ""zh_HANT"",""zh_HANS"")"),"蜕皮")</f>
        <v>蜕皮</v>
      </c>
    </row>
    <row r="577">
      <c r="A577" s="5" t="str">
        <f>CONCATENATE("CATEGORY_",UPPER(Pokemon!B561))</f>
        <v>CATEGORY_SCRAFTY</v>
      </c>
      <c r="B577" s="3" t="s">
        <v>10385</v>
      </c>
      <c r="C577" s="3" t="s">
        <v>10386</v>
      </c>
      <c r="D577" s="3" t="s">
        <v>10387</v>
      </c>
      <c r="E577" s="3" t="s">
        <v>10388</v>
      </c>
      <c r="F577" s="3" t="s">
        <v>10389</v>
      </c>
      <c r="G577" s="3" t="s">
        <v>10390</v>
      </c>
      <c r="H577" s="3" t="s">
        <v>10391</v>
      </c>
      <c r="I577" s="3" t="s">
        <v>10392</v>
      </c>
      <c r="J577" s="5" t="str">
        <f>IFERROR(__xludf.DUMMYFUNCTION("GOOGLETRANSLATE(I577, ""zh_HANT"",""zh_HANS"")"),"恶党")</f>
        <v>恶党</v>
      </c>
    </row>
    <row r="578">
      <c r="A578" s="5" t="str">
        <f>CONCATENATE("CATEGORY_",UPPER(Pokemon!B562))</f>
        <v>CATEGORY_SIGILYPH</v>
      </c>
      <c r="B578" s="3" t="s">
        <v>10393</v>
      </c>
      <c r="C578" s="3" t="s">
        <v>10394</v>
      </c>
      <c r="D578" s="3" t="s">
        <v>10395</v>
      </c>
      <c r="E578" s="3" t="s">
        <v>10396</v>
      </c>
      <c r="F578" s="3" t="s">
        <v>10397</v>
      </c>
      <c r="G578" s="3" t="s">
        <v>10398</v>
      </c>
      <c r="H578" s="3" t="s">
        <v>10399</v>
      </c>
      <c r="I578" s="3" t="s">
        <v>10400</v>
      </c>
      <c r="J578" s="5" t="str">
        <f>IFERROR(__xludf.DUMMYFUNCTION("GOOGLETRANSLATE(I578, ""zh_HANT"",""zh_HANS"")"),"似鸟")</f>
        <v>似鸟</v>
      </c>
    </row>
    <row r="579">
      <c r="A579" s="5" t="str">
        <f>CONCATENATE("CATEGORY_",UPPER(Pokemon!B563))</f>
        <v>CATEGORY_YAMASK</v>
      </c>
      <c r="B579" s="3" t="s">
        <v>10401</v>
      </c>
      <c r="C579" s="3" t="s">
        <v>10402</v>
      </c>
      <c r="D579" s="3" t="s">
        <v>10403</v>
      </c>
      <c r="E579" s="3" t="s">
        <v>10404</v>
      </c>
      <c r="F579" s="3" t="s">
        <v>10405</v>
      </c>
      <c r="G579" s="3" t="s">
        <v>10406</v>
      </c>
      <c r="H579" s="3" t="s">
        <v>10407</v>
      </c>
      <c r="I579" s="3" t="s">
        <v>10408</v>
      </c>
      <c r="J579" s="5" t="str">
        <f t="shared" ref="J579:J580" si="205">I579</f>
        <v>魂</v>
      </c>
    </row>
    <row r="580">
      <c r="A580" s="5" t="str">
        <f>CONCATENATE("CATEGORY_",UPPER(Pokemon!B564))</f>
        <v>CATEGORY_COFAGRIGUS</v>
      </c>
      <c r="B580" s="3" t="s">
        <v>10409</v>
      </c>
      <c r="C580" s="3" t="s">
        <v>10410</v>
      </c>
      <c r="D580" s="3" t="s">
        <v>10411</v>
      </c>
      <c r="E580" s="3" t="s">
        <v>10412</v>
      </c>
      <c r="F580" s="3" t="s">
        <v>10413</v>
      </c>
      <c r="G580" s="3" t="s">
        <v>10414</v>
      </c>
      <c r="H580" s="3" t="s">
        <v>10415</v>
      </c>
      <c r="I580" s="3" t="s">
        <v>10416</v>
      </c>
      <c r="J580" s="5" t="str">
        <f t="shared" si="205"/>
        <v>棺木</v>
      </c>
    </row>
    <row r="581">
      <c r="A581" s="5" t="str">
        <f>CONCATENATE("CATEGORY_",UPPER(Pokemon!B565))</f>
        <v>CATEGORY_TIRTOUGA</v>
      </c>
      <c r="B581" s="3" t="s">
        <v>10417</v>
      </c>
      <c r="C581" s="3" t="s">
        <v>10418</v>
      </c>
      <c r="D581" s="3" t="s">
        <v>10419</v>
      </c>
      <c r="E581" s="3" t="s">
        <v>10420</v>
      </c>
      <c r="F581" s="3" t="s">
        <v>10421</v>
      </c>
      <c r="G581" s="3" t="s">
        <v>10422</v>
      </c>
      <c r="H581" s="3" t="s">
        <v>10423</v>
      </c>
      <c r="I581" s="3" t="s">
        <v>10424</v>
      </c>
      <c r="J581" s="5" t="str">
        <f>IFERROR(__xludf.DUMMYFUNCTION("GOOGLETRANSLATE(I581, ""zh_HANT"",""zh_HANS"")"),"古代龟")</f>
        <v>古代龟</v>
      </c>
    </row>
    <row r="582">
      <c r="A582" s="5" t="str">
        <f>CONCATENATE("CATEGORY_",UPPER(Pokemon!B566))</f>
        <v>CATEGORY_CARRACOSTA</v>
      </c>
      <c r="B582" s="5" t="str">
        <f t="shared" ref="B582:J582" si="206">B581</f>
        <v>Prototurtle</v>
      </c>
      <c r="C582" s="5" t="str">
        <f t="shared" si="206"/>
        <v>こだいがめ</v>
      </c>
      <c r="D582" s="5" t="str">
        <f t="shared" si="206"/>
        <v>Tortantique</v>
      </c>
      <c r="E582" s="5" t="str">
        <f t="shared" si="206"/>
        <v>Urzeitkröte</v>
      </c>
      <c r="F582" s="5" t="str">
        <f t="shared" si="206"/>
        <v>Pretortuga</v>
      </c>
      <c r="G582" s="5" t="str">
        <f t="shared" si="206"/>
        <v>Ancestruga</v>
      </c>
      <c r="H582" s="5" t="str">
        <f t="shared" si="206"/>
        <v>옛날거북</v>
      </c>
      <c r="I582" s="5" t="str">
        <f t="shared" si="206"/>
        <v>古代龜</v>
      </c>
      <c r="J582" s="5" t="str">
        <f t="shared" si="206"/>
        <v>古代龟</v>
      </c>
    </row>
    <row r="583">
      <c r="A583" s="5" t="str">
        <f>CONCATENATE("CATEGORY_",UPPER(Pokemon!B567))</f>
        <v>CATEGORY_ARCHEN</v>
      </c>
      <c r="B583" s="3" t="s">
        <v>10425</v>
      </c>
      <c r="C583" s="3" t="s">
        <v>10426</v>
      </c>
      <c r="D583" s="3" t="s">
        <v>10427</v>
      </c>
      <c r="E583" s="3" t="s">
        <v>10428</v>
      </c>
      <c r="F583" s="3" t="s">
        <v>10429</v>
      </c>
      <c r="G583" s="3" t="s">
        <v>10430</v>
      </c>
      <c r="H583" s="3" t="s">
        <v>10431</v>
      </c>
      <c r="I583" s="3" t="s">
        <v>10432</v>
      </c>
      <c r="J583" s="5" t="str">
        <f>IFERROR(__xludf.DUMMYFUNCTION("GOOGLETRANSLATE(I583, ""zh_HANT"",""zh_HANS"")"),"远古鸟")</f>
        <v>远古鸟</v>
      </c>
    </row>
    <row r="584">
      <c r="A584" s="5" t="str">
        <f>CONCATENATE("CATEGORY_",UPPER(Pokemon!B568))</f>
        <v>CATEGORY_ARCHEOPS</v>
      </c>
      <c r="B584" s="5" t="str">
        <f t="shared" ref="B584:J584" si="207">B583</f>
        <v>First Bird</v>
      </c>
      <c r="C584" s="5" t="str">
        <f t="shared" si="207"/>
        <v>さいこどり</v>
      </c>
      <c r="D584" s="5" t="str">
        <f t="shared" si="207"/>
        <v>Oisancien</v>
      </c>
      <c r="E584" s="5" t="str">
        <f t="shared" si="207"/>
        <v>Urzeitvogel</v>
      </c>
      <c r="F584" s="5" t="str">
        <f t="shared" si="207"/>
        <v>Protopájaro</v>
      </c>
      <c r="G584" s="5" t="str">
        <f t="shared" si="207"/>
        <v>Paleouccello</v>
      </c>
      <c r="H584" s="5" t="str">
        <f t="shared" si="207"/>
        <v>최초새</v>
      </c>
      <c r="I584" s="5" t="str">
        <f t="shared" si="207"/>
        <v>遠古鳥</v>
      </c>
      <c r="J584" s="5" t="str">
        <f t="shared" si="207"/>
        <v>远古鸟</v>
      </c>
    </row>
    <row r="585">
      <c r="A585" s="5" t="str">
        <f>CONCATENATE("CATEGORY_",UPPER(Pokemon!B569))</f>
        <v>CATEGORY_TRUBBISH</v>
      </c>
      <c r="B585" s="3" t="s">
        <v>10433</v>
      </c>
      <c r="C585" s="3" t="s">
        <v>10434</v>
      </c>
      <c r="D585" s="3" t="s">
        <v>10435</v>
      </c>
      <c r="E585" s="3" t="s">
        <v>10436</v>
      </c>
      <c r="F585" s="3" t="s">
        <v>10437</v>
      </c>
      <c r="G585" s="3" t="s">
        <v>10438</v>
      </c>
      <c r="H585" s="3" t="s">
        <v>10439</v>
      </c>
      <c r="I585" s="3" t="s">
        <v>10440</v>
      </c>
      <c r="J585" s="5" t="str">
        <f>I585</f>
        <v>垃圾袋</v>
      </c>
    </row>
    <row r="586">
      <c r="A586" s="5" t="str">
        <f>CONCATENATE("CATEGORY_",UPPER(Pokemon!B570))</f>
        <v>CATEGORY_GARBODOR</v>
      </c>
      <c r="B586" s="3" t="s">
        <v>10441</v>
      </c>
      <c r="C586" s="3" t="s">
        <v>10442</v>
      </c>
      <c r="D586" s="3" t="s">
        <v>10443</v>
      </c>
      <c r="E586" s="3" t="s">
        <v>10444</v>
      </c>
      <c r="F586" s="3" t="s">
        <v>10445</v>
      </c>
      <c r="G586" s="3" t="s">
        <v>10446</v>
      </c>
      <c r="H586" s="3" t="s">
        <v>10447</v>
      </c>
      <c r="I586" s="3" t="s">
        <v>10448</v>
      </c>
      <c r="J586" s="5" t="str">
        <f>IFERROR(__xludf.DUMMYFUNCTION("GOOGLETRANSLATE(I586, ""zh_HANT"",""zh_HANS"")"),"垃圾场")</f>
        <v>垃圾场</v>
      </c>
    </row>
    <row r="587">
      <c r="A587" s="5" t="str">
        <f>CONCATENATE("CATEGORY_",UPPER(Pokemon!B571))</f>
        <v>CATEGORY_ZORUA</v>
      </c>
      <c r="B587" s="3" t="s">
        <v>10449</v>
      </c>
      <c r="C587" s="3" t="s">
        <v>10450</v>
      </c>
      <c r="D587" s="3" t="s">
        <v>10451</v>
      </c>
      <c r="E587" s="3" t="s">
        <v>10452</v>
      </c>
      <c r="F587" s="3" t="s">
        <v>10453</v>
      </c>
      <c r="G587" s="3" t="s">
        <v>10454</v>
      </c>
      <c r="H587" s="3" t="s">
        <v>10455</v>
      </c>
      <c r="I587" s="3" t="s">
        <v>10456</v>
      </c>
      <c r="J587" s="5" t="str">
        <f>IFERROR(__xludf.DUMMYFUNCTION("GOOGLETRANSLATE(I587, ""zh_HANT"",""zh_HANS"")"),"恶狐")</f>
        <v>恶狐</v>
      </c>
    </row>
    <row r="588">
      <c r="A588" s="5" t="str">
        <f>CONCATENATE(A587,"-H")</f>
        <v>CATEGORY_ZORUA-H</v>
      </c>
      <c r="B588" s="3" t="s">
        <v>10457</v>
      </c>
      <c r="C588" s="3" t="s">
        <v>10458</v>
      </c>
      <c r="D588" s="3" t="s">
        <v>10459</v>
      </c>
      <c r="E588" s="3" t="s">
        <v>10460</v>
      </c>
      <c r="F588" s="3" t="s">
        <v>10461</v>
      </c>
      <c r="G588" s="3" t="s">
        <v>10462</v>
      </c>
      <c r="H588" s="3" t="s">
        <v>10463</v>
      </c>
      <c r="I588" s="5" t="str">
        <f>J588</f>
        <v>怨狐</v>
      </c>
      <c r="J588" s="3" t="s">
        <v>10464</v>
      </c>
    </row>
    <row r="589">
      <c r="A589" s="5" t="str">
        <f>CONCATENATE("CATEGORY_",UPPER(Pokemon!B572))</f>
        <v>CATEGORY_ZOROARK</v>
      </c>
      <c r="B589" s="3" t="s">
        <v>10465</v>
      </c>
      <c r="C589" s="3" t="s">
        <v>10466</v>
      </c>
      <c r="D589" s="3" t="s">
        <v>10467</v>
      </c>
      <c r="E589" s="3" t="s">
        <v>10468</v>
      </c>
      <c r="F589" s="5" t="str">
        <f>F588</f>
        <v>Disfrazorro</v>
      </c>
      <c r="G589" s="3" t="s">
        <v>10469</v>
      </c>
      <c r="H589" s="3" t="s">
        <v>10470</v>
      </c>
      <c r="I589" s="3" t="s">
        <v>10471</v>
      </c>
      <c r="J589" s="5" t="str">
        <f>I589</f>
        <v>妖狐</v>
      </c>
    </row>
    <row r="590">
      <c r="A590" s="5" t="str">
        <f>CONCATENATE(A589,"-H")</f>
        <v>CATEGORY_ZOROARK-H</v>
      </c>
      <c r="B590" s="3" t="s">
        <v>10472</v>
      </c>
      <c r="C590" s="3" t="s">
        <v>10473</v>
      </c>
      <c r="D590" s="3" t="s">
        <v>10474</v>
      </c>
      <c r="E590" s="3" t="s">
        <v>10475</v>
      </c>
      <c r="F590" s="3" t="s">
        <v>10476</v>
      </c>
      <c r="G590" s="3" t="s">
        <v>10477</v>
      </c>
      <c r="H590" s="3" t="s">
        <v>10478</v>
      </c>
      <c r="I590" s="5" t="str">
        <f>J590</f>
        <v>咒狐</v>
      </c>
      <c r="J590" s="3" t="s">
        <v>10479</v>
      </c>
    </row>
    <row r="591">
      <c r="A591" s="5" t="str">
        <f>CONCATENATE("CATEGORY_",UPPER(Pokemon!B573))</f>
        <v>CATEGORY_MINCCINO</v>
      </c>
      <c r="B591" s="3" t="s">
        <v>10480</v>
      </c>
      <c r="C591" s="3" t="s">
        <v>10481</v>
      </c>
      <c r="D591" s="3" t="str">
        <f>B591</f>
        <v>Chinchilla</v>
      </c>
      <c r="E591" s="5" t="str">
        <f>B591</f>
        <v>Chinchilla</v>
      </c>
      <c r="F591" s="5" t="str">
        <f>B591</f>
        <v>Chinchilla</v>
      </c>
      <c r="G591" s="3" t="s">
        <v>10482</v>
      </c>
      <c r="H591" s="3" t="s">
        <v>10483</v>
      </c>
      <c r="I591" s="3" t="s">
        <v>10484</v>
      </c>
      <c r="J591" s="5" t="str">
        <f>I591</f>
        <v>栗鼠</v>
      </c>
    </row>
    <row r="592">
      <c r="A592" s="5" t="str">
        <f>CONCATENATE("CATEGORY_",UPPER(Pokemon!B574))</f>
        <v>CATEGORY_CINCCINO</v>
      </c>
      <c r="B592" s="3" t="s">
        <v>10485</v>
      </c>
      <c r="C592" s="3" t="s">
        <v>10486</v>
      </c>
      <c r="D592" s="3" t="s">
        <v>10487</v>
      </c>
      <c r="E592" s="3" t="s">
        <v>10488</v>
      </c>
      <c r="F592" s="3" t="s">
        <v>10489</v>
      </c>
      <c r="G592" s="3" t="s">
        <v>10490</v>
      </c>
      <c r="H592" s="3" t="s">
        <v>10491</v>
      </c>
      <c r="I592" s="3" t="s">
        <v>10492</v>
      </c>
      <c r="J592" s="5" t="str">
        <f>IFERROR(__xludf.DUMMYFUNCTION("GOOGLETRANSLATE(I592, ""zh_HANT"",""zh_HANS"")"),"围巾")</f>
        <v>围巾</v>
      </c>
    </row>
    <row r="593">
      <c r="A593" s="5" t="str">
        <f>CONCATENATE("CATEGORY_",UPPER(Pokemon!B575))</f>
        <v>CATEGORY_GOTHITA</v>
      </c>
      <c r="B593" s="3" t="s">
        <v>10493</v>
      </c>
      <c r="C593" s="3" t="s">
        <v>10494</v>
      </c>
      <c r="D593" s="3" t="s">
        <v>10495</v>
      </c>
      <c r="E593" s="3" t="s">
        <v>10496</v>
      </c>
      <c r="F593" s="3" t="s">
        <v>10497</v>
      </c>
      <c r="G593" s="3" t="s">
        <v>10498</v>
      </c>
      <c r="H593" s="3" t="s">
        <v>10499</v>
      </c>
      <c r="I593" s="3" t="s">
        <v>10500</v>
      </c>
      <c r="J593" s="5" t="str">
        <f>IFERROR(__xludf.DUMMYFUNCTION("GOOGLETRANSLATE(I593, ""zh_HANT"",""zh_HANS"")"),"凝视")</f>
        <v>凝视</v>
      </c>
    </row>
    <row r="594">
      <c r="A594" s="5" t="str">
        <f>CONCATENATE("CATEGORY_",UPPER(Pokemon!B576))</f>
        <v>CATEGORY_GOTHORITA</v>
      </c>
      <c r="B594" s="5" t="str">
        <f t="shared" ref="B594:K594" si="208">B339</f>
        <v>Manipulation</v>
      </c>
      <c r="C594" s="5" t="str">
        <f t="shared" si="208"/>
        <v>あやつり</v>
      </c>
      <c r="D594" s="5" t="str">
        <f t="shared" si="208"/>
        <v>Magouilleur</v>
      </c>
      <c r="E594" s="5" t="str">
        <f t="shared" si="208"/>
        <v>Manipulator</v>
      </c>
      <c r="F594" s="5" t="str">
        <f t="shared" si="208"/>
        <v>Manipulador</v>
      </c>
      <c r="G594" s="5" t="str">
        <f t="shared" si="208"/>
        <v>Raggiro</v>
      </c>
      <c r="H594" s="5" t="str">
        <f t="shared" si="208"/>
        <v>조작</v>
      </c>
      <c r="I594" s="5" t="str">
        <f t="shared" si="208"/>
        <v>操縱</v>
      </c>
      <c r="J594" s="5" t="str">
        <f t="shared" si="208"/>
        <v>操纵</v>
      </c>
      <c r="K594" s="5" t="str">
        <f t="shared" si="208"/>
        <v/>
      </c>
    </row>
    <row r="595">
      <c r="A595" s="5" t="str">
        <f>CONCATENATE("CATEGORY_",UPPER(Pokemon!B577))</f>
        <v>CATEGORY_GOTHITELLE</v>
      </c>
      <c r="B595" s="3" t="s">
        <v>10501</v>
      </c>
      <c r="C595" s="3" t="s">
        <v>10502</v>
      </c>
      <c r="D595" s="3" t="s">
        <v>10503</v>
      </c>
      <c r="E595" s="3" t="s">
        <v>10504</v>
      </c>
      <c r="F595" s="3" t="s">
        <v>10505</v>
      </c>
      <c r="G595" s="3" t="s">
        <v>10506</v>
      </c>
      <c r="H595" s="3" t="s">
        <v>10507</v>
      </c>
      <c r="I595" s="3" t="s">
        <v>10508</v>
      </c>
      <c r="J595" s="5" t="str">
        <f>IFERROR(__xludf.DUMMYFUNCTION("GOOGLETRANSLATE(I595, ""zh_HANT"",""zh_HANS"")"),"天体")</f>
        <v>天体</v>
      </c>
    </row>
    <row r="596">
      <c r="A596" s="5" t="str">
        <f>CONCATENATE("CATEGORY_",UPPER(Pokemon!B578))</f>
        <v>CATEGORY_SOLOSIS</v>
      </c>
      <c r="B596" s="3" t="s">
        <v>10509</v>
      </c>
      <c r="C596" s="3" t="s">
        <v>10510</v>
      </c>
      <c r="D596" s="3" t="s">
        <v>10511</v>
      </c>
      <c r="E596" s="3" t="s">
        <v>10512</v>
      </c>
      <c r="F596" s="3" t="s">
        <v>10513</v>
      </c>
      <c r="G596" s="5" t="str">
        <f>CONCATENATE(B596,"ula")</f>
        <v>Cellula</v>
      </c>
      <c r="H596" s="3" t="s">
        <v>10514</v>
      </c>
      <c r="I596" s="3" t="s">
        <v>10515</v>
      </c>
      <c r="J596" s="5" t="str">
        <f>IFERROR(__xludf.DUMMYFUNCTION("GOOGLETRANSLATE(I596, ""zh_HANT"",""zh_HANS"")"),"细胞")</f>
        <v>细胞</v>
      </c>
    </row>
    <row r="597">
      <c r="A597" s="5" t="str">
        <f>CONCATENATE("CATEGORY_",UPPER(Pokemon!B579))</f>
        <v>CATEGORY_DUOSION</v>
      </c>
      <c r="B597" s="3" t="s">
        <v>10516</v>
      </c>
      <c r="C597" s="3" t="s">
        <v>10517</v>
      </c>
      <c r="D597" s="3" t="s">
        <v>10518</v>
      </c>
      <c r="E597" s="3" t="s">
        <v>10519</v>
      </c>
      <c r="F597" s="5" t="str">
        <f>B597</f>
        <v>Mitosis</v>
      </c>
      <c r="G597" s="3" t="s">
        <v>10520</v>
      </c>
      <c r="H597" s="3" t="s">
        <v>10521</v>
      </c>
      <c r="I597" s="3" t="s">
        <v>10522</v>
      </c>
      <c r="J597" s="5" t="str">
        <f t="shared" ref="J597:J598" si="209">I597</f>
        <v>分割</v>
      </c>
    </row>
    <row r="598">
      <c r="A598" s="5" t="str">
        <f>CONCATENATE("CATEGORY_",UPPER(Pokemon!B580))</f>
        <v>CATEGORY_REUNICLUS</v>
      </c>
      <c r="B598" s="3" t="s">
        <v>10523</v>
      </c>
      <c r="C598" s="3" t="s">
        <v>10524</v>
      </c>
      <c r="D598" s="3" t="s">
        <v>10525</v>
      </c>
      <c r="E598" s="3" t="s">
        <v>10526</v>
      </c>
      <c r="F598" s="3" t="s">
        <v>10527</v>
      </c>
      <c r="G598" s="3" t="s">
        <v>10528</v>
      </c>
      <c r="H598" s="3" t="s">
        <v>10529</v>
      </c>
      <c r="I598" s="3" t="s">
        <v>10530</v>
      </c>
      <c r="J598" s="5" t="str">
        <f t="shared" si="209"/>
        <v>增幅</v>
      </c>
    </row>
    <row r="599">
      <c r="A599" s="5" t="str">
        <f>CONCATENATE("CATEGORY_",UPPER(Pokemon!B581))</f>
        <v>CATEGORY_DUCKLETT</v>
      </c>
      <c r="B599" s="5" t="str">
        <f t="shared" ref="B599:K599" si="210">B292</f>
        <v>Water Bird</v>
      </c>
      <c r="C599" s="5" t="str">
        <f t="shared" si="210"/>
        <v>みずどり</v>
      </c>
      <c r="D599" s="5" t="str">
        <f t="shared" si="210"/>
        <v>Oiseaudo</v>
      </c>
      <c r="E599" s="5" t="str">
        <f t="shared" si="210"/>
        <v>Wasservogel</v>
      </c>
      <c r="F599" s="5" t="str">
        <f t="shared" si="210"/>
        <v>Ave Agua</v>
      </c>
      <c r="G599" s="5" t="str">
        <f t="shared" si="210"/>
        <v>Alacquatico</v>
      </c>
      <c r="H599" s="5" t="str">
        <f t="shared" si="210"/>
        <v>물새</v>
      </c>
      <c r="I599" s="5" t="str">
        <f t="shared" si="210"/>
        <v>水鳥</v>
      </c>
      <c r="J599" s="5" t="str">
        <f t="shared" si="210"/>
        <v>水鸟</v>
      </c>
      <c r="K599" s="5" t="str">
        <f t="shared" si="210"/>
        <v/>
      </c>
    </row>
    <row r="600">
      <c r="A600" s="5" t="str">
        <f>CONCATENATE("CATEGORY_",UPPER(Pokemon!B582))</f>
        <v>CATEGORY_SWANNA</v>
      </c>
      <c r="B600" s="3" t="s">
        <v>10531</v>
      </c>
      <c r="C600" s="3" t="s">
        <v>10532</v>
      </c>
      <c r="D600" s="3" t="s">
        <v>10533</v>
      </c>
      <c r="E600" s="3" t="s">
        <v>10534</v>
      </c>
      <c r="F600" s="3" t="s">
        <v>10535</v>
      </c>
      <c r="G600" s="3" t="s">
        <v>10536</v>
      </c>
      <c r="H600" s="3" t="s">
        <v>10537</v>
      </c>
      <c r="I600" s="3" t="s">
        <v>10538</v>
      </c>
      <c r="J600" s="5" t="str">
        <f>IFERROR(__xludf.DUMMYFUNCTION("GOOGLETRANSLATE(I600, ""zh_HANT"",""zh_HANS"")"),"白鸟")</f>
        <v>白鸟</v>
      </c>
    </row>
    <row r="601">
      <c r="A601" s="5" t="str">
        <f>CONCATENATE("CATEGORY_",UPPER(Pokemon!B583))</f>
        <v>CATEGORY_VANILLITE</v>
      </c>
      <c r="B601" s="5" t="str">
        <f t="shared" ref="B601:K601" si="211">B484</f>
        <v>Fresh Snow</v>
      </c>
      <c r="C601" s="5" t="str">
        <f t="shared" si="211"/>
        <v>しんせつ</v>
      </c>
      <c r="D601" s="5" t="str">
        <f t="shared" si="211"/>
        <v>Poudreuse</v>
      </c>
      <c r="E601" s="5" t="str">
        <f t="shared" si="211"/>
        <v>Neuschnee</v>
      </c>
      <c r="F601" s="5" t="str">
        <f t="shared" si="211"/>
        <v>Nieve Fresca</v>
      </c>
      <c r="G601" s="5" t="str">
        <f t="shared" si="211"/>
        <v>Nevefresca</v>
      </c>
      <c r="H601" s="5" t="str">
        <f t="shared" si="211"/>
        <v>신설</v>
      </c>
      <c r="I601" s="5" t="str">
        <f t="shared" si="211"/>
        <v>新雪</v>
      </c>
      <c r="J601" s="5" t="str">
        <f t="shared" si="211"/>
        <v>新雪</v>
      </c>
      <c r="K601" s="5" t="str">
        <f t="shared" si="211"/>
        <v/>
      </c>
    </row>
    <row r="602">
      <c r="A602" s="5" t="str">
        <f>CONCATENATE("CATEGORY_",UPPER(Pokemon!B584))</f>
        <v>CATEGORY_VANILLISH</v>
      </c>
      <c r="B602" s="3" t="s">
        <v>10539</v>
      </c>
      <c r="C602" s="3" t="s">
        <v>10540</v>
      </c>
      <c r="D602" s="3" t="s">
        <v>10541</v>
      </c>
      <c r="E602" s="3" t="s">
        <v>10542</v>
      </c>
      <c r="F602" s="3" t="s">
        <v>10543</v>
      </c>
      <c r="G602" s="3" t="s">
        <v>10544</v>
      </c>
      <c r="H602" s="3" t="s">
        <v>10545</v>
      </c>
      <c r="I602" s="3" t="s">
        <v>10546</v>
      </c>
      <c r="J602" s="5" t="str">
        <f>I602</f>
        <v>冰雪</v>
      </c>
    </row>
    <row r="603">
      <c r="A603" s="5" t="str">
        <f>CONCATENATE("CATEGORY_",UPPER(Pokemon!B585))</f>
        <v>CATEGORY_VANILLUXE</v>
      </c>
      <c r="B603" s="3" t="s">
        <v>10547</v>
      </c>
      <c r="C603" s="3" t="s">
        <v>10548</v>
      </c>
      <c r="D603" s="3" t="s">
        <v>10549</v>
      </c>
      <c r="E603" s="3" t="s">
        <v>10550</v>
      </c>
      <c r="F603" s="3" t="s">
        <v>10551</v>
      </c>
      <c r="G603" s="3" t="s">
        <v>10552</v>
      </c>
      <c r="H603" s="3" t="s">
        <v>10553</v>
      </c>
      <c r="I603" s="5" t="str">
        <f>Moves!I60</f>
        <v>暴風雪</v>
      </c>
      <c r="J603" s="5" t="str">
        <f>Moves!J60</f>
        <v>暴风雪</v>
      </c>
    </row>
    <row r="604">
      <c r="A604" s="5" t="str">
        <f>CONCATENATE("CATEGORY_",UPPER(Pokemon!B586))</f>
        <v>CATEGORY_DEERLING</v>
      </c>
      <c r="B604" s="3" t="s">
        <v>10554</v>
      </c>
      <c r="C604" s="3" t="s">
        <v>10555</v>
      </c>
      <c r="D604" s="3" t="s">
        <v>10556</v>
      </c>
      <c r="E604" s="3" t="s">
        <v>10557</v>
      </c>
      <c r="F604" s="3" t="s">
        <v>10558</v>
      </c>
      <c r="G604" s="3" t="s">
        <v>10559</v>
      </c>
      <c r="H604" s="3" t="s">
        <v>10560</v>
      </c>
      <c r="I604" s="3" t="s">
        <v>10561</v>
      </c>
      <c r="J604" s="5" t="str">
        <f>IFERROR(__xludf.DUMMYFUNCTION("GOOGLETRANSLATE(I604, ""zh_HANT"",""zh_HANS"")"),"季节")</f>
        <v>季节</v>
      </c>
    </row>
    <row r="605">
      <c r="A605" s="5" t="str">
        <f>CONCATENATE("CATEGORY_",UPPER(Pokemon!B587))</f>
        <v>CATEGORY_SAWSBUCK</v>
      </c>
      <c r="B605" s="5" t="str">
        <f t="shared" ref="B605:J605" si="212">B604</f>
        <v>Season</v>
      </c>
      <c r="C605" s="5" t="str">
        <f t="shared" si="212"/>
        <v>きせつ</v>
      </c>
      <c r="D605" s="5" t="str">
        <f t="shared" si="212"/>
        <v>Saison</v>
      </c>
      <c r="E605" s="5" t="str">
        <f t="shared" si="212"/>
        <v>Jahreszeit</v>
      </c>
      <c r="F605" s="5" t="str">
        <f t="shared" si="212"/>
        <v>Estacional</v>
      </c>
      <c r="G605" s="5" t="str">
        <f t="shared" si="212"/>
        <v>Stagione</v>
      </c>
      <c r="H605" s="5" t="str">
        <f t="shared" si="212"/>
        <v>계절</v>
      </c>
      <c r="I605" s="5" t="str">
        <f t="shared" si="212"/>
        <v>季節</v>
      </c>
      <c r="J605" s="5" t="str">
        <f t="shared" si="212"/>
        <v>季节</v>
      </c>
    </row>
    <row r="606">
      <c r="A606" s="5" t="str">
        <f>CONCATENATE("CATEGORY_",UPPER(Pokemon!B588))</f>
        <v>CATEGORY_EMOLGA</v>
      </c>
      <c r="B606" s="3" t="s">
        <v>10562</v>
      </c>
      <c r="C606" s="3" t="s">
        <v>10563</v>
      </c>
      <c r="D606" s="3" t="s">
        <v>10564</v>
      </c>
      <c r="E606" s="3" t="s">
        <v>10565</v>
      </c>
      <c r="F606" s="3" t="s">
        <v>10566</v>
      </c>
      <c r="G606" s="3" t="s">
        <v>10567</v>
      </c>
      <c r="H606" s="3" t="s">
        <v>10568</v>
      </c>
      <c r="I606" s="3" t="s">
        <v>10569</v>
      </c>
      <c r="J606" s="5" t="str">
        <f>IFERROR(__xludf.DUMMYFUNCTION("GOOGLETRANSLATE(I606, ""zh_HANT"",""zh_HANS"")"),"飞鼠")</f>
        <v>飞鼠</v>
      </c>
    </row>
    <row r="607">
      <c r="A607" s="5" t="str">
        <f>CONCATENATE("CATEGORY_",UPPER(Pokemon!B589))</f>
        <v>CATEGORY_KARRABLAST</v>
      </c>
      <c r="B607" s="3" t="s">
        <v>10570</v>
      </c>
      <c r="C607" s="3" t="s">
        <v>10571</v>
      </c>
      <c r="D607" s="3" t="s">
        <v>10572</v>
      </c>
      <c r="E607" s="3" t="s">
        <v>10573</v>
      </c>
      <c r="F607" s="3" t="s">
        <v>10574</v>
      </c>
      <c r="G607" s="3" t="s">
        <v>10575</v>
      </c>
      <c r="H607" s="3" t="s">
        <v>10576</v>
      </c>
      <c r="I607" s="3" t="s">
        <v>10577</v>
      </c>
      <c r="J607" s="5" t="str">
        <f>I607</f>
        <v>啃咬</v>
      </c>
    </row>
    <row r="608">
      <c r="A608" s="5" t="str">
        <f>CONCATENATE("CATEGORY_",UPPER(Pokemon!B590))</f>
        <v>CATEGORY_ESCAVALIER</v>
      </c>
      <c r="B608" s="3" t="s">
        <v>10578</v>
      </c>
      <c r="C608" s="3" t="s">
        <v>10579</v>
      </c>
      <c r="D608" s="3" t="s">
        <v>10580</v>
      </c>
      <c r="E608" s="3" t="s">
        <v>10581</v>
      </c>
      <c r="F608" s="3" t="s">
        <v>10582</v>
      </c>
      <c r="G608" s="3" t="s">
        <v>10583</v>
      </c>
      <c r="H608" s="3" t="s">
        <v>10584</v>
      </c>
      <c r="I608" s="3" t="s">
        <v>10585</v>
      </c>
      <c r="J608" s="5" t="str">
        <f>IFERROR(__xludf.DUMMYFUNCTION("GOOGLETRANSLATE(I608, ""zh_HANT"",""zh_HANS"")"),"骑兵")</f>
        <v>骑兵</v>
      </c>
    </row>
    <row r="609">
      <c r="A609" s="5" t="str">
        <f>CONCATENATE("CATEGORY_",UPPER(Pokemon!B591))</f>
        <v>CATEGORY_FOONGUS</v>
      </c>
      <c r="B609" s="5" t="str">
        <f t="shared" ref="B609:K609" si="213">B47</f>
        <v>Mushroom</v>
      </c>
      <c r="C609" s="5" t="str">
        <f t="shared" si="213"/>
        <v>きのこ</v>
      </c>
      <c r="D609" s="5" t="str">
        <f t="shared" si="213"/>
        <v>Champignon</v>
      </c>
      <c r="E609" s="5" t="str">
        <f t="shared" si="213"/>
        <v>Pilz</v>
      </c>
      <c r="F609" s="5" t="str">
        <f t="shared" si="213"/>
        <v>Hongo</v>
      </c>
      <c r="G609" s="5" t="str">
        <f t="shared" si="213"/>
        <v>Fungo</v>
      </c>
      <c r="H609" s="5" t="str">
        <f t="shared" si="213"/>
        <v>버섯</v>
      </c>
      <c r="I609" s="5" t="str">
        <f t="shared" si="213"/>
        <v>蘑菇</v>
      </c>
      <c r="J609" s="5" t="str">
        <f t="shared" si="213"/>
        <v>蘑菇</v>
      </c>
      <c r="K609" s="5" t="str">
        <f t="shared" si="213"/>
        <v/>
      </c>
    </row>
    <row r="610">
      <c r="A610" s="5" t="str">
        <f>CONCATENATE("CATEGORY_",UPPER(Pokemon!B592))</f>
        <v>CATEGORY_AMOONGUS</v>
      </c>
      <c r="B610" s="5" t="str">
        <f t="shared" ref="B610:K610" si="214">B47</f>
        <v>Mushroom</v>
      </c>
      <c r="C610" s="5" t="str">
        <f t="shared" si="214"/>
        <v>きのこ</v>
      </c>
      <c r="D610" s="5" t="str">
        <f t="shared" si="214"/>
        <v>Champignon</v>
      </c>
      <c r="E610" s="5" t="str">
        <f t="shared" si="214"/>
        <v>Pilz</v>
      </c>
      <c r="F610" s="5" t="str">
        <f t="shared" si="214"/>
        <v>Hongo</v>
      </c>
      <c r="G610" s="5" t="str">
        <f t="shared" si="214"/>
        <v>Fungo</v>
      </c>
      <c r="H610" s="5" t="str">
        <f t="shared" si="214"/>
        <v>버섯</v>
      </c>
      <c r="I610" s="5" t="str">
        <f t="shared" si="214"/>
        <v>蘑菇</v>
      </c>
      <c r="J610" s="5" t="str">
        <f t="shared" si="214"/>
        <v>蘑菇</v>
      </c>
      <c r="K610" s="5" t="str">
        <f t="shared" si="214"/>
        <v/>
      </c>
    </row>
    <row r="611">
      <c r="A611" s="5" t="str">
        <f>CONCATENATE("CATEGORY_",UPPER(Pokemon!B593))</f>
        <v>CATEGORY_FRILLISH</v>
      </c>
      <c r="B611" s="3" t="s">
        <v>10586</v>
      </c>
      <c r="C611" s="3" t="s">
        <v>10587</v>
      </c>
      <c r="D611" s="3" t="s">
        <v>10588</v>
      </c>
      <c r="E611" s="3" t="s">
        <v>10589</v>
      </c>
      <c r="F611" s="3" t="s">
        <v>10590</v>
      </c>
      <c r="G611" s="3" t="s">
        <v>10591</v>
      </c>
      <c r="H611" s="3" t="s">
        <v>10592</v>
      </c>
      <c r="I611" s="3" t="s">
        <v>10593</v>
      </c>
      <c r="J611" s="5" t="str">
        <f>I611</f>
        <v>漂浮</v>
      </c>
    </row>
    <row r="612">
      <c r="A612" s="5" t="str">
        <f>CONCATENATE("CATEGORY_",UPPER(Pokemon!B594))</f>
        <v>CATEGORY_JELLICENT</v>
      </c>
      <c r="B612" s="5" t="str">
        <f t="shared" ref="B612:J612" si="215">B611</f>
        <v>Floating</v>
      </c>
      <c r="C612" s="5" t="str">
        <f t="shared" si="215"/>
        <v>ふゆう</v>
      </c>
      <c r="D612" s="5" t="str">
        <f t="shared" si="215"/>
        <v>Flottaison</v>
      </c>
      <c r="E612" s="5" t="str">
        <f t="shared" si="215"/>
        <v>Gleit</v>
      </c>
      <c r="F612" s="5" t="str">
        <f t="shared" si="215"/>
        <v>Ingrávido</v>
      </c>
      <c r="G612" s="5" t="str">
        <f t="shared" si="215"/>
        <v>Fluttuante</v>
      </c>
      <c r="H612" s="5" t="str">
        <f t="shared" si="215"/>
        <v>부유</v>
      </c>
      <c r="I612" s="5" t="str">
        <f t="shared" si="215"/>
        <v>漂浮</v>
      </c>
      <c r="J612" s="5" t="str">
        <f t="shared" si="215"/>
        <v>漂浮</v>
      </c>
    </row>
    <row r="613">
      <c r="A613" s="5" t="str">
        <f>CONCATENATE("CATEGORY_",UPPER(Pokemon!B595))</f>
        <v>CATEGORY_ALOMOMOLA</v>
      </c>
      <c r="B613" s="3" t="s">
        <v>10594</v>
      </c>
      <c r="C613" s="3" t="s">
        <v>10595</v>
      </c>
      <c r="D613" s="3" t="s">
        <v>10596</v>
      </c>
      <c r="E613" s="3" t="s">
        <v>10597</v>
      </c>
      <c r="F613" s="3" t="s">
        <v>10598</v>
      </c>
      <c r="G613" s="3" t="s">
        <v>10599</v>
      </c>
      <c r="H613" s="3" t="s">
        <v>10600</v>
      </c>
      <c r="I613" s="3" t="s">
        <v>10601</v>
      </c>
      <c r="J613" s="5" t="str">
        <f>IFERROR(__xludf.DUMMYFUNCTION("GOOGLETRANSLATE(I613, ""zh_HANT"",""zh_HANS"")"),"看护")</f>
        <v>看护</v>
      </c>
    </row>
    <row r="614">
      <c r="A614" s="5" t="str">
        <f>CONCATENATE("CATEGORY_",UPPER(Pokemon!B596))</f>
        <v>CATEGORY_JOLTIK</v>
      </c>
      <c r="B614" s="3" t="s">
        <v>10602</v>
      </c>
      <c r="C614" s="3" t="s">
        <v>10603</v>
      </c>
      <c r="D614" s="3" t="s">
        <v>10604</v>
      </c>
      <c r="E614" s="3" t="s">
        <v>10605</v>
      </c>
      <c r="F614" s="3" t="s">
        <v>10606</v>
      </c>
      <c r="G614" s="3" t="s">
        <v>10607</v>
      </c>
      <c r="H614" s="3" t="s">
        <v>10608</v>
      </c>
      <c r="I614" s="3" t="s">
        <v>10609</v>
      </c>
      <c r="J614" s="5" t="str">
        <f>I614</f>
        <v>吸附</v>
      </c>
    </row>
    <row r="615">
      <c r="A615" s="5" t="str">
        <f>CONCATENATE("CATEGORY_",UPPER(Pokemon!B597))</f>
        <v>CATEGORY_GALVANTULA</v>
      </c>
      <c r="B615" s="3" t="s">
        <v>10610</v>
      </c>
      <c r="C615" s="3" t="s">
        <v>10611</v>
      </c>
      <c r="D615" s="3" t="s">
        <v>10612</v>
      </c>
      <c r="E615" s="3" t="s">
        <v>10613</v>
      </c>
      <c r="F615" s="3" t="s">
        <v>10614</v>
      </c>
      <c r="G615" s="3" t="s">
        <v>10615</v>
      </c>
      <c r="H615" s="3" t="s">
        <v>10616</v>
      </c>
      <c r="I615" s="3" t="s">
        <v>3311</v>
      </c>
      <c r="J615" s="5" t="str">
        <f>IFERROR(__xludf.DUMMYFUNCTION("GOOGLETRANSLATE(I615, ""zh_HANT"",""zh_HANS"")"),"电蜘蛛")</f>
        <v>电蜘蛛</v>
      </c>
    </row>
    <row r="616">
      <c r="A616" s="5" t="str">
        <f>CONCATENATE("CATEGORY_",UPPER(Pokemon!B598))</f>
        <v>CATEGORY_FERROSEED</v>
      </c>
      <c r="B616" s="3" t="s">
        <v>10617</v>
      </c>
      <c r="C616" s="3" t="s">
        <v>10618</v>
      </c>
      <c r="D616" s="3" t="s">
        <v>10619</v>
      </c>
      <c r="E616" s="3" t="s">
        <v>10620</v>
      </c>
      <c r="F616" s="3" t="s">
        <v>10621</v>
      </c>
      <c r="G616" s="3" t="s">
        <v>10622</v>
      </c>
      <c r="H616" s="3" t="s">
        <v>10623</v>
      </c>
      <c r="I616" s="3" t="s">
        <v>10624</v>
      </c>
      <c r="J616" s="5" t="str">
        <f t="shared" ref="J616:J617" si="216">I616</f>
        <v>刺果</v>
      </c>
    </row>
    <row r="617">
      <c r="A617" s="5" t="str">
        <f>CONCATENATE("CATEGORY_",UPPER(Pokemon!B599))</f>
        <v>CATEGORY_FERROTHORN</v>
      </c>
      <c r="B617" s="3" t="s">
        <v>10625</v>
      </c>
      <c r="C617" s="3" t="s">
        <v>10626</v>
      </c>
      <c r="D617" s="3" t="s">
        <v>10627</v>
      </c>
      <c r="E617" s="3" t="s">
        <v>10628</v>
      </c>
      <c r="F617" s="3" t="s">
        <v>10629</v>
      </c>
      <c r="G617" s="3" t="s">
        <v>10630</v>
      </c>
      <c r="H617" s="3" t="s">
        <v>10631</v>
      </c>
      <c r="I617" s="3" t="s">
        <v>10632</v>
      </c>
      <c r="J617" s="5" t="str">
        <f t="shared" si="216"/>
        <v>刺球</v>
      </c>
    </row>
    <row r="618">
      <c r="A618" s="5" t="str">
        <f>CONCATENATE("CATEGORY_",UPPER(Pokemon!B600))</f>
        <v>CATEGORY_KLINK</v>
      </c>
      <c r="B618" s="3" t="s">
        <v>10633</v>
      </c>
      <c r="C618" s="3" t="s">
        <v>10634</v>
      </c>
      <c r="D618" s="3" t="s">
        <v>10635</v>
      </c>
      <c r="E618" s="3" t="s">
        <v>10636</v>
      </c>
      <c r="F618" s="3" t="s">
        <v>10637</v>
      </c>
      <c r="G618" s="3" t="s">
        <v>10638</v>
      </c>
      <c r="H618" s="7" t="s">
        <v>10639</v>
      </c>
      <c r="I618" s="3" t="s">
        <v>10640</v>
      </c>
      <c r="J618" s="5" t="str">
        <f>IFERROR(__xludf.DUMMYFUNCTION("GOOGLETRANSLATE(I618, ""zh_HANT"",""zh_HANS"")"),"齿轮")</f>
        <v>齿轮</v>
      </c>
    </row>
    <row r="619">
      <c r="A619" s="5" t="str">
        <f>CONCATENATE("CATEGORY_",UPPER(Pokemon!B601))</f>
        <v>CATEGORY_KLANG</v>
      </c>
      <c r="B619" s="5" t="str">
        <f t="shared" ref="B619:J619" si="217">B618</f>
        <v>Gear</v>
      </c>
      <c r="C619" s="5" t="str">
        <f t="shared" si="217"/>
        <v>はぐるま</v>
      </c>
      <c r="D619" s="5" t="str">
        <f t="shared" si="217"/>
        <v>Engrenage</v>
      </c>
      <c r="E619" s="5" t="str">
        <f t="shared" si="217"/>
        <v>Getriebe</v>
      </c>
      <c r="F619" s="5" t="str">
        <f t="shared" si="217"/>
        <v>Engranaje</v>
      </c>
      <c r="G619" s="5" t="str">
        <f t="shared" si="217"/>
        <v>Ingranaggio</v>
      </c>
      <c r="H619" s="5" t="str">
        <f t="shared" si="217"/>
        <v>톱니바퀴</v>
      </c>
      <c r="I619" s="5" t="str">
        <f t="shared" si="217"/>
        <v>齒輪</v>
      </c>
      <c r="J619" s="5" t="str">
        <f t="shared" si="217"/>
        <v>齿轮</v>
      </c>
    </row>
    <row r="620">
      <c r="A620" s="5" t="str">
        <f>CONCATENATE("CATEGORY_",UPPER(Pokemon!B602))</f>
        <v>CATEGORY_KLINKLANG</v>
      </c>
      <c r="B620" s="5" t="str">
        <f t="shared" ref="B620:J620" si="218">B618</f>
        <v>Gear</v>
      </c>
      <c r="C620" s="5" t="str">
        <f t="shared" si="218"/>
        <v>はぐるま</v>
      </c>
      <c r="D620" s="5" t="str">
        <f t="shared" si="218"/>
        <v>Engrenage</v>
      </c>
      <c r="E620" s="5" t="str">
        <f t="shared" si="218"/>
        <v>Getriebe</v>
      </c>
      <c r="F620" s="5" t="str">
        <f t="shared" si="218"/>
        <v>Engranaje</v>
      </c>
      <c r="G620" s="5" t="str">
        <f t="shared" si="218"/>
        <v>Ingranaggio</v>
      </c>
      <c r="H620" s="5" t="str">
        <f t="shared" si="218"/>
        <v>톱니바퀴</v>
      </c>
      <c r="I620" s="5" t="str">
        <f t="shared" si="218"/>
        <v>齒輪</v>
      </c>
      <c r="J620" s="5" t="str">
        <f t="shared" si="218"/>
        <v>齿轮</v>
      </c>
    </row>
    <row r="621">
      <c r="A621" s="5" t="str">
        <f>CONCATENATE("CATEGORY_",UPPER(Pokemon!B603))</f>
        <v>CATEGORY_TYNAMO</v>
      </c>
      <c r="B621" s="3" t="s">
        <v>10641</v>
      </c>
      <c r="C621" s="3" t="s">
        <v>10642</v>
      </c>
      <c r="D621" s="3" t="s">
        <v>10643</v>
      </c>
      <c r="E621" s="3" t="s">
        <v>10644</v>
      </c>
      <c r="F621" s="3" t="s">
        <v>10645</v>
      </c>
      <c r="G621" s="3" t="s">
        <v>10646</v>
      </c>
      <c r="H621" s="3" t="s">
        <v>10647</v>
      </c>
      <c r="I621" s="3" t="s">
        <v>10648</v>
      </c>
      <c r="J621" s="5" t="str">
        <f>IFERROR(__xludf.DUMMYFUNCTION("GOOGLETRANSLATE(I621, ""zh_HANT"",""zh_HANS"")"),"电鱼")</f>
        <v>电鱼</v>
      </c>
    </row>
    <row r="622">
      <c r="A622" s="5" t="str">
        <f>CONCATENATE("CATEGORY_",UPPER(Pokemon!B604))</f>
        <v>CATEGORY_EELEKTRIK</v>
      </c>
      <c r="B622" s="5" t="str">
        <f t="shared" ref="B622:J622" si="219">B621</f>
        <v>EleFish</v>
      </c>
      <c r="C622" s="5" t="str">
        <f t="shared" si="219"/>
        <v>でんきうお</v>
      </c>
      <c r="D622" s="5" t="str">
        <f t="shared" si="219"/>
        <v>Électrophore</v>
      </c>
      <c r="E622" s="5" t="str">
        <f t="shared" si="219"/>
        <v>Stromfisch</v>
      </c>
      <c r="F622" s="5" t="str">
        <f t="shared" si="219"/>
        <v>Electropez</v>
      </c>
      <c r="G622" s="5" t="str">
        <f t="shared" si="219"/>
        <v>Elettropesce</v>
      </c>
      <c r="H622" s="5" t="str">
        <f t="shared" si="219"/>
        <v>전기물고기</v>
      </c>
      <c r="I622" s="5" t="str">
        <f t="shared" si="219"/>
        <v>電魚</v>
      </c>
      <c r="J622" s="5" t="str">
        <f t="shared" si="219"/>
        <v>电鱼</v>
      </c>
    </row>
    <row r="623">
      <c r="A623" s="5" t="str">
        <f>CONCATENATE("CATEGORY_",UPPER(Pokemon!B605))</f>
        <v>CATEGORY_EELEKTROSS</v>
      </c>
      <c r="B623" s="5" t="str">
        <f t="shared" ref="B623:J623" si="220">B621</f>
        <v>EleFish</v>
      </c>
      <c r="C623" s="5" t="str">
        <f t="shared" si="220"/>
        <v>でんきうお</v>
      </c>
      <c r="D623" s="5" t="str">
        <f t="shared" si="220"/>
        <v>Électrophore</v>
      </c>
      <c r="E623" s="5" t="str">
        <f t="shared" si="220"/>
        <v>Stromfisch</v>
      </c>
      <c r="F623" s="5" t="str">
        <f t="shared" si="220"/>
        <v>Electropez</v>
      </c>
      <c r="G623" s="5" t="str">
        <f t="shared" si="220"/>
        <v>Elettropesce</v>
      </c>
      <c r="H623" s="5" t="str">
        <f t="shared" si="220"/>
        <v>전기물고기</v>
      </c>
      <c r="I623" s="5" t="str">
        <f t="shared" si="220"/>
        <v>電魚</v>
      </c>
      <c r="J623" s="5" t="str">
        <f t="shared" si="220"/>
        <v>电鱼</v>
      </c>
    </row>
    <row r="624">
      <c r="A624" s="5" t="str">
        <f>CONCATENATE("CATEGORY_",UPPER(Pokemon!B606))</f>
        <v>CATEGORY_ELGYEM</v>
      </c>
      <c r="B624" s="3" t="s">
        <v>10649</v>
      </c>
      <c r="C624" s="3" t="s">
        <v>10650</v>
      </c>
      <c r="D624" s="3" t="s">
        <v>10651</v>
      </c>
      <c r="E624" s="3" t="s">
        <v>10652</v>
      </c>
      <c r="F624" s="3" t="s">
        <v>10653</v>
      </c>
      <c r="G624" s="3" t="s">
        <v>10654</v>
      </c>
      <c r="H624" s="3" t="s">
        <v>10655</v>
      </c>
      <c r="I624" s="3" t="s">
        <v>10656</v>
      </c>
      <c r="J624" s="5" t="str">
        <f>IFERROR(__xludf.DUMMYFUNCTION("GOOGLETRANSLATE(I624, ""zh_HANT"",""zh_HANS"")"),"脑")</f>
        <v>脑</v>
      </c>
    </row>
    <row r="625">
      <c r="A625" s="5" t="str">
        <f>CONCATENATE("CATEGORY_",UPPER(Pokemon!B607))</f>
        <v>CATEGORY_BEHEEYEM</v>
      </c>
      <c r="B625" s="5" t="str">
        <f t="shared" ref="B625:J625" si="221">B624</f>
        <v>Cerebral</v>
      </c>
      <c r="C625" s="5" t="str">
        <f t="shared" si="221"/>
        <v>ブレイン</v>
      </c>
      <c r="D625" s="5" t="str">
        <f t="shared" si="221"/>
        <v>Cerveau</v>
      </c>
      <c r="E625" s="5" t="str">
        <f t="shared" si="221"/>
        <v>Grips</v>
      </c>
      <c r="F625" s="5" t="str">
        <f t="shared" si="221"/>
        <v>Cerebro</v>
      </c>
      <c r="G625" s="5" t="str">
        <f t="shared" si="221"/>
        <v>Cervello</v>
      </c>
      <c r="H625" s="5" t="str">
        <f t="shared" si="221"/>
        <v>브레인</v>
      </c>
      <c r="I625" s="5" t="str">
        <f t="shared" si="221"/>
        <v>腦</v>
      </c>
      <c r="J625" s="5" t="str">
        <f t="shared" si="221"/>
        <v>脑</v>
      </c>
    </row>
    <row r="626">
      <c r="A626" s="5" t="str">
        <f>CONCATENATE("CATEGORY_",UPPER(Pokemon!B608))</f>
        <v>CATEGORY_LITWICK</v>
      </c>
      <c r="B626" s="3" t="s">
        <v>10657</v>
      </c>
      <c r="C626" s="3" t="s">
        <v>10658</v>
      </c>
      <c r="D626" s="3" t="s">
        <v>10659</v>
      </c>
      <c r="E626" s="3" t="s">
        <v>10660</v>
      </c>
      <c r="F626" s="3" t="s">
        <v>10661</v>
      </c>
      <c r="G626" s="3" t="s">
        <v>10662</v>
      </c>
      <c r="H626" s="3" t="s">
        <v>10663</v>
      </c>
      <c r="I626" s="3" t="s">
        <v>10664</v>
      </c>
      <c r="J626" s="5" t="str">
        <f>IFERROR(__xludf.DUMMYFUNCTION("GOOGLETRANSLATE(I626, ""zh_HANT"",""zh_HANS"")"),"蜡烛")</f>
        <v>蜡烛</v>
      </c>
    </row>
    <row r="627">
      <c r="A627" s="5" t="str">
        <f>CONCATENATE("CATEGORY_",UPPER(Pokemon!B609))</f>
        <v>CATEGORY_LAMPENT</v>
      </c>
      <c r="B627" s="3" t="s">
        <v>10665</v>
      </c>
      <c r="C627" s="3" t="s">
        <v>10666</v>
      </c>
      <c r="D627" s="3" t="s">
        <v>10667</v>
      </c>
      <c r="E627" s="5" t="str">
        <f>D627</f>
        <v>Lampe</v>
      </c>
      <c r="F627" s="3" t="s">
        <v>10668</v>
      </c>
      <c r="G627" s="3" t="s">
        <v>10669</v>
      </c>
      <c r="H627" s="3" t="s">
        <v>10670</v>
      </c>
      <c r="I627" s="3" t="s">
        <v>10671</v>
      </c>
      <c r="J627" s="5" t="str">
        <f>IFERROR(__xludf.DUMMYFUNCTION("GOOGLETRANSLATE(I627, ""zh_HANT"",""zh_HANS"")"),"油灯")</f>
        <v>油灯</v>
      </c>
    </row>
    <row r="628">
      <c r="A628" s="5" t="str">
        <f>CONCATENATE("CATEGORY_",UPPER(Pokemon!B610))</f>
        <v>CATEGORY_CHANDELURE</v>
      </c>
      <c r="B628" s="3" t="s">
        <v>10672</v>
      </c>
      <c r="C628" s="3" t="s">
        <v>10673</v>
      </c>
      <c r="D628" s="3" t="s">
        <v>10674</v>
      </c>
      <c r="E628" s="3" t="s">
        <v>10675</v>
      </c>
      <c r="F628" s="3" t="s">
        <v>10676</v>
      </c>
      <c r="G628" s="3" t="s">
        <v>10677</v>
      </c>
      <c r="H628" s="3" t="s">
        <v>10678</v>
      </c>
      <c r="I628" s="3" t="s">
        <v>10679</v>
      </c>
      <c r="J628" s="5" t="str">
        <f>IFERROR(__xludf.DUMMYFUNCTION("GOOGLETRANSLATE(I628, ""zh_HANT"",""zh_HANS"")"),"引诱")</f>
        <v>引诱</v>
      </c>
    </row>
    <row r="629">
      <c r="A629" s="5" t="str">
        <f>CONCATENATE("CATEGORY_",UPPER(Pokemon!B611))</f>
        <v>CATEGORY_AXEW</v>
      </c>
      <c r="B629" s="3" t="s">
        <v>10680</v>
      </c>
      <c r="C629" s="3" t="s">
        <v>10681</v>
      </c>
      <c r="D629" s="3" t="s">
        <v>10682</v>
      </c>
      <c r="E629" s="3" t="s">
        <v>10683</v>
      </c>
      <c r="F629" s="3" t="s">
        <v>10684</v>
      </c>
      <c r="G629" s="3" t="s">
        <v>10685</v>
      </c>
      <c r="H629" s="3" t="s">
        <v>10686</v>
      </c>
      <c r="I629" s="3" t="s">
        <v>10687</v>
      </c>
      <c r="J629" s="5" t="str">
        <f>I629</f>
        <v>牙</v>
      </c>
    </row>
    <row r="630">
      <c r="A630" s="5" t="str">
        <f>CONCATENATE("CATEGORY_",UPPER(Pokemon!B612))</f>
        <v>CATEGORY_FRAXURE</v>
      </c>
      <c r="B630" s="3" t="s">
        <v>10688</v>
      </c>
      <c r="C630" s="3" t="s">
        <v>10689</v>
      </c>
      <c r="D630" s="3" t="s">
        <v>10690</v>
      </c>
      <c r="E630" s="3" t="s">
        <v>10691</v>
      </c>
      <c r="F630" s="3" t="s">
        <v>10692</v>
      </c>
      <c r="G630" s="3" t="s">
        <v>10693</v>
      </c>
      <c r="H630" s="3" t="s">
        <v>10694</v>
      </c>
      <c r="I630" s="3" t="s">
        <v>10695</v>
      </c>
      <c r="J630" s="5" t="str">
        <f>IFERROR(__xludf.DUMMYFUNCTION("GOOGLETRANSLATE(I630, ""zh_HANT"",""zh_HANS"")"),"颚斧")</f>
        <v>颚斧</v>
      </c>
    </row>
    <row r="631">
      <c r="A631" s="5" t="str">
        <f>CONCATENATE("CATEGORY_",UPPER(Pokemon!B613))</f>
        <v>CATEGORY_HAXORUS</v>
      </c>
      <c r="B631" s="5" t="str">
        <f t="shared" ref="B631:J631" si="222">B630</f>
        <v>Axe Jaw</v>
      </c>
      <c r="C631" s="5" t="str">
        <f t="shared" si="222"/>
        <v>あごオノ</v>
      </c>
      <c r="D631" s="5" t="str">
        <f t="shared" si="222"/>
        <v>Hachomenton</v>
      </c>
      <c r="E631" s="5" t="str">
        <f t="shared" si="222"/>
        <v>Beilkiefer</v>
      </c>
      <c r="F631" s="5" t="str">
        <f t="shared" si="222"/>
        <v>Boca Hacha</v>
      </c>
      <c r="G631" s="5" t="str">
        <f t="shared" si="222"/>
        <v>Mascellascia</v>
      </c>
      <c r="H631" s="5" t="str">
        <f t="shared" si="222"/>
        <v>도끼턱</v>
      </c>
      <c r="I631" s="5" t="str">
        <f t="shared" si="222"/>
        <v>顎斧</v>
      </c>
      <c r="J631" s="5" t="str">
        <f t="shared" si="222"/>
        <v>颚斧</v>
      </c>
    </row>
    <row r="632">
      <c r="A632" s="5" t="str">
        <f>CONCATENATE("CATEGORY_",UPPER(Pokemon!B614))</f>
        <v>CATEGORY_CUBCHOO</v>
      </c>
      <c r="B632" s="3" t="s">
        <v>10696</v>
      </c>
      <c r="C632" s="3" t="s">
        <v>10697</v>
      </c>
      <c r="D632" s="3" t="s">
        <v>10698</v>
      </c>
      <c r="E632" s="3" t="s">
        <v>10699</v>
      </c>
      <c r="F632" s="3" t="s">
        <v>10700</v>
      </c>
      <c r="G632" s="3" t="s">
        <v>10701</v>
      </c>
      <c r="H632" s="3" t="s">
        <v>10702</v>
      </c>
      <c r="I632" s="3" t="s">
        <v>10703</v>
      </c>
      <c r="J632" s="5" t="str">
        <f>IFERROR(__xludf.DUMMYFUNCTION("GOOGLETRANSLATE(I632, ""zh_HANT"",""zh_HANS"")"),"结冰")</f>
        <v>结冰</v>
      </c>
    </row>
    <row r="633">
      <c r="A633" s="5" t="str">
        <f>CONCATENATE("CATEGORY_",UPPER(Pokemon!B615))</f>
        <v>CATEGORY_BEARTIC</v>
      </c>
      <c r="B633" s="3" t="s">
        <v>10704</v>
      </c>
      <c r="C633" s="3" t="s">
        <v>10705</v>
      </c>
      <c r="D633" s="3" t="s">
        <v>10706</v>
      </c>
      <c r="E633" s="3" t="s">
        <v>10707</v>
      </c>
      <c r="F633" s="3" t="s">
        <v>10708</v>
      </c>
      <c r="G633" s="3" t="s">
        <v>10709</v>
      </c>
      <c r="H633" s="3" t="s">
        <v>10710</v>
      </c>
      <c r="I633" s="3" t="s">
        <v>10711</v>
      </c>
      <c r="J633" s="5" t="str">
        <f>IFERROR(__xludf.DUMMYFUNCTION("GOOGLETRANSLATE(I633, ""zh_HANT"",""zh_HANS"")"),"冻结")</f>
        <v>冻结</v>
      </c>
    </row>
    <row r="634">
      <c r="A634" s="5" t="str">
        <f>CONCATENATE("CATEGORY_",UPPER(Pokemon!B616))</f>
        <v>CATEGORY_CRYOGONAL</v>
      </c>
      <c r="B634" s="3" t="s">
        <v>10712</v>
      </c>
      <c r="C634" s="3" t="s">
        <v>10713</v>
      </c>
      <c r="D634" s="3" t="s">
        <v>10714</v>
      </c>
      <c r="E634" s="3" t="s">
        <v>10715</v>
      </c>
      <c r="F634" s="5" t="str">
        <f>D634</f>
        <v>Cristal</v>
      </c>
      <c r="G634" s="3" t="s">
        <v>10716</v>
      </c>
      <c r="H634" s="3" t="s">
        <v>10717</v>
      </c>
      <c r="I634" s="3" t="s">
        <v>10718</v>
      </c>
      <c r="J634" s="5" t="str">
        <f>IFERROR(__xludf.DUMMYFUNCTION("GOOGLETRANSLATE(I634, ""zh_HANT"",""zh_HANS"")"),"结晶")</f>
        <v>结晶</v>
      </c>
    </row>
    <row r="635">
      <c r="A635" s="5" t="str">
        <f>CONCATENATE("CATEGORY_",UPPER(Pokemon!B617))</f>
        <v>CATEGORY_SHELMET</v>
      </c>
      <c r="B635" s="3" t="s">
        <v>10719</v>
      </c>
      <c r="C635" s="3" t="s">
        <v>10720</v>
      </c>
      <c r="D635" s="3" t="s">
        <v>10721</v>
      </c>
      <c r="E635" s="3" t="s">
        <v>10722</v>
      </c>
      <c r="F635" s="3" t="s">
        <v>10723</v>
      </c>
      <c r="G635" s="3" t="s">
        <v>10724</v>
      </c>
      <c r="H635" s="3" t="s">
        <v>10725</v>
      </c>
      <c r="I635" s="3" t="s">
        <v>10726</v>
      </c>
      <c r="J635" s="5" t="str">
        <f>IFERROR(__xludf.DUMMYFUNCTION("GOOGLETRANSLATE(I635, ""zh_HANT"",""zh_HANS"")"),"蜗牛")</f>
        <v>蜗牛</v>
      </c>
    </row>
    <row r="636">
      <c r="A636" s="5" t="str">
        <f>CONCATENATE("CATEGORY_",UPPER(Pokemon!B618))</f>
        <v>CATEGORY_ACCELGOR</v>
      </c>
      <c r="B636" s="3" t="s">
        <v>10727</v>
      </c>
      <c r="C636" s="3" t="s">
        <v>10728</v>
      </c>
      <c r="D636" s="3" t="s">
        <v>10729</v>
      </c>
      <c r="E636" s="3" t="s">
        <v>10730</v>
      </c>
      <c r="F636" s="3" t="s">
        <v>10731</v>
      </c>
      <c r="G636" s="3" t="s">
        <v>10732</v>
      </c>
      <c r="H636" s="3" t="s">
        <v>10733</v>
      </c>
      <c r="I636" s="3" t="s">
        <v>10734</v>
      </c>
      <c r="J636" s="5" t="str">
        <f>IFERROR(__xludf.DUMMYFUNCTION("GOOGLETRANSLATE(I636, ""zh_HANT"",""zh_HANS"")"),"脱壳")</f>
        <v>脱壳</v>
      </c>
    </row>
    <row r="637">
      <c r="A637" s="5" t="str">
        <f>CONCATENATE("CATEGORY_",UPPER(Pokemon!B619))</f>
        <v>CATEGORY_STUNFISK</v>
      </c>
      <c r="B637" s="3" t="s">
        <v>10735</v>
      </c>
      <c r="C637" s="3" t="s">
        <v>10736</v>
      </c>
      <c r="D637" s="3" t="s">
        <v>10737</v>
      </c>
      <c r="E637" s="3" t="s">
        <v>10738</v>
      </c>
      <c r="F637" s="3" t="s">
        <v>10739</v>
      </c>
      <c r="G637" s="3" t="s">
        <v>9011</v>
      </c>
      <c r="H637" s="3" t="s">
        <v>10740</v>
      </c>
      <c r="I637" s="3" t="s">
        <v>10741</v>
      </c>
      <c r="J637" s="5" t="str">
        <f>I637</f>
        <v>陷阱</v>
      </c>
    </row>
    <row r="638">
      <c r="A638" s="5" t="str">
        <f>CONCATENATE("CATEGORY_",UPPER(Pokemon!B620))</f>
        <v>CATEGORY_MIENFOO</v>
      </c>
      <c r="B638" s="3" t="s">
        <v>10742</v>
      </c>
      <c r="C638" s="3" t="s">
        <v>10743</v>
      </c>
      <c r="D638" s="3" t="s">
        <v>10744</v>
      </c>
      <c r="E638" s="3" t="s">
        <v>10745</v>
      </c>
      <c r="F638" s="3" t="s">
        <v>10746</v>
      </c>
      <c r="G638" s="3" t="s">
        <v>10747</v>
      </c>
      <c r="H638" s="3" t="s">
        <v>10748</v>
      </c>
      <c r="I638" s="3" t="s">
        <v>10749</v>
      </c>
      <c r="J638" s="5" t="str">
        <f>IFERROR(__xludf.DUMMYFUNCTION("GOOGLETRANSLATE(I638, ""zh_HANT"",""zh_HANS"")"),"武术")</f>
        <v>武术</v>
      </c>
    </row>
    <row r="639">
      <c r="A639" s="5" t="str">
        <f>CONCATENATE("CATEGORY_",UPPER(Pokemon!B621))</f>
        <v>CATEGORY_MIENSHAO</v>
      </c>
      <c r="B639" s="5" t="str">
        <f t="shared" ref="B639:J639" si="223">B638</f>
        <v>Martial Arts</v>
      </c>
      <c r="C639" s="5" t="str">
        <f t="shared" si="223"/>
        <v>ぶじゅつ</v>
      </c>
      <c r="D639" s="5" t="str">
        <f t="shared" si="223"/>
        <v>Art Martial</v>
      </c>
      <c r="E639" s="5" t="str">
        <f t="shared" si="223"/>
        <v>Kampfkünste</v>
      </c>
      <c r="F639" s="5" t="str">
        <f t="shared" si="223"/>
        <v>Arte Marcial</v>
      </c>
      <c r="G639" s="5" t="str">
        <f t="shared" si="223"/>
        <v>Marziale</v>
      </c>
      <c r="H639" s="5" t="str">
        <f t="shared" si="223"/>
        <v>무술</v>
      </c>
      <c r="I639" s="5" t="str">
        <f t="shared" si="223"/>
        <v>武術</v>
      </c>
      <c r="J639" s="5" t="str">
        <f t="shared" si="223"/>
        <v>武术</v>
      </c>
    </row>
    <row r="640">
      <c r="A640" s="5" t="str">
        <f>CONCATENATE("CATEGORY_",UPPER(Pokemon!B622))</f>
        <v>CATEGORY_DRUDDIGON</v>
      </c>
      <c r="B640" s="3" t="str">
        <f t="shared" ref="B640:J640" si="224">B457</f>
        <v>Cave</v>
      </c>
      <c r="C640" s="3" t="str">
        <f t="shared" si="224"/>
        <v>ほらあな</v>
      </c>
      <c r="D640" s="3" t="str">
        <f t="shared" si="224"/>
        <v>Caverne</v>
      </c>
      <c r="E640" s="3" t="str">
        <f t="shared" si="224"/>
        <v>Höhle</v>
      </c>
      <c r="F640" s="3" t="str">
        <f t="shared" si="224"/>
        <v>Cueva</v>
      </c>
      <c r="G640" s="3" t="str">
        <f t="shared" si="224"/>
        <v>Grotta</v>
      </c>
      <c r="H640" s="3" t="str">
        <f t="shared" si="224"/>
        <v>동굴</v>
      </c>
      <c r="I640" s="3" t="str">
        <f t="shared" si="224"/>
        <v>洞穴</v>
      </c>
      <c r="J640" s="3" t="str">
        <f t="shared" si="224"/>
        <v>洞穴</v>
      </c>
    </row>
    <row r="641">
      <c r="A641" s="5" t="str">
        <f>CONCATENATE("CATEGORY_",UPPER(Pokemon!B623))</f>
        <v>CATEGORY_GOLETTE</v>
      </c>
      <c r="B641" s="3" t="s">
        <v>10750</v>
      </c>
      <c r="C641" s="3" t="s">
        <v>10751</v>
      </c>
      <c r="D641" s="3" t="s">
        <v>10752</v>
      </c>
      <c r="E641" s="3" t="s">
        <v>10753</v>
      </c>
      <c r="F641" s="3" t="s">
        <v>10754</v>
      </c>
      <c r="G641" s="3" t="s">
        <v>10755</v>
      </c>
      <c r="H641" s="3" t="s">
        <v>10756</v>
      </c>
      <c r="I641" s="3" t="s">
        <v>10757</v>
      </c>
      <c r="J641" s="5" t="str">
        <f>I641</f>
        <v>魔像</v>
      </c>
    </row>
    <row r="642">
      <c r="A642" s="5" t="str">
        <f>CONCATENATE("CATEGORY_",UPPER(Pokemon!B624))</f>
        <v>CATEGORY_GOLURK</v>
      </c>
      <c r="B642" s="5" t="str">
        <f t="shared" ref="B642:J642" si="225">B641</f>
        <v>Automation</v>
      </c>
      <c r="C642" s="5" t="str">
        <f t="shared" si="225"/>
        <v>ゴーレム</v>
      </c>
      <c r="D642" s="5" t="str">
        <f t="shared" si="225"/>
        <v>Golem Ancien</v>
      </c>
      <c r="E642" s="5" t="str">
        <f t="shared" si="225"/>
        <v>Urgolem</v>
      </c>
      <c r="F642" s="5" t="str">
        <f t="shared" si="225"/>
        <v>Autómata</v>
      </c>
      <c r="G642" s="5" t="str">
        <f t="shared" si="225"/>
        <v>Statuanimata</v>
      </c>
      <c r="H642" s="5" t="str">
        <f t="shared" si="225"/>
        <v>골렘</v>
      </c>
      <c r="I642" s="5" t="str">
        <f t="shared" si="225"/>
        <v>魔像</v>
      </c>
      <c r="J642" s="5" t="str">
        <f t="shared" si="225"/>
        <v>魔像</v>
      </c>
    </row>
    <row r="643">
      <c r="A643" s="5" t="str">
        <f>CONCATENATE("CATEGORY_",UPPER(Pokemon!B625))</f>
        <v>CATEGORY_PAWNIARD</v>
      </c>
      <c r="B643" s="3" t="s">
        <v>10758</v>
      </c>
      <c r="C643" s="3" t="s">
        <v>10759</v>
      </c>
      <c r="D643" s="3" t="s">
        <v>10760</v>
      </c>
      <c r="E643" s="3" t="s">
        <v>10761</v>
      </c>
      <c r="F643" s="3" t="s">
        <v>10762</v>
      </c>
      <c r="G643" s="3" t="s">
        <v>10763</v>
      </c>
      <c r="H643" s="3" t="s">
        <v>10764</v>
      </c>
      <c r="I643" s="3" t="s">
        <v>10765</v>
      </c>
      <c r="J643" s="5" t="str">
        <f t="shared" ref="J643:J644" si="226">I643</f>
        <v>利器</v>
      </c>
    </row>
    <row r="644">
      <c r="A644" s="5" t="str">
        <f>CONCATENATE("CATEGORY_",UPPER(Pokemon!B626))</f>
        <v>CATEGORY_BISHARP</v>
      </c>
      <c r="B644" s="3" t="s">
        <v>10766</v>
      </c>
      <c r="C644" s="3" t="s">
        <v>10767</v>
      </c>
      <c r="D644" s="3" t="s">
        <v>10768</v>
      </c>
      <c r="E644" s="3" t="s">
        <v>10769</v>
      </c>
      <c r="F644" s="3" t="s">
        <v>10770</v>
      </c>
      <c r="G644" s="3" t="s">
        <v>10771</v>
      </c>
      <c r="H644" s="3" t="s">
        <v>10772</v>
      </c>
      <c r="I644" s="3" t="s">
        <v>10773</v>
      </c>
      <c r="J644" s="5" t="str">
        <f t="shared" si="226"/>
        <v>刀刃</v>
      </c>
    </row>
    <row r="645">
      <c r="A645" s="5" t="str">
        <f>CONCATENATE("CATEGORY_",UPPER(Pokemon!B627))</f>
        <v>CATEGORY_BOUFFALANT</v>
      </c>
      <c r="B645" s="3" t="s">
        <v>10774</v>
      </c>
      <c r="C645" s="3" t="s">
        <v>10775</v>
      </c>
      <c r="D645" s="3" t="s">
        <v>10776</v>
      </c>
      <c r="E645" s="3" t="s">
        <v>10777</v>
      </c>
      <c r="F645" s="3" t="s">
        <v>10778</v>
      </c>
      <c r="G645" s="3" t="s">
        <v>10779</v>
      </c>
      <c r="H645" s="3" t="s">
        <v>10780</v>
      </c>
      <c r="I645" s="3" t="s">
        <v>10781</v>
      </c>
      <c r="J645" s="5" t="str">
        <f>IFERROR(__xludf.DUMMYFUNCTION("GOOGLETRANSLATE(I645, ""zh_HANT"",""zh_HANS"")"),"头锤牛")</f>
        <v>头锤牛</v>
      </c>
    </row>
    <row r="646">
      <c r="A646" s="5" t="str">
        <f>CONCATENATE("CATEGORY_",UPPER(Pokemon!B628))</f>
        <v>CATEGORY_RUFFLET</v>
      </c>
      <c r="B646" s="3" t="s">
        <v>10782</v>
      </c>
      <c r="C646" s="3" t="s">
        <v>10783</v>
      </c>
      <c r="D646" s="3" t="s">
        <v>10784</v>
      </c>
      <c r="E646" s="3" t="s">
        <v>10785</v>
      </c>
      <c r="F646" s="3" t="s">
        <v>10786</v>
      </c>
      <c r="G646" s="3" t="s">
        <v>10787</v>
      </c>
      <c r="H646" s="3" t="s">
        <v>10788</v>
      </c>
      <c r="I646" s="3" t="s">
        <v>10789</v>
      </c>
      <c r="J646" s="5" t="str">
        <f>IFERROR(__xludf.DUMMYFUNCTION("GOOGLETRANSLATE(I646, ""zh_HANT"",""zh_HANS"")"),"雏鹰")</f>
        <v>雏鹰</v>
      </c>
    </row>
    <row r="647">
      <c r="A647" s="5" t="str">
        <f>CONCATENATE("CATEGORY_",UPPER(Pokemon!B629))</f>
        <v>CATEGORY_BRAVIARY</v>
      </c>
      <c r="B647" s="3" t="s">
        <v>10790</v>
      </c>
      <c r="C647" s="3" t="s">
        <v>10791</v>
      </c>
      <c r="D647" s="3" t="s">
        <v>10792</v>
      </c>
      <c r="E647" s="3" t="s">
        <v>10793</v>
      </c>
      <c r="F647" s="3" t="s">
        <v>10794</v>
      </c>
      <c r="G647" s="3" t="s">
        <v>10795</v>
      </c>
      <c r="H647" s="3" t="s">
        <v>10796</v>
      </c>
      <c r="I647" s="3" t="s">
        <v>10797</v>
      </c>
      <c r="J647" s="5" t="str">
        <f>I647</f>
        <v>勇猛</v>
      </c>
    </row>
    <row r="648">
      <c r="A648" s="5" t="str">
        <f>CONCATENATE(A647,"-H")</f>
        <v>CATEGORY_BRAVIARY-H</v>
      </c>
      <c r="B648" s="3" t="s">
        <v>10798</v>
      </c>
      <c r="C648" s="3" t="s">
        <v>10799</v>
      </c>
      <c r="D648" s="3" t="s">
        <v>10800</v>
      </c>
      <c r="E648" s="3" t="s">
        <v>10801</v>
      </c>
      <c r="F648" s="3" t="s">
        <v>10802</v>
      </c>
      <c r="G648" s="3" t="s">
        <v>10803</v>
      </c>
      <c r="H648" s="3" t="s">
        <v>10804</v>
      </c>
      <c r="I648" s="5" t="str">
        <f>IFERROR(__xludf.DUMMYFUNCTION("GOOGLETRANSLATE(J648,""zh_HANS"",""zh_HANT"")"),"戰吼")</f>
        <v>戰吼</v>
      </c>
      <c r="J648" s="3" t="s">
        <v>10805</v>
      </c>
    </row>
    <row r="649">
      <c r="A649" s="5" t="str">
        <f>CONCATENATE("CATEGORY_",UPPER(Pokemon!B630))</f>
        <v>CATEGORY_VULLABY</v>
      </c>
      <c r="B649" s="3" t="s">
        <v>10806</v>
      </c>
      <c r="C649" s="3" t="s">
        <v>10807</v>
      </c>
      <c r="D649" s="3" t="s">
        <v>10808</v>
      </c>
      <c r="E649" s="3" t="s">
        <v>10809</v>
      </c>
      <c r="F649" s="3" t="s">
        <v>10810</v>
      </c>
      <c r="G649" s="3" t="s">
        <v>10811</v>
      </c>
      <c r="H649" s="3" t="s">
        <v>10812</v>
      </c>
      <c r="I649" s="3" t="s">
        <v>10813</v>
      </c>
      <c r="J649" s="5" t="str">
        <f>I649</f>
        <v>尿布</v>
      </c>
    </row>
    <row r="650">
      <c r="A650" s="5" t="str">
        <f>CONCATENATE("CATEGORY_",UPPER(Pokemon!B631))</f>
        <v>CATEGORY_MANDIBUZZ</v>
      </c>
      <c r="B650" s="3" t="s">
        <v>10814</v>
      </c>
      <c r="C650" s="3" t="s">
        <v>10815</v>
      </c>
      <c r="D650" s="3" t="s">
        <v>10816</v>
      </c>
      <c r="E650" s="3" t="s">
        <v>10817</v>
      </c>
      <c r="F650" s="3" t="s">
        <v>10818</v>
      </c>
      <c r="G650" s="3" t="s">
        <v>10819</v>
      </c>
      <c r="H650" s="3" t="s">
        <v>10820</v>
      </c>
      <c r="I650" s="3" t="s">
        <v>10821</v>
      </c>
      <c r="J650" s="5" t="str">
        <f>IFERROR(__xludf.DUMMYFUNCTION("GOOGLETRANSLATE(I650, ""zh_HANT"",""zh_HANS"")"),"骨鹰")</f>
        <v>骨鹰</v>
      </c>
    </row>
    <row r="651">
      <c r="A651" s="5" t="str">
        <f>CONCATENATE("CATEGORY_",UPPER(Pokemon!B632))</f>
        <v>CATEGORY_HEATMOR</v>
      </c>
      <c r="B651" s="3" t="s">
        <v>10822</v>
      </c>
      <c r="C651" s="3" t="s">
        <v>10823</v>
      </c>
      <c r="D651" s="3" t="s">
        <v>10824</v>
      </c>
      <c r="E651" s="3" t="s">
        <v>10825</v>
      </c>
      <c r="F651" s="3" t="s">
        <v>10826</v>
      </c>
      <c r="G651" s="3" t="s">
        <v>10827</v>
      </c>
      <c r="H651" s="3" t="s">
        <v>10828</v>
      </c>
      <c r="I651" s="3" t="s">
        <v>10829</v>
      </c>
      <c r="J651" s="5" t="str">
        <f>IFERROR(__xludf.DUMMYFUNCTION("GOOGLETRANSLATE(I651, ""zh_HANT"",""zh_HANS"")"),"食蚁兽")</f>
        <v>食蚁兽</v>
      </c>
    </row>
    <row r="652">
      <c r="A652" s="5" t="str">
        <f>CONCATENATE("CATEGORY_",UPPER(Pokemon!B633))</f>
        <v>CATEGORY_DURANT</v>
      </c>
      <c r="B652" s="3" t="s">
        <v>10830</v>
      </c>
      <c r="C652" s="3" t="s">
        <v>10831</v>
      </c>
      <c r="D652" s="3" t="s">
        <v>10832</v>
      </c>
      <c r="E652" s="3" t="s">
        <v>10833</v>
      </c>
      <c r="F652" s="3" t="s">
        <v>10834</v>
      </c>
      <c r="G652" s="3" t="s">
        <v>10835</v>
      </c>
      <c r="H652" s="3" t="s">
        <v>10836</v>
      </c>
      <c r="I652" s="3" t="s">
        <v>3525</v>
      </c>
      <c r="J652" s="5" t="str">
        <f>IFERROR(__xludf.DUMMYFUNCTION("GOOGLETRANSLATE(I652, ""zh_HANT"",""zh_HANS"")"),"铁蚁")</f>
        <v>铁蚁</v>
      </c>
    </row>
    <row r="653">
      <c r="A653" s="5" t="str">
        <f>CONCATENATE("CATEGORY_",UPPER(Pokemon!B634))</f>
        <v>CATEGORY_DEINO</v>
      </c>
      <c r="B653" s="3" t="s">
        <v>10837</v>
      </c>
      <c r="C653" s="3" t="s">
        <v>10838</v>
      </c>
      <c r="D653" s="3" t="s">
        <v>10839</v>
      </c>
      <c r="E653" s="3" t="s">
        <v>10840</v>
      </c>
      <c r="F653" s="3" t="s">
        <v>10841</v>
      </c>
      <c r="G653" s="3" t="s">
        <v>10842</v>
      </c>
      <c r="H653" s="3" t="s">
        <v>10843</v>
      </c>
      <c r="I653" s="3" t="s">
        <v>10844</v>
      </c>
      <c r="J653" s="5" t="str">
        <f>IFERROR(__xludf.DUMMYFUNCTION("GOOGLETRANSLATE(I653, ""zh_HANT"",""zh_HANS"")"),"粗鲁")</f>
        <v>粗鲁</v>
      </c>
    </row>
    <row r="654">
      <c r="A654" s="5" t="str">
        <f>CONCATENATE("CATEGORY_",UPPER(Pokemon!B635))</f>
        <v>CATEGORY_ZWEILOUS</v>
      </c>
      <c r="B654" s="5" t="str">
        <f t="shared" ref="B654:K654" si="227">B564</f>
        <v>Hostile</v>
      </c>
      <c r="C654" s="5" t="str">
        <f t="shared" si="227"/>
        <v>らんぼう</v>
      </c>
      <c r="D654" s="5" t="str">
        <f t="shared" si="227"/>
        <v>Violent</v>
      </c>
      <c r="E654" s="5" t="str">
        <f t="shared" si="227"/>
        <v>Grobheit</v>
      </c>
      <c r="F654" s="5" t="str">
        <f t="shared" si="227"/>
        <v>Violento</v>
      </c>
      <c r="G654" s="5" t="str">
        <f t="shared" si="227"/>
        <v>Irruenza</v>
      </c>
      <c r="H654" s="5" t="str">
        <f t="shared" si="227"/>
        <v>흉포</v>
      </c>
      <c r="I654" s="5" t="str">
        <f t="shared" si="227"/>
        <v>粗暴</v>
      </c>
      <c r="J654" s="5" t="str">
        <f t="shared" si="227"/>
        <v>粗暴</v>
      </c>
      <c r="K654" s="5" t="str">
        <f t="shared" si="227"/>
        <v/>
      </c>
    </row>
    <row r="655">
      <c r="A655" s="5" t="str">
        <f>CONCATENATE("CATEGORY_",UPPER(Pokemon!B636))</f>
        <v>CATEGORY_HYDREIGON</v>
      </c>
      <c r="B655" s="5" t="str">
        <f t="shared" ref="B655:H655" si="228">B332</f>
        <v>Brutal</v>
      </c>
      <c r="C655" s="5" t="str">
        <f t="shared" si="228"/>
        <v>きょうぼう</v>
      </c>
      <c r="D655" s="5" t="str">
        <f t="shared" si="228"/>
        <v>Brutal</v>
      </c>
      <c r="E655" s="5" t="str">
        <f t="shared" si="228"/>
        <v>Brutal</v>
      </c>
      <c r="F655" s="5" t="str">
        <f t="shared" si="228"/>
        <v>Voraz</v>
      </c>
      <c r="G655" s="5" t="str">
        <f t="shared" si="228"/>
        <v>Brutale</v>
      </c>
      <c r="H655" s="5" t="str">
        <f t="shared" si="228"/>
        <v>난폭</v>
      </c>
      <c r="I655" s="5" t="str">
        <f t="shared" ref="I655:J655" si="229">I331</f>
        <v>凶猛</v>
      </c>
      <c r="J655" s="5" t="str">
        <f t="shared" si="229"/>
        <v>凶猛</v>
      </c>
      <c r="K655" s="5" t="str">
        <f>K332</f>
        <v/>
      </c>
    </row>
    <row r="656">
      <c r="A656" s="5" t="str">
        <f>CONCATENATE("CATEGORY_",UPPER(Pokemon!B637))</f>
        <v>CATEGORY_LARVESTA</v>
      </c>
      <c r="B656" s="3" t="s">
        <v>10845</v>
      </c>
      <c r="C656" s="3" t="s">
        <v>10846</v>
      </c>
      <c r="D656" s="3" t="s">
        <v>10847</v>
      </c>
      <c r="E656" s="3" t="s">
        <v>10848</v>
      </c>
      <c r="F656" s="3" t="s">
        <v>10849</v>
      </c>
      <c r="G656" s="3" t="s">
        <v>10850</v>
      </c>
      <c r="H656" s="3" t="s">
        <v>10851</v>
      </c>
      <c r="I656" s="3" t="s">
        <v>10852</v>
      </c>
      <c r="J656" s="5" t="str">
        <f>I656</f>
        <v>火炬</v>
      </c>
    </row>
    <row r="657">
      <c r="A657" s="5" t="str">
        <f>CONCATENATE("CATEGORY_",UPPER(Pokemon!B638))</f>
        <v>CATEGORY_VOLCARONA</v>
      </c>
      <c r="B657" s="5" t="str">
        <f t="shared" ref="B657:K657" si="230">B203</f>
        <v>Sun</v>
      </c>
      <c r="C657" s="5" t="str">
        <f t="shared" si="230"/>
        <v>たいよう</v>
      </c>
      <c r="D657" s="5" t="str">
        <f t="shared" si="230"/>
        <v>Soleil</v>
      </c>
      <c r="E657" s="5" t="str">
        <f t="shared" si="230"/>
        <v>Sonne</v>
      </c>
      <c r="F657" s="5" t="str">
        <f t="shared" si="230"/>
        <v>Sol</v>
      </c>
      <c r="G657" s="5" t="str">
        <f t="shared" si="230"/>
        <v>Sole</v>
      </c>
      <c r="H657" s="5" t="str">
        <f t="shared" si="230"/>
        <v>태양</v>
      </c>
      <c r="I657" s="5" t="str">
        <f t="shared" si="230"/>
        <v>太陽</v>
      </c>
      <c r="J657" s="5" t="str">
        <f t="shared" si="230"/>
        <v>太阳</v>
      </c>
      <c r="K657" s="5" t="str">
        <f t="shared" si="230"/>
        <v/>
      </c>
    </row>
    <row r="658">
      <c r="A658" s="5" t="str">
        <f>CONCATENATE("CATEGORY_",UPPER(Pokemon!B639))</f>
        <v>CATEGORY_COBALION</v>
      </c>
      <c r="B658" s="3" t="s">
        <v>10853</v>
      </c>
      <c r="C658" s="3" t="s">
        <v>10854</v>
      </c>
      <c r="D658" s="3" t="s">
        <v>10855</v>
      </c>
      <c r="E658" s="3" t="s">
        <v>10856</v>
      </c>
      <c r="F658" s="3" t="s">
        <v>10857</v>
      </c>
      <c r="G658" s="3" t="s">
        <v>10858</v>
      </c>
      <c r="H658" s="3" t="s">
        <v>10859</v>
      </c>
      <c r="I658" s="3" t="s">
        <v>10860</v>
      </c>
      <c r="J658" s="5" t="str">
        <f>IFERROR(__xludf.DUMMYFUNCTION("GOOGLETRANSLATE(I658, ""zh_HANT"",""zh_HANS"")"),"铁心")</f>
        <v>铁心</v>
      </c>
    </row>
    <row r="659">
      <c r="A659" s="5" t="str">
        <f>CONCATENATE("CATEGORY_",UPPER(Pokemon!B640))</f>
        <v>CATEGORY_TERRAKION</v>
      </c>
      <c r="B659" s="3" t="s">
        <v>10861</v>
      </c>
      <c r="C659" s="3" t="s">
        <v>10862</v>
      </c>
      <c r="D659" s="3" t="s">
        <v>10863</v>
      </c>
      <c r="E659" s="3" t="s">
        <v>10864</v>
      </c>
      <c r="F659" s="3" t="s">
        <v>10865</v>
      </c>
      <c r="G659" s="5" t="str">
        <f>CONCATENATE(B659,"a")</f>
        <v>Caverna</v>
      </c>
      <c r="H659" s="3" t="s">
        <v>10866</v>
      </c>
      <c r="I659" s="3" t="s">
        <v>10867</v>
      </c>
      <c r="J659" s="5" t="str">
        <f t="shared" ref="J659:J660" si="231">I659</f>
        <v>岩窟</v>
      </c>
    </row>
    <row r="660">
      <c r="A660" s="5" t="str">
        <f>CONCATENATE("CATEGORY_",UPPER(Pokemon!B641))</f>
        <v>CATEGORY_VIRIZION</v>
      </c>
      <c r="B660" s="3" t="s">
        <v>10868</v>
      </c>
      <c r="C660" s="3" t="s">
        <v>10869</v>
      </c>
      <c r="D660" s="3" t="s">
        <v>10870</v>
      </c>
      <c r="E660" s="3" t="s">
        <v>10871</v>
      </c>
      <c r="F660" s="3" t="s">
        <v>10872</v>
      </c>
      <c r="G660" s="3" t="s">
        <v>10873</v>
      </c>
      <c r="H660" s="3" t="s">
        <v>10874</v>
      </c>
      <c r="I660" s="3" t="s">
        <v>10875</v>
      </c>
      <c r="J660" s="5" t="str">
        <f t="shared" si="231"/>
        <v>草原</v>
      </c>
    </row>
    <row r="661">
      <c r="A661" s="5" t="str">
        <f>CONCATENATE("CATEGORY_",UPPER(Pokemon!B642))</f>
        <v>CATEGORY_TORNADUS</v>
      </c>
      <c r="B661" s="3" t="s">
        <v>10876</v>
      </c>
      <c r="C661" s="3" t="s">
        <v>10877</v>
      </c>
      <c r="D661" s="3" t="s">
        <v>10878</v>
      </c>
      <c r="E661" s="3" t="s">
        <v>10879</v>
      </c>
      <c r="F661" s="3" t="s">
        <v>10880</v>
      </c>
      <c r="G661" s="3" t="s">
        <v>10881</v>
      </c>
      <c r="H661" s="3" t="s">
        <v>10882</v>
      </c>
      <c r="I661" s="3" t="s">
        <v>10883</v>
      </c>
      <c r="J661" s="5" t="str">
        <f>IFERROR(__xludf.DUMMYFUNCTION("GOOGLETRANSLATE(I661, ""zh_HANT"",""zh_HANS"")"),"旋风")</f>
        <v>旋风</v>
      </c>
    </row>
    <row r="662">
      <c r="A662" s="5" t="str">
        <f>CONCATENATE("CATEGORY_",UPPER(Pokemon!B643))</f>
        <v>CATEGORY_THUNDURUS</v>
      </c>
      <c r="B662" s="3" t="str">
        <f>Moves!B551</f>
        <v>Bolt Strike</v>
      </c>
      <c r="C662" s="3" t="s">
        <v>10884</v>
      </c>
      <c r="D662" s="3" t="s">
        <v>10885</v>
      </c>
      <c r="E662" s="3" t="s">
        <v>10886</v>
      </c>
      <c r="F662" s="3" t="s">
        <v>10887</v>
      </c>
      <c r="G662" s="3" t="s">
        <v>10888</v>
      </c>
      <c r="H662" s="3" t="s">
        <v>10889</v>
      </c>
      <c r="I662" s="3" t="s">
        <v>10890</v>
      </c>
      <c r="J662" s="5" t="str">
        <f>IFERROR(__xludf.DUMMYFUNCTION("GOOGLETRANSLATE(I662, ""zh_HANT"",""zh_HANS"")"),"雷击")</f>
        <v>雷击</v>
      </c>
    </row>
    <row r="663">
      <c r="A663" s="5" t="str">
        <f>CONCATENATE("CATEGORY_",UPPER(Pokemon!B644))</f>
        <v>CATEGORY_RESHIRAM</v>
      </c>
      <c r="B663" s="3" t="s">
        <v>10891</v>
      </c>
      <c r="C663" s="3" t="s">
        <v>10892</v>
      </c>
      <c r="D663" s="3" t="s">
        <v>10893</v>
      </c>
      <c r="E663" s="3" t="s">
        <v>10894</v>
      </c>
      <c r="F663" s="3" t="s">
        <v>10895</v>
      </c>
      <c r="G663" s="3" t="s">
        <v>10896</v>
      </c>
      <c r="H663" s="3" t="s">
        <v>10897</v>
      </c>
      <c r="I663" s="3" t="s">
        <v>10898</v>
      </c>
      <c r="J663" s="5" t="str">
        <f>IFERROR(__xludf.DUMMYFUNCTION("GOOGLETRANSLATE(I663, ""zh_HANT"",""zh_HANS"")"),"白阳")</f>
        <v>白阳</v>
      </c>
    </row>
    <row r="664">
      <c r="A664" s="5" t="str">
        <f>CONCATENATE("CATEGORY_",UPPER(Pokemon!B645))</f>
        <v>CATEGORY_ZEKROM</v>
      </c>
      <c r="B664" s="3" t="s">
        <v>10899</v>
      </c>
      <c r="C664" s="3" t="s">
        <v>10900</v>
      </c>
      <c r="D664" s="3" t="s">
        <v>10901</v>
      </c>
      <c r="E664" s="3" t="s">
        <v>10902</v>
      </c>
      <c r="F664" s="3" t="s">
        <v>10903</v>
      </c>
      <c r="G664" s="3" t="s">
        <v>10904</v>
      </c>
      <c r="H664" s="3" t="s">
        <v>10905</v>
      </c>
      <c r="I664" s="3" t="s">
        <v>10906</v>
      </c>
      <c r="J664" s="5" t="str">
        <f>IFERROR(__xludf.DUMMYFUNCTION("GOOGLETRANSLATE(I664, ""zh_HANT"",""zh_HANS"")"),"黑阴")</f>
        <v>黑阴</v>
      </c>
    </row>
    <row r="665">
      <c r="A665" s="5" t="str">
        <f>CONCATENATE("CATEGORY_",UPPER(Pokemon!B646))</f>
        <v>CATEGORY_LANDORUS</v>
      </c>
      <c r="B665" s="3" t="s">
        <v>10907</v>
      </c>
      <c r="C665" s="3" t="s">
        <v>10908</v>
      </c>
      <c r="D665" s="3" t="s">
        <v>10909</v>
      </c>
      <c r="E665" s="3" t="s">
        <v>10910</v>
      </c>
      <c r="F665" s="3" t="s">
        <v>10911</v>
      </c>
      <c r="G665" s="3" t="s">
        <v>10912</v>
      </c>
      <c r="H665" s="3" t="s">
        <v>10913</v>
      </c>
      <c r="I665" s="3" t="s">
        <v>10914</v>
      </c>
      <c r="J665" s="5" t="str">
        <f>IFERROR(__xludf.DUMMYFUNCTION("GOOGLETRANSLATE(I665, ""zh_HANT"",""zh_HANS"")"),"丰饶")</f>
        <v>丰饶</v>
      </c>
    </row>
    <row r="666">
      <c r="A666" s="5" t="str">
        <f>CONCATENATE("CATEGORY_",UPPER(Pokemon!B647))</f>
        <v>CATEGORY_KYUREM</v>
      </c>
      <c r="B666" s="3" t="s">
        <v>10915</v>
      </c>
      <c r="C666" s="3" t="s">
        <v>10916</v>
      </c>
      <c r="D666" s="3" t="s">
        <v>10917</v>
      </c>
      <c r="E666" s="3" t="s">
        <v>10918</v>
      </c>
      <c r="F666" s="3" t="s">
        <v>10919</v>
      </c>
      <c r="G666" s="3" t="s">
        <v>10920</v>
      </c>
      <c r="H666" s="3" t="s">
        <v>10055</v>
      </c>
      <c r="I666" s="3" t="s">
        <v>10921</v>
      </c>
      <c r="J666" s="5" t="str">
        <f>I666</f>
        <v>境界</v>
      </c>
    </row>
    <row r="667">
      <c r="A667" s="5" t="str">
        <f>CONCATENATE("CATEGORY_",UPPER(Pokemon!B648))</f>
        <v>CATEGORY_KELDEO</v>
      </c>
      <c r="B667" s="3" t="s">
        <v>10922</v>
      </c>
      <c r="C667" s="3" t="s">
        <v>10923</v>
      </c>
      <c r="D667" s="3" t="s">
        <v>10924</v>
      </c>
      <c r="E667" s="3" t="s">
        <v>10925</v>
      </c>
      <c r="F667" s="3" t="s">
        <v>10926</v>
      </c>
      <c r="G667" s="3" t="s">
        <v>10927</v>
      </c>
      <c r="H667" s="3" t="s">
        <v>10928</v>
      </c>
      <c r="I667" s="3" t="s">
        <v>10929</v>
      </c>
      <c r="J667" s="5" t="str">
        <f>IFERROR(__xludf.DUMMYFUNCTION("GOOGLETRANSLATE(I667, ""zh_HANT"",""zh_HANS"")"),"幼马")</f>
        <v>幼马</v>
      </c>
    </row>
    <row r="668">
      <c r="A668" s="5" t="str">
        <f>CONCATENATE("CATEGORY_",UPPER(Pokemon!B649))</f>
        <v>CATEGORY_MELOETTA</v>
      </c>
      <c r="B668" s="3" t="s">
        <v>10930</v>
      </c>
      <c r="C668" s="3" t="s">
        <v>10931</v>
      </c>
      <c r="D668" s="3" t="s">
        <v>10932</v>
      </c>
      <c r="E668" s="3" t="s">
        <v>10933</v>
      </c>
      <c r="F668" s="3" t="s">
        <v>10934</v>
      </c>
      <c r="G668" s="3" t="s">
        <v>10935</v>
      </c>
      <c r="H668" s="3" t="s">
        <v>10936</v>
      </c>
      <c r="I668" s="3" t="s">
        <v>10937</v>
      </c>
      <c r="J668" s="5" t="str">
        <f t="shared" ref="J668:J670" si="232">I668</f>
        <v>旋律</v>
      </c>
    </row>
    <row r="669">
      <c r="A669" s="5" t="str">
        <f>CONCATENATE("CATEGORY_",UPPER(Pokemon!B650))</f>
        <v>CATEGORY_GENESECT</v>
      </c>
      <c r="B669" s="3" t="s">
        <v>10938</v>
      </c>
      <c r="C669" s="3" t="s">
        <v>10939</v>
      </c>
      <c r="D669" s="3" t="s">
        <v>10940</v>
      </c>
      <c r="E669" s="3" t="s">
        <v>10941</v>
      </c>
      <c r="F669" s="5" t="str">
        <f>CONCATENATE(B669,"o")</f>
        <v>Paleozoico</v>
      </c>
      <c r="G669" s="5" t="str">
        <f>F669</f>
        <v>Paleozoico</v>
      </c>
      <c r="H669" s="3" t="s">
        <v>10942</v>
      </c>
      <c r="I669" s="3" t="s">
        <v>10943</v>
      </c>
      <c r="J669" s="5" t="str">
        <f t="shared" si="232"/>
        <v>古生代</v>
      </c>
    </row>
    <row r="670">
      <c r="A670" s="5" t="str">
        <f>CONCATENATE("CATEGORY_",UPPER(Pokemon!B651))</f>
        <v>CATEGORY_CHESPIN</v>
      </c>
      <c r="B670" s="3" t="s">
        <v>10944</v>
      </c>
      <c r="C670" s="3" t="s">
        <v>10945</v>
      </c>
      <c r="D670" s="3" t="s">
        <v>10946</v>
      </c>
      <c r="E670" s="3" t="s">
        <v>10947</v>
      </c>
      <c r="F670" s="3" t="s">
        <v>10948</v>
      </c>
      <c r="G670" s="3" t="s">
        <v>10949</v>
      </c>
      <c r="H670" s="3" t="s">
        <v>10950</v>
      </c>
      <c r="I670" s="3" t="s">
        <v>10951</v>
      </c>
      <c r="J670" s="5" t="str">
        <f t="shared" si="232"/>
        <v>刺栗</v>
      </c>
    </row>
    <row r="671">
      <c r="A671" s="5" t="str">
        <f>CONCATENATE("CATEGORY_",UPPER(Pokemon!B652))</f>
        <v>CATEGORY_QUILLADIN</v>
      </c>
      <c r="B671" s="3" t="s">
        <v>10952</v>
      </c>
      <c r="C671" s="3" t="s">
        <v>10953</v>
      </c>
      <c r="D671" s="3" t="s">
        <v>10954</v>
      </c>
      <c r="E671" s="3" t="s">
        <v>10955</v>
      </c>
      <c r="F671" s="3" t="s">
        <v>10956</v>
      </c>
      <c r="G671" s="3" t="s">
        <v>10957</v>
      </c>
      <c r="H671" s="7" t="s">
        <v>10958</v>
      </c>
      <c r="I671" s="3" t="s">
        <v>10959</v>
      </c>
      <c r="J671" s="5" t="str">
        <f>IFERROR(__xludf.DUMMYFUNCTION("GOOGLETRANSLATE(I671, ""zh_HANT"",""zh_HANS"")"),"刺铠")</f>
        <v>刺铠</v>
      </c>
    </row>
    <row r="672">
      <c r="A672" s="5" t="str">
        <f>CONCATENATE("CATEGORY_",UPPER(Pokemon!B653))</f>
        <v>CATEGORY_CHESNAUGHT</v>
      </c>
      <c r="B672" s="5" t="str">
        <f t="shared" ref="B672:J672" si="233">B671</f>
        <v>Spiny Armor</v>
      </c>
      <c r="C672" s="5" t="str">
        <f t="shared" si="233"/>
        <v>とげよろい</v>
      </c>
      <c r="D672" s="5" t="str">
        <f t="shared" si="233"/>
        <v>Épinarmure</v>
      </c>
      <c r="E672" s="5" t="str">
        <f t="shared" si="233"/>
        <v>Spitzpanzer</v>
      </c>
      <c r="F672" s="5" t="str">
        <f t="shared" si="233"/>
        <v>Corazaespín</v>
      </c>
      <c r="G672" s="5" t="str">
        <f t="shared" si="233"/>
        <v>Spincorazza</v>
      </c>
      <c r="H672" s="5" t="str">
        <f t="shared" si="233"/>
        <v>가시갑옷</v>
      </c>
      <c r="I672" s="5" t="str">
        <f t="shared" si="233"/>
        <v>刺鎧</v>
      </c>
      <c r="J672" s="5" t="str">
        <f t="shared" si="233"/>
        <v>刺铠</v>
      </c>
    </row>
    <row r="673">
      <c r="A673" s="5" t="str">
        <f>CONCATENATE("CATEGORY_",UPPER(Pokemon!B654))</f>
        <v>CATEGORY_FENNEKIN</v>
      </c>
      <c r="B673" s="5" t="str">
        <f>B38</f>
        <v>Fox</v>
      </c>
      <c r="C673" s="3" t="s">
        <v>10960</v>
      </c>
      <c r="D673" s="5" t="str">
        <f t="shared" ref="D673:K673" si="234">D38</f>
        <v>Renard</v>
      </c>
      <c r="E673" s="5" t="str">
        <f t="shared" si="234"/>
        <v>Fuchs</v>
      </c>
      <c r="F673" s="5" t="str">
        <f t="shared" si="234"/>
        <v>Zorro</v>
      </c>
      <c r="G673" s="5" t="str">
        <f t="shared" si="234"/>
        <v>Volpe</v>
      </c>
      <c r="H673" s="5" t="str">
        <f t="shared" si="234"/>
        <v>여우</v>
      </c>
      <c r="I673" s="5" t="str">
        <f t="shared" si="234"/>
        <v>狐狸</v>
      </c>
      <c r="J673" s="5" t="str">
        <f t="shared" si="234"/>
        <v>狐狸</v>
      </c>
      <c r="K673" s="5" t="str">
        <f t="shared" si="234"/>
        <v/>
      </c>
    </row>
    <row r="674">
      <c r="A674" s="5" t="str">
        <f>CONCATENATE("CATEGORY_",UPPER(Pokemon!B655))</f>
        <v>CATEGORY_BRAIXEN</v>
      </c>
      <c r="B674" s="5" t="str">
        <f>B38</f>
        <v>Fox</v>
      </c>
      <c r="C674" s="5" t="str">
        <f>C673</f>
        <v>キツネ</v>
      </c>
      <c r="D674" s="5" t="str">
        <f t="shared" ref="D674:K674" si="235">D38</f>
        <v>Renard</v>
      </c>
      <c r="E674" s="5" t="str">
        <f t="shared" si="235"/>
        <v>Fuchs</v>
      </c>
      <c r="F674" s="5" t="str">
        <f t="shared" si="235"/>
        <v>Zorro</v>
      </c>
      <c r="G674" s="5" t="str">
        <f t="shared" si="235"/>
        <v>Volpe</v>
      </c>
      <c r="H674" s="5" t="str">
        <f t="shared" si="235"/>
        <v>여우</v>
      </c>
      <c r="I674" s="5" t="str">
        <f t="shared" si="235"/>
        <v>狐狸</v>
      </c>
      <c r="J674" s="5" t="str">
        <f t="shared" si="235"/>
        <v>狐狸</v>
      </c>
      <c r="K674" s="5" t="str">
        <f t="shared" si="235"/>
        <v/>
      </c>
    </row>
    <row r="675">
      <c r="A675" s="5" t="str">
        <f>CONCATENATE("CATEGORY_",UPPER(Pokemon!B656))</f>
        <v>CATEGORY_DELPHOX</v>
      </c>
      <c r="B675" s="5" t="str">
        <f>B38</f>
        <v>Fox</v>
      </c>
      <c r="C675" s="5" t="str">
        <f>C673</f>
        <v>キツネ</v>
      </c>
      <c r="D675" s="5" t="str">
        <f t="shared" ref="D675:K675" si="236">D38</f>
        <v>Renard</v>
      </c>
      <c r="E675" s="5" t="str">
        <f t="shared" si="236"/>
        <v>Fuchs</v>
      </c>
      <c r="F675" s="5" t="str">
        <f t="shared" si="236"/>
        <v>Zorro</v>
      </c>
      <c r="G675" s="5" t="str">
        <f t="shared" si="236"/>
        <v>Volpe</v>
      </c>
      <c r="H675" s="5" t="str">
        <f t="shared" si="236"/>
        <v>여우</v>
      </c>
      <c r="I675" s="5" t="str">
        <f t="shared" si="236"/>
        <v>狐狸</v>
      </c>
      <c r="J675" s="5" t="str">
        <f t="shared" si="236"/>
        <v>狐狸</v>
      </c>
      <c r="K675" s="5" t="str">
        <f t="shared" si="236"/>
        <v/>
      </c>
    </row>
    <row r="676">
      <c r="A676" s="5" t="str">
        <f>CONCATENATE("CATEGORY_",UPPER(Pokemon!B657))</f>
        <v>CATEGORY_FROAKIE</v>
      </c>
      <c r="B676" s="3" t="s">
        <v>10961</v>
      </c>
      <c r="C676" s="3" t="s">
        <v>10962</v>
      </c>
      <c r="D676" s="3" t="s">
        <v>10963</v>
      </c>
      <c r="E676" s="3" t="s">
        <v>10964</v>
      </c>
      <c r="F676" s="3" t="s">
        <v>10965</v>
      </c>
      <c r="G676" s="3" t="s">
        <v>10966</v>
      </c>
      <c r="H676" s="3" t="s">
        <v>10967</v>
      </c>
      <c r="I676" s="3" t="s">
        <v>10968</v>
      </c>
      <c r="J676" s="5" t="str">
        <f>I676</f>
        <v>泡蛙</v>
      </c>
    </row>
    <row r="677">
      <c r="A677" s="5" t="str">
        <f>CONCATENATE("CATEGORY_",UPPER(Pokemon!B658))</f>
        <v>CATEGORY_FROGADIER</v>
      </c>
      <c r="B677" s="5" t="str">
        <f t="shared" ref="B677:J677" si="237">B676</f>
        <v>Bubble Frog</v>
      </c>
      <c r="C677" s="5" t="str">
        <f t="shared" si="237"/>
        <v>あわがえる</v>
      </c>
      <c r="D677" s="5" t="str">
        <f t="shared" si="237"/>
        <v>Crapobulle</v>
      </c>
      <c r="E677" s="5" t="str">
        <f t="shared" si="237"/>
        <v>Blubbfrosch</v>
      </c>
      <c r="F677" s="5" t="str">
        <f t="shared" si="237"/>
        <v>Burburrana</v>
      </c>
      <c r="G677" s="5" t="str">
        <f t="shared" si="237"/>
        <v>Schiumorana</v>
      </c>
      <c r="H677" s="5" t="str">
        <f t="shared" si="237"/>
        <v>거품개구리</v>
      </c>
      <c r="I677" s="5" t="str">
        <f t="shared" si="237"/>
        <v>泡蛙</v>
      </c>
      <c r="J677" s="5" t="str">
        <f t="shared" si="237"/>
        <v>泡蛙</v>
      </c>
    </row>
    <row r="678">
      <c r="A678" s="5" t="str">
        <f>CONCATENATE("CATEGORY_",UPPER(Pokemon!B659))</f>
        <v>CATEGORY_GRENINJA</v>
      </c>
      <c r="B678" s="5" t="str">
        <f t="shared" ref="B678:K678" si="238">B304</f>
        <v>Ninja</v>
      </c>
      <c r="C678" s="5" t="str">
        <f t="shared" si="238"/>
        <v>しのび</v>
      </c>
      <c r="D678" s="5" t="str">
        <f t="shared" si="238"/>
        <v>Ninja</v>
      </c>
      <c r="E678" s="5" t="str">
        <f t="shared" si="238"/>
        <v>Ninja</v>
      </c>
      <c r="F678" s="5" t="str">
        <f t="shared" si="238"/>
        <v>Ninja</v>
      </c>
      <c r="G678" s="5" t="str">
        <f t="shared" si="238"/>
        <v>Ninja</v>
      </c>
      <c r="H678" s="5" t="str">
        <f t="shared" si="238"/>
        <v>시노비</v>
      </c>
      <c r="I678" s="5" t="str">
        <f t="shared" si="238"/>
        <v>忍者</v>
      </c>
      <c r="J678" s="5" t="str">
        <f t="shared" si="238"/>
        <v>忍者</v>
      </c>
      <c r="K678" s="5" t="str">
        <f t="shared" si="238"/>
        <v/>
      </c>
    </row>
    <row r="679">
      <c r="A679" s="5" t="str">
        <f>CONCATENATE("CATEGORY_",UPPER(Pokemon!B660))</f>
        <v>CATEGORY_BUNNELBY</v>
      </c>
      <c r="B679" s="3" t="s">
        <v>10969</v>
      </c>
      <c r="C679" s="3" t="s">
        <v>10970</v>
      </c>
      <c r="D679" s="3" t="s">
        <v>10971</v>
      </c>
      <c r="E679" s="3" t="s">
        <v>10972</v>
      </c>
      <c r="F679" s="3" t="s">
        <v>10973</v>
      </c>
      <c r="G679" s="3" t="s">
        <v>10974</v>
      </c>
      <c r="H679" s="3" t="s">
        <v>10975</v>
      </c>
      <c r="I679" s="3" t="s">
        <v>10976</v>
      </c>
      <c r="J679" s="5" t="str">
        <f>I679</f>
        <v>挖洞</v>
      </c>
    </row>
    <row r="680">
      <c r="A680" s="5" t="str">
        <f>CONCATENATE("CATEGORY_",UPPER(Pokemon!B661))</f>
        <v>CATEGORY_DIGGERSBY</v>
      </c>
      <c r="B680" s="5" t="str">
        <f t="shared" ref="B680:J680" si="239">B679</f>
        <v>Digging</v>
      </c>
      <c r="C680" s="5" t="str">
        <f t="shared" si="239"/>
        <v>あなほり</v>
      </c>
      <c r="D680" s="5" t="str">
        <f t="shared" si="239"/>
        <v>Fouisseur</v>
      </c>
      <c r="E680" s="5" t="str">
        <f t="shared" si="239"/>
        <v>Baugräber</v>
      </c>
      <c r="F680" s="5" t="str">
        <f t="shared" si="239"/>
        <v>Excavador</v>
      </c>
      <c r="G680" s="5" t="str">
        <f t="shared" si="239"/>
        <v>Scavabuche</v>
      </c>
      <c r="H680" s="5" t="str">
        <f t="shared" si="239"/>
        <v>땅구멍파기</v>
      </c>
      <c r="I680" s="5" t="str">
        <f t="shared" si="239"/>
        <v>挖洞</v>
      </c>
      <c r="J680" s="5" t="str">
        <f t="shared" si="239"/>
        <v>挖洞</v>
      </c>
    </row>
    <row r="681">
      <c r="A681" s="5" t="str">
        <f>CONCATENATE("CATEGORY_",UPPER(Pokemon!B662))</f>
        <v>CATEGORY_FLETCHLING</v>
      </c>
      <c r="B681" s="3" t="s">
        <v>10977</v>
      </c>
      <c r="C681" s="3" t="s">
        <v>10978</v>
      </c>
      <c r="D681" s="3" t="s">
        <v>10979</v>
      </c>
      <c r="E681" s="3" t="s">
        <v>10980</v>
      </c>
      <c r="F681" s="3" t="s">
        <v>10981</v>
      </c>
      <c r="G681" s="3" t="s">
        <v>10982</v>
      </c>
      <c r="H681" s="3" t="s">
        <v>10983</v>
      </c>
      <c r="I681" s="3" t="s">
        <v>10984</v>
      </c>
      <c r="J681" s="5" t="str">
        <f>IFERROR(__xludf.DUMMYFUNCTION("GOOGLETRANSLATE(I681, ""zh_HANT"",""zh_HANS"")"),"知更鸟")</f>
        <v>知更鸟</v>
      </c>
    </row>
    <row r="682">
      <c r="A682" s="5" t="str">
        <f>CONCATENATE("CATEGORY_",UPPER(Pokemon!B663))</f>
        <v>CATEGORY_FLETCHINDER</v>
      </c>
      <c r="B682" s="5" t="str">
        <f t="shared" ref="B682:K682" si="240">B527</f>
        <v>Ember</v>
      </c>
      <c r="C682" s="5" t="str">
        <f t="shared" si="240"/>
        <v>ほのこ</v>
      </c>
      <c r="D682" s="5" t="str">
        <f t="shared" si="240"/>
        <v>Braise</v>
      </c>
      <c r="E682" s="5" t="str">
        <f t="shared" si="240"/>
        <v>Glut</v>
      </c>
      <c r="F682" s="5" t="str">
        <f t="shared" si="240"/>
        <v>Ascuas</v>
      </c>
      <c r="G682" s="5" t="str">
        <f t="shared" si="240"/>
        <v>Braciere</v>
      </c>
      <c r="H682" s="5" t="str">
        <f t="shared" si="240"/>
        <v>불꽃세례</v>
      </c>
      <c r="I682" s="5" t="str">
        <f t="shared" si="240"/>
        <v>火花</v>
      </c>
      <c r="J682" s="5" t="str">
        <f t="shared" si="240"/>
        <v>火花</v>
      </c>
      <c r="K682" s="5" t="str">
        <f t="shared" si="240"/>
        <v/>
      </c>
    </row>
    <row r="683">
      <c r="A683" s="5" t="str">
        <f>CONCATENATE("CATEGORY_",UPPER(Pokemon!B664))</f>
        <v>CATEGORY_TALONFLAME</v>
      </c>
      <c r="B683" s="3" t="s">
        <v>10985</v>
      </c>
      <c r="C683" s="3" t="s">
        <v>10986</v>
      </c>
      <c r="D683" s="3" t="s">
        <v>10987</v>
      </c>
      <c r="E683" s="3" t="s">
        <v>10988</v>
      </c>
      <c r="F683" s="3" t="s">
        <v>10989</v>
      </c>
      <c r="G683" s="3" t="s">
        <v>10990</v>
      </c>
      <c r="H683" s="3" t="s">
        <v>10991</v>
      </c>
      <c r="I683" s="3" t="s">
        <v>10992</v>
      </c>
      <c r="J683" s="5" t="str">
        <f>I683</f>
        <v>烈火</v>
      </c>
    </row>
    <row r="684">
      <c r="A684" s="5" t="str">
        <f>CONCATENATE("CATEGORY_",UPPER(Pokemon!B665))</f>
        <v>CATEGORY_SCATTERBUG</v>
      </c>
      <c r="B684" s="3" t="s">
        <v>10993</v>
      </c>
      <c r="C684" s="3" t="s">
        <v>10994</v>
      </c>
      <c r="D684" s="3" t="s">
        <v>10995</v>
      </c>
      <c r="E684" s="3" t="s">
        <v>10996</v>
      </c>
      <c r="F684" s="3" t="s">
        <v>10997</v>
      </c>
      <c r="G684" s="3" t="s">
        <v>10998</v>
      </c>
      <c r="H684" s="3" t="s">
        <v>10999</v>
      </c>
      <c r="I684" s="3" t="s">
        <v>11000</v>
      </c>
      <c r="J684" s="5" t="str">
        <f>IFERROR(__xludf.DUMMYFUNCTION("GOOGLETRANSLATE(I684, ""zh_HANT"",""zh_HANS"")"),"喷粉")</f>
        <v>喷粉</v>
      </c>
    </row>
    <row r="685">
      <c r="A685" s="5" t="str">
        <f>CONCATENATE("CATEGORY_",UPPER(Pokemon!B666))</f>
        <v>CATEGORY_SPEWPA</v>
      </c>
      <c r="B685" s="5" t="str">
        <f t="shared" ref="B685:J685" si="241">B684</f>
        <v>Scatterdust</v>
      </c>
      <c r="C685" s="5" t="str">
        <f t="shared" si="241"/>
        <v>こなふき</v>
      </c>
      <c r="D685" s="5" t="str">
        <f t="shared" si="241"/>
        <v>Exhalécaille</v>
      </c>
      <c r="E685" s="5" t="str">
        <f t="shared" si="241"/>
        <v>Puderinsekt</v>
      </c>
      <c r="F685" s="5" t="str">
        <f t="shared" si="241"/>
        <v>Tiraescamas</v>
      </c>
      <c r="G685" s="5" t="str">
        <f t="shared" si="241"/>
        <v>Tirascaglie</v>
      </c>
      <c r="H685" s="5" t="str">
        <f t="shared" si="241"/>
        <v>가루뿜기</v>
      </c>
      <c r="I685" s="5" t="str">
        <f t="shared" si="241"/>
        <v>噴粉</v>
      </c>
      <c r="J685" s="5" t="str">
        <f t="shared" si="241"/>
        <v>喷粉</v>
      </c>
    </row>
    <row r="686">
      <c r="A686" s="5" t="str">
        <f>CONCATENATE("CATEGORY_",UPPER(Pokemon!B667))</f>
        <v>CATEGORY_VIVILLON</v>
      </c>
      <c r="B686" s="3" t="s">
        <v>11001</v>
      </c>
      <c r="C686" s="3" t="s">
        <v>11002</v>
      </c>
      <c r="D686" s="3" t="s">
        <v>11003</v>
      </c>
      <c r="E686" s="3" t="s">
        <v>11004</v>
      </c>
      <c r="F686" s="3" t="s">
        <v>11005</v>
      </c>
      <c r="G686" s="3" t="s">
        <v>11006</v>
      </c>
      <c r="H686" s="3" t="s">
        <v>11007</v>
      </c>
      <c r="I686" s="3" t="s">
        <v>11008</v>
      </c>
      <c r="J686" s="5" t="str">
        <f>IFERROR(__xludf.DUMMYFUNCTION("GOOGLETRANSLATE(I686, ""zh_HANT"",""zh_HANS"")"),"鳞粉")</f>
        <v>鳞粉</v>
      </c>
    </row>
    <row r="687">
      <c r="A687" s="5" t="str">
        <f>CONCATENATE("CATEGORY_",UPPER(Pokemon!B668))</f>
        <v>CATEGORY_LITLEO</v>
      </c>
      <c r="B687" s="3" t="s">
        <v>11009</v>
      </c>
      <c r="C687" s="3" t="s">
        <v>11010</v>
      </c>
      <c r="D687" s="3" t="s">
        <v>11011</v>
      </c>
      <c r="E687" s="3" t="s">
        <v>11012</v>
      </c>
      <c r="F687" s="3" t="s">
        <v>11013</v>
      </c>
      <c r="G687" s="3" t="s">
        <v>11014</v>
      </c>
      <c r="H687" s="3" t="s">
        <v>11015</v>
      </c>
      <c r="I687" s="3" t="s">
        <v>11016</v>
      </c>
      <c r="J687" s="5" t="str">
        <f>IFERROR(__xludf.DUMMYFUNCTION("GOOGLETRANSLATE(I687, ""zh_HANT"",""zh_HANS"")"),"幼狮")</f>
        <v>幼狮</v>
      </c>
    </row>
    <row r="688">
      <c r="A688" s="5" t="str">
        <f>CONCATENATE("CATEGORY_",UPPER(Pokemon!B669))</f>
        <v>CATEGORY_PYROAR</v>
      </c>
      <c r="B688" s="5" t="str">
        <f t="shared" ref="B688:K688" si="242">B211</f>
        <v>Royal</v>
      </c>
      <c r="C688" s="5" t="str">
        <f t="shared" si="242"/>
        <v>おうじゃ</v>
      </c>
      <c r="D688" s="5" t="str">
        <f t="shared" si="242"/>
        <v>Royal</v>
      </c>
      <c r="E688" s="5" t="str">
        <f t="shared" si="242"/>
        <v>Monarch</v>
      </c>
      <c r="F688" s="5" t="str">
        <f t="shared" si="242"/>
        <v>Regio</v>
      </c>
      <c r="G688" s="5" t="str">
        <f t="shared" si="242"/>
        <v>Reale</v>
      </c>
      <c r="H688" s="5" t="str">
        <f t="shared" si="242"/>
        <v>임금</v>
      </c>
      <c r="I688" s="5" t="str">
        <f t="shared" si="242"/>
        <v>王者</v>
      </c>
      <c r="J688" s="5" t="str">
        <f t="shared" si="242"/>
        <v>王者</v>
      </c>
      <c r="K688" s="5" t="str">
        <f t="shared" si="242"/>
        <v/>
      </c>
    </row>
    <row r="689">
      <c r="A689" s="5" t="str">
        <f>CONCATENATE("CATEGORY_",UPPER(Pokemon!B670))</f>
        <v>CATEGORY_FLABÉBÉ</v>
      </c>
      <c r="B689" s="3" t="s">
        <v>11017</v>
      </c>
      <c r="C689" s="3" t="s">
        <v>11018</v>
      </c>
      <c r="D689" s="3" t="s">
        <v>11019</v>
      </c>
      <c r="E689" s="3" t="s">
        <v>11020</v>
      </c>
      <c r="F689" s="3" t="s">
        <v>11021</v>
      </c>
      <c r="G689" s="3" t="s">
        <v>11022</v>
      </c>
      <c r="H689" s="3" t="s">
        <v>11023</v>
      </c>
      <c r="I689" s="3" t="s">
        <v>11024</v>
      </c>
      <c r="J689" s="5" t="str">
        <f>IFERROR(__xludf.DUMMYFUNCTION("GOOGLETRANSLATE(I689, ""zh_HANT"",""zh_HANS"")"),"单朵")</f>
        <v>单朵</v>
      </c>
    </row>
    <row r="690">
      <c r="A690" s="5" t="str">
        <f>CONCATENATE("CATEGORY_",UPPER(Pokemon!B671))</f>
        <v>CATEGORY_FLOETTE</v>
      </c>
      <c r="B690" s="5" t="str">
        <f t="shared" ref="B690:J690" si="243">B689</f>
        <v>Single Bloom</v>
      </c>
      <c r="C690" s="5" t="str">
        <f t="shared" si="243"/>
        <v>いちりん</v>
      </c>
      <c r="D690" s="5" t="str">
        <f t="shared" si="243"/>
        <v>Uniflore</v>
      </c>
      <c r="E690" s="5" t="str">
        <f t="shared" si="243"/>
        <v>Einblütler</v>
      </c>
      <c r="F690" s="5" t="str">
        <f t="shared" si="243"/>
        <v>Monoflor</v>
      </c>
      <c r="G690" s="5" t="str">
        <f t="shared" si="243"/>
        <v>Monofiore</v>
      </c>
      <c r="H690" s="5" t="str">
        <f t="shared" si="243"/>
        <v>한송이</v>
      </c>
      <c r="I690" s="5" t="str">
        <f t="shared" si="243"/>
        <v>單朵</v>
      </c>
      <c r="J690" s="5" t="str">
        <f t="shared" si="243"/>
        <v>单朵</v>
      </c>
    </row>
    <row r="691">
      <c r="A691" s="5" t="str">
        <f>CONCATENATE("CATEGORY_",UPPER(Pokemon!B672))</f>
        <v>CATEGORY_FLORGES</v>
      </c>
      <c r="B691" s="3" t="s">
        <v>11025</v>
      </c>
      <c r="C691" s="3" t="s">
        <v>11026</v>
      </c>
      <c r="D691" s="3" t="s">
        <v>11027</v>
      </c>
      <c r="E691" s="3" t="s">
        <v>11028</v>
      </c>
      <c r="F691" s="5" t="str">
        <f>F689</f>
        <v>Monoflor</v>
      </c>
      <c r="G691" s="3" t="s">
        <v>11029</v>
      </c>
      <c r="H691" s="3" t="s">
        <v>11030</v>
      </c>
      <c r="I691" s="3" t="s">
        <v>11031</v>
      </c>
      <c r="J691" s="5" t="str">
        <f>IFERROR(__xludf.DUMMYFUNCTION("GOOGLETRANSLATE(I691, ""zh_HANT"",""zh_HANS"")"),"花园")</f>
        <v>花园</v>
      </c>
    </row>
    <row r="692">
      <c r="A692" s="5" t="str">
        <f>CONCATENATE("CATEGORY_",UPPER(Pokemon!B673))</f>
        <v>CATEGORY_SKIDDO</v>
      </c>
      <c r="B692" s="3" t="s">
        <v>11032</v>
      </c>
      <c r="C692" s="3" t="s">
        <v>11033</v>
      </c>
      <c r="D692" s="3" t="s">
        <v>11034</v>
      </c>
      <c r="E692" s="3" t="s">
        <v>11035</v>
      </c>
      <c r="F692" s="3" t="s">
        <v>11036</v>
      </c>
      <c r="G692" s="3" t="s">
        <v>11037</v>
      </c>
      <c r="H692" s="3" t="s">
        <v>11038</v>
      </c>
      <c r="I692" s="3" t="s">
        <v>11039</v>
      </c>
      <c r="J692" s="5" t="str">
        <f>IFERROR(__xludf.DUMMYFUNCTION("GOOGLETRANSLATE(I692, ""zh_HANT"",""zh_HANS"")"),"坐骑")</f>
        <v>坐骑</v>
      </c>
    </row>
    <row r="693">
      <c r="A693" s="5" t="str">
        <f>CONCATENATE("CATEGORY_",UPPER(Pokemon!B674))</f>
        <v>CATEGORY_GOGOAT</v>
      </c>
      <c r="B693" s="5" t="str">
        <f t="shared" ref="B693:J693" si="244">B692</f>
        <v>Mount</v>
      </c>
      <c r="C693" s="5" t="str">
        <f t="shared" si="244"/>
        <v>ライド</v>
      </c>
      <c r="D693" s="5" t="str">
        <f t="shared" si="244"/>
        <v>Monture</v>
      </c>
      <c r="E693" s="5" t="str">
        <f t="shared" si="244"/>
        <v>Ritt</v>
      </c>
      <c r="F693" s="5" t="str">
        <f t="shared" si="244"/>
        <v>Montura</v>
      </c>
      <c r="G693" s="5" t="str">
        <f t="shared" si="244"/>
        <v>Cavalcatura</v>
      </c>
      <c r="H693" s="5" t="str">
        <f t="shared" si="244"/>
        <v>라이드</v>
      </c>
      <c r="I693" s="5" t="str">
        <f t="shared" si="244"/>
        <v>坐騎</v>
      </c>
      <c r="J693" s="5" t="str">
        <f t="shared" si="244"/>
        <v>坐骑</v>
      </c>
    </row>
    <row r="694">
      <c r="A694" s="5" t="str">
        <f>CONCATENATE("CATEGORY_",UPPER(Pokemon!B675))</f>
        <v>CATEGORY_PANCHAM</v>
      </c>
      <c r="B694" s="5" t="str">
        <f t="shared" ref="B694:K694" si="245">B404</f>
        <v>Playful</v>
      </c>
      <c r="C694" s="5" t="str">
        <f t="shared" si="245"/>
        <v>やんちゃ</v>
      </c>
      <c r="D694" s="5" t="str">
        <f t="shared" si="245"/>
        <v>Garnement</v>
      </c>
      <c r="E694" s="5" t="str">
        <f t="shared" si="245"/>
        <v>Verspielt</v>
      </c>
      <c r="F694" s="5" t="str">
        <f t="shared" si="245"/>
        <v>Juguetón</v>
      </c>
      <c r="G694" s="5" t="str">
        <f t="shared" si="245"/>
        <v>Briccone</v>
      </c>
      <c r="H694" s="5" t="str">
        <f t="shared" si="245"/>
        <v>개구쟁이</v>
      </c>
      <c r="I694" s="5" t="str">
        <f t="shared" si="245"/>
        <v>頑皮</v>
      </c>
      <c r="J694" s="5" t="str">
        <f t="shared" si="245"/>
        <v>顽皮</v>
      </c>
      <c r="K694" s="5" t="str">
        <f t="shared" si="245"/>
        <v/>
      </c>
    </row>
    <row r="695">
      <c r="A695" s="5" t="str">
        <f>CONCATENATE("CATEGORY_",UPPER(Pokemon!B676))</f>
        <v>CATEGORY_PANGORO</v>
      </c>
      <c r="B695" s="3" t="s">
        <v>11040</v>
      </c>
      <c r="C695" s="3" t="s">
        <v>11041</v>
      </c>
      <c r="D695" s="3" t="s">
        <v>11042</v>
      </c>
      <c r="E695" s="3" t="s">
        <v>11043</v>
      </c>
      <c r="F695" s="3" t="s">
        <v>11044</v>
      </c>
      <c r="G695" s="3" t="s">
        <v>11045</v>
      </c>
      <c r="H695" s="3" t="s">
        <v>11046</v>
      </c>
      <c r="I695" s="3" t="s">
        <v>11047</v>
      </c>
      <c r="J695" s="5" t="str">
        <f>IFERROR(__xludf.DUMMYFUNCTION("GOOGLETRANSLATE(I695, ""zh_HANT"",""zh_HANS"")"),"恶颜")</f>
        <v>恶颜</v>
      </c>
    </row>
    <row r="696">
      <c r="A696" s="5" t="str">
        <f>CONCATENATE("CATEGORY_",UPPER(Pokemon!B677))</f>
        <v>CATEGORY_FURFROU</v>
      </c>
      <c r="B696" s="3" t="s">
        <v>11048</v>
      </c>
      <c r="C696" s="3" t="s">
        <v>11049</v>
      </c>
      <c r="D696" s="3" t="s">
        <v>11050</v>
      </c>
      <c r="E696" s="3" t="s">
        <v>11051</v>
      </c>
      <c r="F696" s="5" t="str">
        <f>D696</f>
        <v>Caniche</v>
      </c>
      <c r="G696" s="3" t="s">
        <v>11052</v>
      </c>
      <c r="H696" s="3" t="s">
        <v>11053</v>
      </c>
      <c r="I696" s="3" t="s">
        <v>11054</v>
      </c>
      <c r="J696" s="5" t="str">
        <f>IFERROR(__xludf.DUMMYFUNCTION("GOOGLETRANSLATE(I696, ""zh_HANT"",""zh_HANS"")"),"贵宾犬")</f>
        <v>贵宾犬</v>
      </c>
    </row>
    <row r="697">
      <c r="A697" s="5" t="str">
        <f>CONCATENATE("CATEGORY_",UPPER(Pokemon!B678))</f>
        <v>CATEGORY_ESPURR</v>
      </c>
      <c r="B697" s="3" t="s">
        <v>11055</v>
      </c>
      <c r="C697" s="3" t="s">
        <v>11056</v>
      </c>
      <c r="D697" s="3" t="s">
        <v>11057</v>
      </c>
      <c r="E697" s="3" t="s">
        <v>11058</v>
      </c>
      <c r="F697" s="3" t="s">
        <v>11059</v>
      </c>
      <c r="G697" s="3" t="s">
        <v>11060</v>
      </c>
      <c r="H697" s="3" t="s">
        <v>11061</v>
      </c>
      <c r="I697" s="3" t="s">
        <v>11062</v>
      </c>
      <c r="J697" s="5" t="str">
        <f t="shared" ref="J697:J698" si="246">I697</f>
        <v>自制</v>
      </c>
    </row>
    <row r="698">
      <c r="A698" s="5" t="str">
        <f>CONCATENATE("CATEGORY_",UPPER(Pokemon!B679))</f>
        <v>CATEGORY_MEOWSTIC</v>
      </c>
      <c r="B698" s="3" t="s">
        <v>11063</v>
      </c>
      <c r="C698" s="3" t="s">
        <v>11064</v>
      </c>
      <c r="D698" s="3" t="s">
        <v>11065</v>
      </c>
      <c r="E698" s="3" t="s">
        <v>11066</v>
      </c>
      <c r="F698" s="3" t="s">
        <v>11067</v>
      </c>
      <c r="G698" s="3" t="s">
        <v>11068</v>
      </c>
      <c r="H698" s="3" t="s">
        <v>11069</v>
      </c>
      <c r="I698" s="3" t="s">
        <v>11070</v>
      </c>
      <c r="J698" s="5" t="str">
        <f t="shared" si="246"/>
        <v>抑制</v>
      </c>
    </row>
    <row r="699">
      <c r="A699" s="5" t="str">
        <f>CONCATENATE("CATEGORY_",UPPER(Pokemon!B680))</f>
        <v>CATEGORY_HONEDGE</v>
      </c>
      <c r="B699" s="3" t="s">
        <v>11071</v>
      </c>
      <c r="C699" s="3" t="s">
        <v>11072</v>
      </c>
      <c r="D699" s="3" t="s">
        <v>11073</v>
      </c>
      <c r="E699" s="3" t="s">
        <v>11074</v>
      </c>
      <c r="F699" s="3" t="s">
        <v>11075</v>
      </c>
      <c r="G699" s="3" t="s">
        <v>11076</v>
      </c>
      <c r="H699" s="3" t="s">
        <v>11077</v>
      </c>
      <c r="I699" s="3" t="s">
        <v>11078</v>
      </c>
      <c r="J699" s="5" t="str">
        <f>IFERROR(__xludf.DUMMYFUNCTION("GOOGLETRANSLATE(I699, ""zh_HANT"",""zh_HANS"")"),"刀剑")</f>
        <v>刀剑</v>
      </c>
    </row>
    <row r="700">
      <c r="A700" s="5" t="str">
        <f>CONCATENATE("CATEGORY_",UPPER(Pokemon!B681))</f>
        <v>CATEGORY_DOUBLADE</v>
      </c>
      <c r="B700" s="5" t="str">
        <f t="shared" ref="B700:J700" si="247">B699</f>
        <v>Sword</v>
      </c>
      <c r="C700" s="5" t="str">
        <f t="shared" si="247"/>
        <v>とうけん</v>
      </c>
      <c r="D700" s="5" t="str">
        <f t="shared" si="247"/>
        <v>Glaive</v>
      </c>
      <c r="E700" s="5" t="str">
        <f t="shared" si="247"/>
        <v>Klingenkraft</v>
      </c>
      <c r="F700" s="5" t="str">
        <f t="shared" si="247"/>
        <v>Tizona</v>
      </c>
      <c r="G700" s="5" t="str">
        <f t="shared" si="247"/>
        <v>Armabianca</v>
      </c>
      <c r="H700" s="5" t="str">
        <f t="shared" si="247"/>
        <v>도검</v>
      </c>
      <c r="I700" s="5" t="str">
        <f t="shared" si="247"/>
        <v>刀劍</v>
      </c>
      <c r="J700" s="5" t="str">
        <f t="shared" si="247"/>
        <v>刀剑</v>
      </c>
    </row>
    <row r="701">
      <c r="A701" s="5" t="str">
        <f>CONCATENATE("CATEGORY_",UPPER(Pokemon!B682))</f>
        <v>CATEGORY_AEGISLASH</v>
      </c>
      <c r="B701" s="3" t="s">
        <v>11079</v>
      </c>
      <c r="C701" s="3" t="s">
        <v>11080</v>
      </c>
      <c r="D701" s="3" t="s">
        <v>11081</v>
      </c>
      <c r="E701" s="3" t="s">
        <v>11082</v>
      </c>
      <c r="F701" s="3" t="s">
        <v>11083</v>
      </c>
      <c r="G701" s="3" t="s">
        <v>11084</v>
      </c>
      <c r="H701" s="3" t="s">
        <v>11085</v>
      </c>
      <c r="I701" s="3" t="s">
        <v>11086</v>
      </c>
      <c r="J701" s="5" t="str">
        <f>IFERROR(__xludf.DUMMYFUNCTION("GOOGLETRANSLATE(I701, ""zh_HANT"",""zh_HANS"")"),"王剑")</f>
        <v>王剑</v>
      </c>
    </row>
    <row r="702">
      <c r="A702" s="5" t="str">
        <f>CONCATENATE("CATEGORY_",UPPER(Pokemon!B683))</f>
        <v>CATEGORY_SPRITZEE</v>
      </c>
      <c r="B702" s="3" t="s">
        <v>11087</v>
      </c>
      <c r="C702" s="3" t="s">
        <v>11088</v>
      </c>
      <c r="D702" s="3" t="str">
        <f>B703</f>
        <v>Fragrance</v>
      </c>
      <c r="E702" s="3" t="s">
        <v>11089</v>
      </c>
      <c r="F702" s="3" t="s">
        <v>11090</v>
      </c>
      <c r="G702" s="3" t="s">
        <v>11091</v>
      </c>
      <c r="H702" s="3" t="s">
        <v>11092</v>
      </c>
      <c r="I702" s="3" t="s">
        <v>11093</v>
      </c>
      <c r="J702" s="5" t="str">
        <f t="shared" ref="J702:J705" si="248">I702</f>
        <v>香水</v>
      </c>
    </row>
    <row r="703">
      <c r="A703" s="5" t="str">
        <f>CONCATENATE("CATEGORY_",UPPER(Pokemon!B684))</f>
        <v>CATEGORY_AROMATISSE</v>
      </c>
      <c r="B703" s="3" t="s">
        <v>11094</v>
      </c>
      <c r="C703" s="3" t="s">
        <v>11095</v>
      </c>
      <c r="D703" s="3" t="s">
        <v>11096</v>
      </c>
      <c r="E703" s="3" t="s">
        <v>11097</v>
      </c>
      <c r="F703" s="3" t="s">
        <v>11098</v>
      </c>
      <c r="G703" s="3" t="s">
        <v>11099</v>
      </c>
      <c r="H703" s="3" t="s">
        <v>11100</v>
      </c>
      <c r="I703" s="3" t="s">
        <v>11101</v>
      </c>
      <c r="J703" s="5" t="str">
        <f t="shared" si="248"/>
        <v>芳香</v>
      </c>
    </row>
    <row r="704">
      <c r="A704" s="5" t="str">
        <f>CONCATENATE("CATEGORY_",UPPER(Pokemon!B685))</f>
        <v>CATEGORY_SWIRLIX</v>
      </c>
      <c r="B704" s="3" t="s">
        <v>11102</v>
      </c>
      <c r="C704" s="3" t="s">
        <v>11103</v>
      </c>
      <c r="D704" s="3" t="s">
        <v>11104</v>
      </c>
      <c r="E704" s="3" t="s">
        <v>11105</v>
      </c>
      <c r="F704" s="3" t="s">
        <v>11106</v>
      </c>
      <c r="G704" s="3" t="s">
        <v>11107</v>
      </c>
      <c r="H704" s="3" t="s">
        <v>11108</v>
      </c>
      <c r="I704" s="3" t="s">
        <v>11109</v>
      </c>
      <c r="J704" s="5" t="str">
        <f t="shared" si="248"/>
        <v>棉花糖</v>
      </c>
    </row>
    <row r="705">
      <c r="A705" s="5" t="str">
        <f>CONCATENATE("CATEGORY_",UPPER(Pokemon!B686))</f>
        <v>CATEGORY_SLURPUFF</v>
      </c>
      <c r="B705" s="3" t="s">
        <v>11110</v>
      </c>
      <c r="C705" s="3" t="s">
        <v>11111</v>
      </c>
      <c r="D705" s="3" t="s">
        <v>11112</v>
      </c>
      <c r="E705" s="3" t="s">
        <v>11113</v>
      </c>
      <c r="F705" s="3" t="s">
        <v>11114</v>
      </c>
      <c r="G705" s="3" t="s">
        <v>11115</v>
      </c>
      <c r="H705" s="3" t="s">
        <v>11116</v>
      </c>
      <c r="I705" s="3" t="s">
        <v>11117</v>
      </c>
      <c r="J705" s="5" t="str">
        <f t="shared" si="248"/>
        <v>泡沫奶油</v>
      </c>
    </row>
    <row r="706">
      <c r="A706" s="5" t="str">
        <f>CONCATENATE("CATEGORY_",UPPER(Pokemon!B687))</f>
        <v>CATEGORY_INKAY</v>
      </c>
      <c r="B706" s="3" t="s">
        <v>11118</v>
      </c>
      <c r="C706" s="3" t="s">
        <v>11119</v>
      </c>
      <c r="D706" s="3" t="s">
        <v>11120</v>
      </c>
      <c r="E706" s="5" t="str">
        <f>D706</f>
        <v>Rotation</v>
      </c>
      <c r="F706" s="3" t="s">
        <v>11121</v>
      </c>
      <c r="G706" s="3" t="s">
        <v>11122</v>
      </c>
      <c r="H706" s="3" t="s">
        <v>11123</v>
      </c>
      <c r="I706" s="3" t="s">
        <v>11124</v>
      </c>
      <c r="J706" s="5" t="str">
        <f>IFERROR(__xludf.DUMMYFUNCTION("GOOGLETRANSLATE(I706, ""zh_HANT"",""zh_HANS"")"),"回转")</f>
        <v>回转</v>
      </c>
    </row>
    <row r="707">
      <c r="A707" s="5" t="str">
        <f>CONCATENATE("CATEGORY_",UPPER(Pokemon!B688))</f>
        <v>CATEGORY_MALAMAR</v>
      </c>
      <c r="B707" s="3" t="s">
        <v>11125</v>
      </c>
      <c r="C707" s="3" t="s">
        <v>11126</v>
      </c>
      <c r="D707" s="3" t="s">
        <v>11127</v>
      </c>
      <c r="E707" s="3" t="s">
        <v>11128</v>
      </c>
      <c r="F707" s="3" t="s">
        <v>11129</v>
      </c>
      <c r="G707" s="3" t="s">
        <v>11130</v>
      </c>
      <c r="H707" s="3" t="s">
        <v>11131</v>
      </c>
      <c r="I707" s="3" t="s">
        <v>11132</v>
      </c>
      <c r="J707" s="5" t="str">
        <f>IFERROR(__xludf.DUMMYFUNCTION("GOOGLETRANSLATE(I707, ""zh_HANT"",""zh_HANS"")"),"倒转")</f>
        <v>倒转</v>
      </c>
    </row>
    <row r="708">
      <c r="A708" s="5" t="str">
        <f>CONCATENATE("CATEGORY_",UPPER(Pokemon!B689))</f>
        <v>CATEGORY_BINACLE</v>
      </c>
      <c r="B708" s="3" t="s">
        <v>11133</v>
      </c>
      <c r="C708" s="3" t="s">
        <v>11134</v>
      </c>
      <c r="D708" s="3" t="s">
        <v>11135</v>
      </c>
      <c r="E708" s="3" t="s">
        <v>11136</v>
      </c>
      <c r="F708" s="3" t="s">
        <v>11137</v>
      </c>
      <c r="G708" s="3" t="s">
        <v>11138</v>
      </c>
      <c r="H708" s="3" t="s">
        <v>11139</v>
      </c>
      <c r="I708" s="3" t="s">
        <v>11140</v>
      </c>
      <c r="J708" s="5" t="str">
        <f>IFERROR(__xludf.DUMMYFUNCTION("GOOGLETRANSLATE(I708, ""zh_HANT"",""zh_HANS"")"),"双手")</f>
        <v>双手</v>
      </c>
    </row>
    <row r="709">
      <c r="A709" s="5" t="str">
        <f>CONCATENATE("CATEGORY_",UPPER(Pokemon!B690))</f>
        <v>CATEGORY_BARBARACLE</v>
      </c>
      <c r="B709" s="3" t="s">
        <v>11141</v>
      </c>
      <c r="C709" s="3" t="s">
        <v>11142</v>
      </c>
      <c r="D709" s="3" t="s">
        <v>11143</v>
      </c>
      <c r="E709" s="3" t="s">
        <v>11144</v>
      </c>
      <c r="F709" s="3" t="s">
        <v>11145</v>
      </c>
      <c r="G709" s="3" t="s">
        <v>11146</v>
      </c>
      <c r="H709" s="3" t="s">
        <v>11147</v>
      </c>
      <c r="I709" s="3" t="s">
        <v>11148</v>
      </c>
      <c r="J709" s="5" t="str">
        <f t="shared" ref="J709:J710" si="249">I709</f>
        <v>集合</v>
      </c>
    </row>
    <row r="710">
      <c r="A710" s="5" t="str">
        <f>CONCATENATE("CATEGORY_",UPPER(Pokemon!B691))</f>
        <v>CATEGORY_SKRELP</v>
      </c>
      <c r="B710" s="3" t="s">
        <v>11149</v>
      </c>
      <c r="C710" s="3" t="s">
        <v>11150</v>
      </c>
      <c r="D710" s="3" t="s">
        <v>11151</v>
      </c>
      <c r="E710" s="3" t="s">
        <v>11152</v>
      </c>
      <c r="F710" s="3" t="s">
        <v>11153</v>
      </c>
      <c r="G710" s="3" t="s">
        <v>11154</v>
      </c>
      <c r="H710" s="3" t="s">
        <v>11155</v>
      </c>
      <c r="I710" s="3" t="s">
        <v>11156</v>
      </c>
      <c r="J710" s="5" t="str">
        <f t="shared" si="249"/>
        <v>似草</v>
      </c>
    </row>
    <row r="711">
      <c r="A711" s="5" t="str">
        <f>CONCATENATE("CATEGORY_",UPPER(Pokemon!B692))</f>
        <v>CATEGORY_DRAGALGE</v>
      </c>
      <c r="B711" s="5" t="str">
        <f t="shared" ref="B711:J711" si="250">B710</f>
        <v>Mock Kelp</v>
      </c>
      <c r="C711" s="5" t="str">
        <f t="shared" si="250"/>
        <v>クサモドキ</v>
      </c>
      <c r="D711" s="5" t="str">
        <f t="shared" si="250"/>
        <v>Simulalgue</v>
      </c>
      <c r="E711" s="5" t="str">
        <f t="shared" si="250"/>
        <v>Tangmimikry</v>
      </c>
      <c r="F711" s="5" t="str">
        <f t="shared" si="250"/>
        <v>Psudoalga</v>
      </c>
      <c r="G711" s="5" t="str">
        <f t="shared" si="250"/>
        <v>Similalga</v>
      </c>
      <c r="H711" s="5" t="str">
        <f t="shared" si="250"/>
        <v>풀모방</v>
      </c>
      <c r="I711" s="5" t="str">
        <f t="shared" si="250"/>
        <v>似草</v>
      </c>
      <c r="J711" s="5" t="str">
        <f t="shared" si="250"/>
        <v>似草</v>
      </c>
    </row>
    <row r="712">
      <c r="A712" s="5" t="str">
        <f>CONCATENATE("CATEGORY_",UPPER(Pokemon!B693))</f>
        <v>CATEGORY_CLAUNCHER</v>
      </c>
      <c r="B712" s="5" t="str">
        <f>Moves!B56</f>
        <v>Water Gun</v>
      </c>
      <c r="C712" s="5" t="str">
        <f>Moves!C56</f>
        <v>みずでっぽう</v>
      </c>
      <c r="D712" s="3" t="s">
        <v>11157</v>
      </c>
      <c r="E712" s="3" t="s">
        <v>11158</v>
      </c>
      <c r="F712" s="3" t="s">
        <v>11159</v>
      </c>
      <c r="G712" s="3" t="s">
        <v>11160</v>
      </c>
      <c r="H712" s="5" t="str">
        <f>Moves!H56</f>
        <v>물대포</v>
      </c>
      <c r="I712" s="5" t="str">
        <f>Moves!I56</f>
        <v>水槍</v>
      </c>
      <c r="J712" s="5" t="str">
        <f>Moves!J56</f>
        <v>水枪</v>
      </c>
    </row>
    <row r="713">
      <c r="A713" s="5" t="str">
        <f>CONCATENATE("CATEGORY_",UPPER(Pokemon!B694))</f>
        <v>CATEGORY_CLAWITZER</v>
      </c>
      <c r="B713" s="3" t="s">
        <v>11161</v>
      </c>
      <c r="C713" s="3" t="s">
        <v>11162</v>
      </c>
      <c r="D713" s="3" t="s">
        <v>11163</v>
      </c>
      <c r="E713" s="3" t="s">
        <v>11164</v>
      </c>
      <c r="F713" s="3" t="s">
        <v>11165</v>
      </c>
      <c r="G713" s="3" t="s">
        <v>11166</v>
      </c>
      <c r="H713" s="3" t="s">
        <v>11167</v>
      </c>
      <c r="I713" s="3" t="s">
        <v>11168</v>
      </c>
      <c r="J713" s="5" t="str">
        <f>IFERROR(__xludf.DUMMYFUNCTION("GOOGLETRANSLATE(I713, ""zh_HANT"",""zh_HANS"")"),"发射器")</f>
        <v>发射器</v>
      </c>
    </row>
    <row r="714">
      <c r="A714" s="5" t="str">
        <f>CONCATENATE("CATEGORY_",UPPER(Pokemon!B695))</f>
        <v>CATEGORY_HELIOPTILE</v>
      </c>
      <c r="B714" s="3" t="s">
        <v>11169</v>
      </c>
      <c r="C714" s="3" t="s">
        <v>11170</v>
      </c>
      <c r="D714" s="3" t="s">
        <v>11171</v>
      </c>
      <c r="E714" s="5" t="str">
        <f>B714</f>
        <v>Generator</v>
      </c>
      <c r="F714" s="3" t="s">
        <v>11172</v>
      </c>
      <c r="G714" s="5" t="str">
        <f>CONCATENATE(B714,"e")</f>
        <v>Generatore</v>
      </c>
      <c r="H714" s="3" t="s">
        <v>11173</v>
      </c>
      <c r="I714" s="3" t="s">
        <v>11174</v>
      </c>
      <c r="J714" s="5" t="str">
        <f>IFERROR(__xludf.DUMMYFUNCTION("GOOGLETRANSLATE(I714, ""zh_HANT"",""zh_HANS"")"),"发电")</f>
        <v>发电</v>
      </c>
    </row>
    <row r="715">
      <c r="A715" s="5" t="str">
        <f>CONCATENATE("CATEGORY_",UPPER(Pokemon!B696))</f>
        <v>CATEGORY_HELIOLISK</v>
      </c>
      <c r="B715" s="5" t="str">
        <f t="shared" ref="B715:J715" si="251">B714</f>
        <v>Generator</v>
      </c>
      <c r="C715" s="5" t="str">
        <f t="shared" si="251"/>
        <v>はつでん</v>
      </c>
      <c r="D715" s="5" t="str">
        <f t="shared" si="251"/>
        <v>Générateur</v>
      </c>
      <c r="E715" s="5" t="str">
        <f t="shared" si="251"/>
        <v>Generator</v>
      </c>
      <c r="F715" s="5" t="str">
        <f t="shared" si="251"/>
        <v>Generador</v>
      </c>
      <c r="G715" s="5" t="str">
        <f t="shared" si="251"/>
        <v>Generatore</v>
      </c>
      <c r="H715" s="5" t="str">
        <f t="shared" si="251"/>
        <v>발전</v>
      </c>
      <c r="I715" s="5" t="str">
        <f t="shared" si="251"/>
        <v>發電</v>
      </c>
      <c r="J715" s="5" t="str">
        <f t="shared" si="251"/>
        <v>发电</v>
      </c>
    </row>
    <row r="716">
      <c r="A716" s="5" t="str">
        <f>CONCATENATE("CATEGORY_",UPPER(Pokemon!B697))</f>
        <v>CATEGORY_TYRUNT</v>
      </c>
      <c r="B716" s="3" t="s">
        <v>11175</v>
      </c>
      <c r="C716" s="3" t="s">
        <v>11176</v>
      </c>
      <c r="D716" s="3" t="s">
        <v>11177</v>
      </c>
      <c r="E716" s="3" t="s">
        <v>11178</v>
      </c>
      <c r="F716" s="3" t="s">
        <v>11179</v>
      </c>
      <c r="G716" s="3" t="s">
        <v>11180</v>
      </c>
      <c r="H716" s="3" t="s">
        <v>11181</v>
      </c>
      <c r="I716" s="3" t="s">
        <v>11182</v>
      </c>
      <c r="J716" s="5" t="str">
        <f t="shared" ref="J716:J717" si="252">I716</f>
        <v>幼君</v>
      </c>
    </row>
    <row r="717">
      <c r="A717" s="5" t="str">
        <f>CONCATENATE("CATEGORY_",UPPER(Pokemon!B698))</f>
        <v>CATEGORY_TYRANTRUM</v>
      </c>
      <c r="B717" s="3" t="s">
        <v>11183</v>
      </c>
      <c r="C717" s="3" t="s">
        <v>11184</v>
      </c>
      <c r="D717" s="3" t="s">
        <v>11185</v>
      </c>
      <c r="E717" s="5" t="str">
        <f>CONCATENATE(D717,"n")</f>
        <v>Tyrann</v>
      </c>
      <c r="F717" s="3" t="s">
        <v>11186</v>
      </c>
      <c r="G717" s="3" t="s">
        <v>11187</v>
      </c>
      <c r="H717" s="3" t="s">
        <v>11188</v>
      </c>
      <c r="I717" s="3" t="s">
        <v>11189</v>
      </c>
      <c r="J717" s="5" t="str">
        <f t="shared" si="252"/>
        <v>暴君</v>
      </c>
    </row>
    <row r="718">
      <c r="A718" s="5" t="str">
        <f>CONCATENATE("CATEGORY_",UPPER(Pokemon!B699))</f>
        <v>CATEGORY_AMAURA</v>
      </c>
      <c r="B718" s="3" t="s">
        <v>11190</v>
      </c>
      <c r="C718" s="3" t="s">
        <v>11191</v>
      </c>
      <c r="D718" s="3" t="s">
        <v>11192</v>
      </c>
      <c r="E718" s="5" t="str">
        <f>B718</f>
        <v>Tundra</v>
      </c>
      <c r="F718" s="5" t="str">
        <f>B718</f>
        <v>Tundra</v>
      </c>
      <c r="G718" s="5" t="str">
        <f>B718</f>
        <v>Tundra</v>
      </c>
      <c r="H718" s="3" t="s">
        <v>11193</v>
      </c>
      <c r="I718" s="3" t="s">
        <v>11194</v>
      </c>
      <c r="J718" s="5" t="str">
        <f>IFERROR(__xludf.DUMMYFUNCTION("GOOGLETRANSLATE(I718, ""zh_HANT"",""zh_HANS"")"),"冻原")</f>
        <v>冻原</v>
      </c>
    </row>
    <row r="719">
      <c r="A719" s="5" t="str">
        <f>CONCATENATE("CATEGORY_",UPPER(Pokemon!B700))</f>
        <v>CATEGORY_AURORUS</v>
      </c>
      <c r="B719" s="5" t="str">
        <f t="shared" ref="B719:J719" si="253">B718</f>
        <v>Tundra</v>
      </c>
      <c r="C719" s="5" t="str">
        <f t="shared" si="253"/>
        <v>ツンドラ</v>
      </c>
      <c r="D719" s="5" t="str">
        <f t="shared" si="253"/>
        <v>Toundra</v>
      </c>
      <c r="E719" s="5" t="str">
        <f t="shared" si="253"/>
        <v>Tundra</v>
      </c>
      <c r="F719" s="5" t="str">
        <f t="shared" si="253"/>
        <v>Tundra</v>
      </c>
      <c r="G719" s="5" t="str">
        <f t="shared" si="253"/>
        <v>Tundra</v>
      </c>
      <c r="H719" s="5" t="str">
        <f t="shared" si="253"/>
        <v>툰드라</v>
      </c>
      <c r="I719" s="5" t="str">
        <f t="shared" si="253"/>
        <v>凍原</v>
      </c>
      <c r="J719" s="5" t="str">
        <f t="shared" si="253"/>
        <v>冻原</v>
      </c>
    </row>
    <row r="720">
      <c r="A720" s="5" t="str">
        <f>CONCATENATE("CATEGORY_",UPPER(Pokemon!B701))</f>
        <v>CATEGORY_SYLVEON</v>
      </c>
      <c r="B720" s="3" t="s">
        <v>11195</v>
      </c>
      <c r="C720" s="3" t="s">
        <v>11196</v>
      </c>
      <c r="D720" s="3" t="s">
        <v>11197</v>
      </c>
      <c r="E720" s="3" t="s">
        <v>11198</v>
      </c>
      <c r="F720" s="3" t="s">
        <v>11199</v>
      </c>
      <c r="G720" s="3" t="s">
        <v>11200</v>
      </c>
      <c r="H720" s="3" t="s">
        <v>11201</v>
      </c>
      <c r="I720" s="3" t="s">
        <v>11202</v>
      </c>
      <c r="J720" s="5" t="str">
        <f>IFERROR(__xludf.DUMMYFUNCTION("GOOGLETRANSLATE(I720, ""zh_HANT"",""zh_HANS"")"),"连结")</f>
        <v>连结</v>
      </c>
    </row>
    <row r="721">
      <c r="A721" s="5" t="str">
        <f>CONCATENATE("CATEGORY_",UPPER(Pokemon!B702))</f>
        <v>CATEGORY_HAWLUCHA</v>
      </c>
      <c r="B721" s="3" t="s">
        <v>11203</v>
      </c>
      <c r="C721" s="3" t="s">
        <v>11204</v>
      </c>
      <c r="D721" s="3" t="s">
        <v>11205</v>
      </c>
      <c r="E721" s="5" t="str">
        <f>B721</f>
        <v>Wrestling</v>
      </c>
      <c r="F721" s="3" t="s">
        <v>11206</v>
      </c>
      <c r="G721" s="3" t="s">
        <v>11207</v>
      </c>
      <c r="H721" s="3" t="s">
        <v>11208</v>
      </c>
      <c r="I721" s="3" t="s">
        <v>11209</v>
      </c>
      <c r="J721" s="5" t="str">
        <f>I721</f>
        <v>摔角</v>
      </c>
    </row>
    <row r="722">
      <c r="A722" s="5" t="str">
        <f>CONCATENATE("CATEGORY_",UPPER(Pokemon!B703))</f>
        <v>CATEGORY_DEDENNE</v>
      </c>
      <c r="B722" s="3" t="s">
        <v>11210</v>
      </c>
      <c r="C722" s="3" t="s">
        <v>11211</v>
      </c>
      <c r="D722" s="3" t="s">
        <v>11212</v>
      </c>
      <c r="E722" s="5" t="str">
        <f>CONCATENATE(D722,"n")</f>
        <v>Antennen</v>
      </c>
      <c r="F722" s="3" t="s">
        <v>11213</v>
      </c>
      <c r="G722" s="5" t="str">
        <f>B722</f>
        <v>Antenna</v>
      </c>
      <c r="H722" s="3" t="s">
        <v>11214</v>
      </c>
      <c r="I722" s="3" t="s">
        <v>11215</v>
      </c>
      <c r="J722" s="5" t="str">
        <f>IFERROR(__xludf.DUMMYFUNCTION("GOOGLETRANSLATE(I722, ""zh_HANT"",""zh_HANS"")"),"天线")</f>
        <v>天线</v>
      </c>
    </row>
    <row r="723">
      <c r="A723" s="5" t="str">
        <f>CONCATENATE("CATEGORY_",UPPER(Pokemon!B704))</f>
        <v>CATEGORY_CARBINK</v>
      </c>
      <c r="B723" s="3" t="s">
        <v>11216</v>
      </c>
      <c r="C723" s="3" t="s">
        <v>11217</v>
      </c>
      <c r="D723" s="3" t="s">
        <v>11218</v>
      </c>
      <c r="E723" s="3" t="s">
        <v>11219</v>
      </c>
      <c r="F723" s="3" t="s">
        <v>11220</v>
      </c>
      <c r="G723" s="3" t="s">
        <v>11221</v>
      </c>
      <c r="H723" s="3" t="s">
        <v>11222</v>
      </c>
      <c r="I723" s="3" t="s">
        <v>11223</v>
      </c>
      <c r="J723" s="5" t="str">
        <f>IFERROR(__xludf.DUMMYFUNCTION("GOOGLETRANSLATE(I723, ""zh_HANT"",""zh_HANS"")"),"宝石")</f>
        <v>宝石</v>
      </c>
    </row>
    <row r="724">
      <c r="A724" s="5" t="str">
        <f>CONCATENATE("CATEGORY_",UPPER(Pokemon!B705))</f>
        <v>CATEGORY_GOOMY</v>
      </c>
      <c r="B724" s="3" t="s">
        <v>11224</v>
      </c>
      <c r="C724" s="3" t="s">
        <v>11225</v>
      </c>
      <c r="D724" s="3" t="s">
        <v>7642</v>
      </c>
      <c r="E724" s="3" t="s">
        <v>11226</v>
      </c>
      <c r="F724" s="3" t="s">
        <v>11227</v>
      </c>
      <c r="G724" s="3" t="s">
        <v>11228</v>
      </c>
      <c r="H724" s="3" t="s">
        <v>11229</v>
      </c>
      <c r="I724" s="3" t="s">
        <v>11230</v>
      </c>
      <c r="J724" s="5" t="str">
        <f>IFERROR(__xludf.DUMMYFUNCTION("GOOGLETRANSLATE(I724, ""zh_HANT"",""zh_HANS"")"),"软体生物")</f>
        <v>软体生物</v>
      </c>
    </row>
    <row r="725">
      <c r="A725" s="5" t="str">
        <f>CONCATENATE("CATEGORY_",UPPER(Pokemon!B706))</f>
        <v>CATEGORY_SLIGGOO</v>
      </c>
      <c r="B725" s="5" t="str">
        <f t="shared" ref="B725:J725" si="254">B724</f>
        <v>Soft Tissue</v>
      </c>
      <c r="C725" s="5" t="str">
        <f t="shared" si="254"/>
        <v>なんたい</v>
      </c>
      <c r="D725" s="5" t="str">
        <f t="shared" si="254"/>
        <v>Mollusque</v>
      </c>
      <c r="E725" s="5" t="str">
        <f t="shared" si="254"/>
        <v>Schneckedei</v>
      </c>
      <c r="F725" s="5" t="str">
        <f t="shared" si="254"/>
        <v>Molusco</v>
      </c>
      <c r="G725" s="5" t="str">
        <f t="shared" si="254"/>
        <v>Mollusco</v>
      </c>
      <c r="H725" s="5" t="str">
        <f t="shared" si="254"/>
        <v>연체</v>
      </c>
      <c r="I725" s="5" t="str">
        <f t="shared" si="254"/>
        <v>軟體生物</v>
      </c>
      <c r="J725" s="5" t="str">
        <f t="shared" si="254"/>
        <v>软体生物</v>
      </c>
    </row>
    <row r="726">
      <c r="A726" s="5" t="str">
        <f>CONCATENATE(A725,"-H")</f>
        <v>CATEGORY_SLIGGOO-H</v>
      </c>
      <c r="B726" s="5" t="str">
        <f t="shared" ref="B726:J726" si="255">B635</f>
        <v>Snail</v>
      </c>
      <c r="C726" s="5" t="str">
        <f t="shared" si="255"/>
        <v>マイマイ</v>
      </c>
      <c r="D726" s="5" t="str">
        <f t="shared" si="255"/>
        <v>Escargot</v>
      </c>
      <c r="E726" s="5" t="str">
        <f t="shared" si="255"/>
        <v>Schnecke</v>
      </c>
      <c r="F726" s="5" t="str">
        <f t="shared" si="255"/>
        <v>Caracol</v>
      </c>
      <c r="G726" s="5" t="str">
        <f t="shared" si="255"/>
        <v>Lumachina</v>
      </c>
      <c r="H726" s="5" t="str">
        <f t="shared" si="255"/>
        <v>달팽이</v>
      </c>
      <c r="I726" s="5" t="str">
        <f t="shared" si="255"/>
        <v>蝸牛</v>
      </c>
      <c r="J726" s="5" t="str">
        <f t="shared" si="255"/>
        <v>蜗牛</v>
      </c>
    </row>
    <row r="727">
      <c r="A727" s="5" t="str">
        <f>CONCATENATE("CATEGORY_",UPPER(Pokemon!B707))</f>
        <v>CATEGORY_GOODRA</v>
      </c>
      <c r="B727" s="5" t="str">
        <f t="shared" ref="B727:K727" si="256">B122</f>
        <v>Dragon</v>
      </c>
      <c r="C727" s="5" t="str">
        <f t="shared" si="256"/>
        <v>ドラゴン</v>
      </c>
      <c r="D727" s="5" t="str">
        <f t="shared" si="256"/>
        <v>Dragon</v>
      </c>
      <c r="E727" s="5" t="str">
        <f t="shared" si="256"/>
        <v>Drache</v>
      </c>
      <c r="F727" s="5" t="str">
        <f t="shared" si="256"/>
        <v>Dragón</v>
      </c>
      <c r="G727" s="5" t="str">
        <f t="shared" si="256"/>
        <v>Drago</v>
      </c>
      <c r="H727" s="5" t="str">
        <f t="shared" si="256"/>
        <v>드개곤</v>
      </c>
      <c r="I727" s="5" t="str">
        <f t="shared" si="256"/>
        <v>龍</v>
      </c>
      <c r="J727" s="5" t="str">
        <f t="shared" si="256"/>
        <v>龙</v>
      </c>
      <c r="K727" s="5" t="str">
        <f t="shared" si="256"/>
        <v/>
      </c>
    </row>
    <row r="728">
      <c r="A728" s="5" t="str">
        <f>CONCATENATE(A727,"-H")</f>
        <v>CATEGORY_GOODRA-H</v>
      </c>
      <c r="B728" s="3" t="s">
        <v>11231</v>
      </c>
      <c r="C728" s="3" t="s">
        <v>11232</v>
      </c>
      <c r="D728" s="3" t="s">
        <v>11233</v>
      </c>
      <c r="E728" s="3" t="s">
        <v>11234</v>
      </c>
      <c r="F728" s="3" t="s">
        <v>11235</v>
      </c>
      <c r="G728" s="3" t="s">
        <v>11236</v>
      </c>
      <c r="H728" s="3" t="s">
        <v>11237</v>
      </c>
      <c r="I728" s="5" t="str">
        <f>IFERROR(__xludf.DUMMYFUNCTION("GOOGLETRANSLATE(J728,""zh_HANS"",""zh_HANT"")"),"窩殼")</f>
        <v>窩殼</v>
      </c>
      <c r="J728" s="7" t="s">
        <v>11238</v>
      </c>
    </row>
    <row r="729">
      <c r="A729" s="5" t="str">
        <f>CONCATENATE("CATEGORY_",UPPER(Pokemon!B708))</f>
        <v>CATEGORY_KLEFKI</v>
      </c>
      <c r="B729" s="3" t="s">
        <v>11239</v>
      </c>
      <c r="C729" s="3" t="s">
        <v>11240</v>
      </c>
      <c r="D729" s="3" t="s">
        <v>11241</v>
      </c>
      <c r="E729" s="3" t="s">
        <v>11242</v>
      </c>
      <c r="F729" s="3" t="s">
        <v>11243</v>
      </c>
      <c r="G729" s="3" t="s">
        <v>11244</v>
      </c>
      <c r="H729" s="3" t="s">
        <v>11245</v>
      </c>
      <c r="I729" s="3" t="s">
        <v>11246</v>
      </c>
      <c r="J729" s="5" t="str">
        <f>IFERROR(__xludf.DUMMYFUNCTION("GOOGLETRANSLATE(I729, ""zh_HANT"",""zh_HANS"")"),"钥匙串")</f>
        <v>钥匙串</v>
      </c>
    </row>
    <row r="730">
      <c r="A730" s="5" t="str">
        <f>CONCATENATE("CATEGORY_",UPPER(Pokemon!B709))</f>
        <v>CATEGORY_PHANTUMP</v>
      </c>
      <c r="B730" s="3" t="s">
        <v>11247</v>
      </c>
      <c r="C730" s="3" t="s">
        <v>11248</v>
      </c>
      <c r="D730" s="3" t="s">
        <v>11249</v>
      </c>
      <c r="E730" s="3" t="s">
        <v>11250</v>
      </c>
      <c r="F730" s="3" t="s">
        <v>11251</v>
      </c>
      <c r="G730" s="3" t="s">
        <v>11252</v>
      </c>
      <c r="H730" s="3" t="s">
        <v>11253</v>
      </c>
      <c r="I730" s="3" t="s">
        <v>11254</v>
      </c>
      <c r="J730" s="5" t="str">
        <f>IFERROR(__xludf.DUMMYFUNCTION("GOOGLETRANSLATE(I730, ""zh_HANT"",""zh_HANS"")"),"树桩")</f>
        <v>树桩</v>
      </c>
    </row>
    <row r="731">
      <c r="A731" s="5" t="str">
        <f>CONCATENATE("CATEGORY_",UPPER(Pokemon!B710))</f>
        <v>CATEGORY_TREVENANT</v>
      </c>
      <c r="B731" s="3" t="s">
        <v>11255</v>
      </c>
      <c r="C731" s="3" t="s">
        <v>11256</v>
      </c>
      <c r="D731" s="3" t="s">
        <v>11257</v>
      </c>
      <c r="E731" s="3" t="s">
        <v>11258</v>
      </c>
      <c r="F731" s="3" t="s">
        <v>11259</v>
      </c>
      <c r="G731" s="3" t="s">
        <v>11260</v>
      </c>
      <c r="H731" s="3" t="s">
        <v>11261</v>
      </c>
      <c r="I731" s="3" t="s">
        <v>11262</v>
      </c>
      <c r="J731" s="5" t="str">
        <f>IFERROR(__xludf.DUMMYFUNCTION("GOOGLETRANSLATE(I731, ""zh_HANT"",""zh_HANS"")"),"老树")</f>
        <v>老树</v>
      </c>
    </row>
    <row r="732">
      <c r="A732" s="5" t="str">
        <f>CONCATENATE("CATEGORY_",UPPER(Pokemon!B711))</f>
        <v>CATEGORY_PUMPKABOO</v>
      </c>
      <c r="B732" s="3" t="s">
        <v>11263</v>
      </c>
      <c r="C732" s="3" t="s">
        <v>11264</v>
      </c>
      <c r="D732" s="3" t="s">
        <v>11265</v>
      </c>
      <c r="E732" s="3" t="s">
        <v>11266</v>
      </c>
      <c r="F732" s="3" t="s">
        <v>11267</v>
      </c>
      <c r="G732" s="3" t="s">
        <v>11268</v>
      </c>
      <c r="H732" s="3" t="s">
        <v>11269</v>
      </c>
      <c r="I732" s="3" t="s">
        <v>11270</v>
      </c>
      <c r="J732" s="5" t="str">
        <f>I732</f>
        <v>南瓜</v>
      </c>
    </row>
    <row r="733">
      <c r="A733" s="5" t="str">
        <f>CONCATENATE("CATEGORY_",UPPER(Pokemon!B712))</f>
        <v>CATEGORY_GOURGEIST</v>
      </c>
      <c r="B733" s="5" t="str">
        <f t="shared" ref="B733:J733" si="257">B732</f>
        <v>Pumpkin</v>
      </c>
      <c r="C733" s="5" t="str">
        <f t="shared" si="257"/>
        <v>かぼちゃ</v>
      </c>
      <c r="D733" s="5" t="str">
        <f t="shared" si="257"/>
        <v>Citrouille</v>
      </c>
      <c r="E733" s="5" t="str">
        <f t="shared" si="257"/>
        <v>Kürbis</v>
      </c>
      <c r="F733" s="5" t="str">
        <f t="shared" si="257"/>
        <v>Calabaza</v>
      </c>
      <c r="G733" s="5" t="str">
        <f t="shared" si="257"/>
        <v>Zucca</v>
      </c>
      <c r="H733" s="5" t="str">
        <f t="shared" si="257"/>
        <v>호박</v>
      </c>
      <c r="I733" s="5" t="str">
        <f t="shared" si="257"/>
        <v>南瓜</v>
      </c>
      <c r="J733" s="5" t="str">
        <f t="shared" si="257"/>
        <v>南瓜</v>
      </c>
    </row>
    <row r="734">
      <c r="A734" s="5" t="str">
        <f>CONCATENATE("CATEGORY_",UPPER(Pokemon!B713))</f>
        <v>CATEGORY_BERGMITE</v>
      </c>
      <c r="B734" s="3" t="s">
        <v>11271</v>
      </c>
      <c r="C734" s="3" t="s">
        <v>11272</v>
      </c>
      <c r="D734" s="3" t="s">
        <v>11273</v>
      </c>
      <c r="E734" s="3" t="s">
        <v>11274</v>
      </c>
      <c r="F734" s="3" t="s">
        <v>11275</v>
      </c>
      <c r="G734" s="3" t="s">
        <v>11276</v>
      </c>
      <c r="H734" s="3" t="s">
        <v>11277</v>
      </c>
      <c r="I734" s="3" t="s">
        <v>11278</v>
      </c>
      <c r="J734" s="5" t="str">
        <f>IFERROR(__xludf.DUMMYFUNCTION("GOOGLETRANSLATE(I734, ""zh_HANT"",""zh_HANS"")"),"冰块")</f>
        <v>冰块</v>
      </c>
    </row>
    <row r="735">
      <c r="A735" s="5" t="str">
        <f>CONCATENATE("CATEGORY_",UPPER(Pokemon!B714))</f>
        <v>CATEGORY_AVALUGG</v>
      </c>
      <c r="B735" s="5" t="str">
        <f t="shared" ref="B735:J735" si="258">B391</f>
        <v>Iceberg</v>
      </c>
      <c r="C735" s="5" t="str">
        <f t="shared" si="258"/>
        <v>ひょうざん</v>
      </c>
      <c r="D735" s="5" t="str">
        <f t="shared" si="258"/>
        <v>Iceberg</v>
      </c>
      <c r="E735" s="5" t="str">
        <f t="shared" si="258"/>
        <v>Eisberg</v>
      </c>
      <c r="F735" s="5" t="str">
        <f t="shared" si="258"/>
        <v>Iceberg</v>
      </c>
      <c r="G735" s="5" t="str">
        <f t="shared" si="258"/>
        <v>Iceberg</v>
      </c>
      <c r="H735" s="5" t="str">
        <f t="shared" si="258"/>
        <v>빙산</v>
      </c>
      <c r="I735" s="5" t="str">
        <f t="shared" si="258"/>
        <v>冰山</v>
      </c>
      <c r="J735" s="5" t="str">
        <f t="shared" si="258"/>
        <v>冰山</v>
      </c>
      <c r="K735" s="5" t="str">
        <f>K390</f>
        <v/>
      </c>
    </row>
    <row r="736">
      <c r="A736" s="5" t="str">
        <f>CONCATENATE("CATEGORY_",UPPER(Pokemon!B715))</f>
        <v>CATEGORY_NOIBAT</v>
      </c>
      <c r="B736" s="3" t="s">
        <v>11279</v>
      </c>
      <c r="C736" s="3" t="s">
        <v>11280</v>
      </c>
      <c r="D736" s="3" t="s">
        <v>11281</v>
      </c>
      <c r="E736" s="3" t="s">
        <v>11282</v>
      </c>
      <c r="F736" s="3" t="s">
        <v>11283</v>
      </c>
      <c r="G736" s="3" t="s">
        <v>11284</v>
      </c>
      <c r="H736" s="3" t="s">
        <v>11285</v>
      </c>
      <c r="I736" s="3" t="s">
        <v>11286</v>
      </c>
      <c r="J736" s="5" t="str">
        <f>I736</f>
        <v>音波</v>
      </c>
    </row>
    <row r="737">
      <c r="A737" s="5" t="str">
        <f>CONCATENATE("CATEGORY_",UPPER(Pokemon!B716))</f>
        <v>CATEGORY_NOIVERN</v>
      </c>
      <c r="B737" s="5" t="str">
        <f t="shared" ref="B737:J737" si="259">B736</f>
        <v>Sound Wave</v>
      </c>
      <c r="C737" s="5" t="str">
        <f t="shared" si="259"/>
        <v>おんぱ</v>
      </c>
      <c r="D737" s="5" t="str">
        <f t="shared" si="259"/>
        <v>Ondes</v>
      </c>
      <c r="E737" s="5" t="str">
        <f t="shared" si="259"/>
        <v>Schallwellen</v>
      </c>
      <c r="F737" s="5" t="str">
        <f t="shared" si="259"/>
        <v>Onda Sónica</v>
      </c>
      <c r="G737" s="5" t="str">
        <f t="shared" si="259"/>
        <v>Ondasonora</v>
      </c>
      <c r="H737" s="5" t="str">
        <f t="shared" si="259"/>
        <v>음파</v>
      </c>
      <c r="I737" s="5" t="str">
        <f t="shared" si="259"/>
        <v>音波</v>
      </c>
      <c r="J737" s="5" t="str">
        <f t="shared" si="259"/>
        <v>音波</v>
      </c>
    </row>
    <row r="738">
      <c r="A738" s="5" t="str">
        <f>CONCATENATE("CATEGORY_",UPPER(Pokemon!B717))</f>
        <v>CATEGORY_XERNEAS</v>
      </c>
      <c r="B738" s="3" t="s">
        <v>11287</v>
      </c>
      <c r="C738" s="3" t="s">
        <v>11288</v>
      </c>
      <c r="D738" s="3" t="s">
        <v>11289</v>
      </c>
      <c r="E738" s="3" t="s">
        <v>11290</v>
      </c>
      <c r="F738" s="3" t="s">
        <v>11291</v>
      </c>
      <c r="G738" s="3" t="s">
        <v>11292</v>
      </c>
      <c r="H738" s="3" t="s">
        <v>11293</v>
      </c>
      <c r="I738" s="3" t="s">
        <v>11294</v>
      </c>
      <c r="J738" s="5" t="str">
        <f>I738</f>
        <v>生命</v>
      </c>
    </row>
    <row r="739">
      <c r="A739" s="5" t="str">
        <f>CONCATENATE("CATEGORY_",UPPER(Pokemon!B718))</f>
        <v>CATEGORY_YVELTAL</v>
      </c>
      <c r="B739" s="3" t="s">
        <v>11295</v>
      </c>
      <c r="C739" s="3" t="s">
        <v>11296</v>
      </c>
      <c r="D739" s="3" t="s">
        <v>11297</v>
      </c>
      <c r="E739" s="3" t="s">
        <v>11298</v>
      </c>
      <c r="F739" s="3" t="s">
        <v>11299</v>
      </c>
      <c r="G739" s="3" t="s">
        <v>11300</v>
      </c>
      <c r="H739" s="3" t="s">
        <v>11301</v>
      </c>
      <c r="I739" s="3" t="s">
        <v>11302</v>
      </c>
      <c r="J739" s="5" t="str">
        <f>IFERROR(__xludf.DUMMYFUNCTION("GOOGLETRANSLATE(I739, ""zh_HANT"",""zh_HANS"")"),"破坏")</f>
        <v>破坏</v>
      </c>
    </row>
    <row r="740">
      <c r="A740" s="5" t="str">
        <f>CONCATENATE("CATEGORY_",UPPER(Pokemon!B719))</f>
        <v>CATEGORY_ZYGARDE</v>
      </c>
      <c r="B740" s="3" t="s">
        <v>11303</v>
      </c>
      <c r="C740" s="3" t="s">
        <v>11304</v>
      </c>
      <c r="D740" s="3" t="s">
        <v>11305</v>
      </c>
      <c r="E740" s="3" t="s">
        <v>11306</v>
      </c>
      <c r="F740" s="3" t="s">
        <v>11307</v>
      </c>
      <c r="G740" s="5" t="str">
        <f>F740</f>
        <v>Equilibro</v>
      </c>
      <c r="H740" s="3" t="s">
        <v>11308</v>
      </c>
      <c r="I740" s="3" t="s">
        <v>11309</v>
      </c>
      <c r="J740" s="5" t="str">
        <f>I740</f>
        <v>秩序</v>
      </c>
    </row>
    <row r="741">
      <c r="A741" s="5" t="str">
        <f>CONCATENATE("CATEGORY_",UPPER(Pokemon!B720))</f>
        <v>CATEGORY_DIANCIE</v>
      </c>
      <c r="B741" s="5" t="str">
        <f t="shared" ref="B741:K741" si="260">B723</f>
        <v>Jewel</v>
      </c>
      <c r="C741" s="5" t="str">
        <f t="shared" si="260"/>
        <v>ほうせき</v>
      </c>
      <c r="D741" s="5" t="str">
        <f t="shared" si="260"/>
        <v>Joyau</v>
      </c>
      <c r="E741" s="5" t="str">
        <f t="shared" si="260"/>
        <v>Edelstein</v>
      </c>
      <c r="F741" s="5" t="str">
        <f t="shared" si="260"/>
        <v>Joya</v>
      </c>
      <c r="G741" s="5" t="str">
        <f t="shared" si="260"/>
        <v>Gemma</v>
      </c>
      <c r="H741" s="5" t="str">
        <f t="shared" si="260"/>
        <v>보석</v>
      </c>
      <c r="I741" s="5" t="str">
        <f t="shared" si="260"/>
        <v>寶石</v>
      </c>
      <c r="J741" s="5" t="str">
        <f t="shared" si="260"/>
        <v>宝石</v>
      </c>
      <c r="K741" s="5" t="str">
        <f t="shared" si="260"/>
        <v/>
      </c>
    </row>
    <row r="742">
      <c r="A742" s="5" t="str">
        <f>CONCATENATE("CATEGORY_",UPPER(Pokemon!B721))</f>
        <v>CATEGORY_HOOPA</v>
      </c>
      <c r="B742" s="3" t="s">
        <v>11310</v>
      </c>
      <c r="C742" s="3" t="s">
        <v>11311</v>
      </c>
      <c r="D742" s="3" t="s">
        <v>11312</v>
      </c>
      <c r="E742" s="3" t="s">
        <v>11313</v>
      </c>
      <c r="F742" s="3" t="s">
        <v>11314</v>
      </c>
      <c r="G742" s="3" t="s">
        <v>11315</v>
      </c>
      <c r="H742" s="3" t="s">
        <v>11316</v>
      </c>
      <c r="I742" s="3" t="s">
        <v>11317</v>
      </c>
      <c r="J742" s="5" t="str">
        <f>IFERROR(__xludf.DUMMYFUNCTION("GOOGLETRANSLATE(I742, ""zh_HANT"",""zh_HANS"")"),"顽童")</f>
        <v>顽童</v>
      </c>
    </row>
    <row r="743">
      <c r="A743" s="5" t="str">
        <f>CONCATENATE(A742,"-U")</f>
        <v>CATEGORY_HOOPA-U</v>
      </c>
      <c r="B743" s="3" t="s">
        <v>11318</v>
      </c>
      <c r="C743" s="3" t="s">
        <v>11319</v>
      </c>
      <c r="D743" s="5" t="str">
        <f>B743</f>
        <v>Djinn</v>
      </c>
      <c r="E743" s="3" t="s">
        <v>11320</v>
      </c>
      <c r="F743" s="5" t="str">
        <f>CONCATENATE(G743," Burlón")</f>
        <v>Genio Burlón</v>
      </c>
      <c r="G743" s="3" t="s">
        <v>11321</v>
      </c>
      <c r="H743" s="3" t="s">
        <v>11322</v>
      </c>
      <c r="I743" s="3" t="s">
        <v>11323</v>
      </c>
      <c r="J743" s="5" t="str">
        <f t="shared" ref="J743:J747" si="261">I743</f>
        <v>魔神</v>
      </c>
    </row>
    <row r="744">
      <c r="A744" s="5" t="str">
        <f>CONCATENATE("CATEGORY_",UPPER(Pokemon!B722))</f>
        <v>CATEGORY_VOLCANION</v>
      </c>
      <c r="B744" s="3" t="s">
        <v>11324</v>
      </c>
      <c r="C744" s="3" t="s">
        <v>11325</v>
      </c>
      <c r="D744" s="3" t="s">
        <v>11326</v>
      </c>
      <c r="E744" s="3" t="s">
        <v>11327</v>
      </c>
      <c r="F744" s="3" t="s">
        <v>11328</v>
      </c>
      <c r="G744" s="5" t="str">
        <f>CONCATENATE(F744,"e")</f>
        <v>Vapore</v>
      </c>
      <c r="H744" s="3" t="s">
        <v>11329</v>
      </c>
      <c r="I744" s="3" t="s">
        <v>11330</v>
      </c>
      <c r="J744" s="5" t="str">
        <f t="shared" si="261"/>
        <v>蒸汽</v>
      </c>
    </row>
    <row r="745">
      <c r="A745" s="5" t="str">
        <f>CONCATENATE("CATEGORY_",UPPER(Pokemon!B723))</f>
        <v>CATEGORY_ROWLET</v>
      </c>
      <c r="B745" s="3" t="s">
        <v>11331</v>
      </c>
      <c r="C745" s="3" t="s">
        <v>11332</v>
      </c>
      <c r="D745" s="3" t="s">
        <v>11333</v>
      </c>
      <c r="E745" s="3" t="s">
        <v>11334</v>
      </c>
      <c r="F745" s="3" t="s">
        <v>11335</v>
      </c>
      <c r="G745" s="3" t="s">
        <v>11336</v>
      </c>
      <c r="H745" s="3" t="s">
        <v>11337</v>
      </c>
      <c r="I745" s="3" t="s">
        <v>11338</v>
      </c>
      <c r="J745" s="5" t="str">
        <f t="shared" si="261"/>
        <v>草羽</v>
      </c>
    </row>
    <row r="746">
      <c r="A746" s="5" t="str">
        <f>CONCATENATE("CATEGORY_",UPPER(Pokemon!B724))</f>
        <v>CATEGORY_DARTRIX</v>
      </c>
      <c r="B746" s="3" t="s">
        <v>11339</v>
      </c>
      <c r="C746" s="3" t="s">
        <v>11340</v>
      </c>
      <c r="D746" s="3" t="s">
        <v>11341</v>
      </c>
      <c r="E746" s="3" t="s">
        <v>11342</v>
      </c>
      <c r="F746" s="3" t="s">
        <v>11343</v>
      </c>
      <c r="G746" s="3" t="s">
        <v>11344</v>
      </c>
      <c r="H746" s="3" t="s">
        <v>11345</v>
      </c>
      <c r="I746" s="3" t="s">
        <v>11346</v>
      </c>
      <c r="J746" s="5" t="str">
        <f t="shared" si="261"/>
        <v>刃羽</v>
      </c>
    </row>
    <row r="747">
      <c r="A747" s="5" t="str">
        <f>CONCATENATE("CATEGORY_",UPPER(Pokemon!B725))</f>
        <v>CATEGORY_DECIDUEYE</v>
      </c>
      <c r="B747" s="3" t="s">
        <v>11347</v>
      </c>
      <c r="C747" s="3" t="s">
        <v>11348</v>
      </c>
      <c r="D747" s="3" t="s">
        <v>11349</v>
      </c>
      <c r="E747" s="3" t="s">
        <v>11350</v>
      </c>
      <c r="F747" s="3" t="s">
        <v>11351</v>
      </c>
      <c r="G747" s="3" t="s">
        <v>11352</v>
      </c>
      <c r="H747" s="3" t="s">
        <v>11353</v>
      </c>
      <c r="I747" s="3" t="s">
        <v>11354</v>
      </c>
      <c r="J747" s="5" t="str">
        <f t="shared" si="261"/>
        <v>箭羽</v>
      </c>
    </row>
    <row r="748">
      <c r="A748" s="5" t="str">
        <f>CONCATENATE("CATEGORY_",UPPER(Pokemon!B726))</f>
        <v>CATEGORY_LITTEN</v>
      </c>
      <c r="B748" s="3" t="s">
        <v>11355</v>
      </c>
      <c r="C748" s="3" t="s">
        <v>11356</v>
      </c>
      <c r="D748" s="3" t="s">
        <v>11357</v>
      </c>
      <c r="E748" s="3" t="s">
        <v>11358</v>
      </c>
      <c r="F748" s="3" t="s">
        <v>11359</v>
      </c>
      <c r="G748" s="3" t="s">
        <v>11360</v>
      </c>
      <c r="H748" s="3" t="s">
        <v>11361</v>
      </c>
      <c r="I748" s="3" t="s">
        <v>11362</v>
      </c>
      <c r="J748" s="5" t="str">
        <f>IFERROR(__xludf.DUMMYFUNCTION("GOOGLETRANSLATE(I748, ""zh_HANT"",""zh_HANS"")"),"火猫")</f>
        <v>火猫</v>
      </c>
    </row>
    <row r="749">
      <c r="A749" s="5" t="str">
        <f>CONCATENATE("CATEGORY_",UPPER(Pokemon!B727))</f>
        <v>CATEGORY_TORRACAT</v>
      </c>
      <c r="B749" s="5" t="str">
        <f t="shared" ref="B749:J749" si="262">B748</f>
        <v>Fire Cat</v>
      </c>
      <c r="C749" s="5" t="str">
        <f t="shared" si="262"/>
        <v>ひねこ</v>
      </c>
      <c r="D749" s="5" t="str">
        <f t="shared" si="262"/>
        <v>Chat Feu</v>
      </c>
      <c r="E749" s="5" t="str">
        <f t="shared" si="262"/>
        <v>Feuerkatze</v>
      </c>
      <c r="F749" s="5" t="str">
        <f t="shared" si="262"/>
        <v>Gato Fuego</v>
      </c>
      <c r="G749" s="5" t="str">
        <f t="shared" si="262"/>
        <v>Pirofelino</v>
      </c>
      <c r="H749" s="5" t="str">
        <f t="shared" si="262"/>
        <v>불고양이</v>
      </c>
      <c r="I749" s="5" t="str">
        <f t="shared" si="262"/>
        <v>火貓</v>
      </c>
      <c r="J749" s="5" t="str">
        <f t="shared" si="262"/>
        <v>火猫</v>
      </c>
    </row>
    <row r="750">
      <c r="A750" s="5" t="str">
        <f>CONCATENATE("CATEGORY_",UPPER(Pokemon!B728))</f>
        <v>CATEGORY_INCINEROAR</v>
      </c>
      <c r="B750" s="3" t="s">
        <v>11363</v>
      </c>
      <c r="C750" s="3" t="s">
        <v>11364</v>
      </c>
      <c r="D750" s="3" t="s">
        <v>11205</v>
      </c>
      <c r="E750" s="3" t="s">
        <v>11365</v>
      </c>
      <c r="F750" s="3" t="s">
        <v>11366</v>
      </c>
      <c r="G750" s="3" t="s">
        <v>11367</v>
      </c>
      <c r="H750" s="3" t="s">
        <v>11368</v>
      </c>
      <c r="I750" s="3" t="s">
        <v>11369</v>
      </c>
      <c r="J750" s="5" t="str">
        <f>I750</f>
        <v>反派</v>
      </c>
    </row>
    <row r="751">
      <c r="A751" s="5" t="str">
        <f>CONCATENATE("CATEGORY_",UPPER(Pokemon!B729))</f>
        <v>CATEGORY_POPPLIO</v>
      </c>
      <c r="B751" s="5" t="str">
        <f t="shared" ref="B751:K751" si="263">B90</f>
        <v>Sea Lion</v>
      </c>
      <c r="C751" s="5" t="str">
        <f t="shared" si="263"/>
        <v>あしか</v>
      </c>
      <c r="D751" s="5" t="str">
        <f t="shared" si="263"/>
        <v>Otarie</v>
      </c>
      <c r="E751" s="5" t="str">
        <f t="shared" si="263"/>
        <v>Seehund</v>
      </c>
      <c r="F751" s="5" t="str">
        <f t="shared" si="263"/>
        <v>León Marino</v>
      </c>
      <c r="G751" s="5" t="str">
        <f t="shared" si="263"/>
        <v>Otaria</v>
      </c>
      <c r="H751" s="5" t="str">
        <f t="shared" si="263"/>
        <v>강치</v>
      </c>
      <c r="I751" s="5" t="str">
        <f t="shared" si="263"/>
        <v>海獅</v>
      </c>
      <c r="J751" s="5" t="str">
        <f t="shared" si="263"/>
        <v>海狮</v>
      </c>
      <c r="K751" s="5" t="str">
        <f t="shared" si="263"/>
        <v/>
      </c>
    </row>
    <row r="752">
      <c r="A752" s="5" t="str">
        <f>CONCATENATE("CATEGORY_",UPPER(Pokemon!B730))</f>
        <v>CATEGORY_BRIONNE</v>
      </c>
      <c r="B752" s="3" t="s">
        <v>11370</v>
      </c>
      <c r="C752" s="3" t="s">
        <v>11371</v>
      </c>
      <c r="D752" s="3" t="s">
        <v>11372</v>
      </c>
      <c r="E752" s="7" t="s">
        <v>11373</v>
      </c>
      <c r="F752" s="3" t="s">
        <v>11374</v>
      </c>
      <c r="G752" s="5" t="str">
        <f>B752</f>
        <v>Pop Star</v>
      </c>
      <c r="H752" s="3" t="s">
        <v>11375</v>
      </c>
      <c r="I752" s="3" t="s">
        <v>11376</v>
      </c>
      <c r="J752" s="5" t="str">
        <f>I752</f>
        <v>偶像</v>
      </c>
    </row>
    <row r="753">
      <c r="A753" s="5" t="str">
        <f>CONCATENATE("CATEGORY_",UPPER(Pokemon!B731))</f>
        <v>CATEGORY_PRIMARINA</v>
      </c>
      <c r="B753" s="3" t="s">
        <v>11377</v>
      </c>
      <c r="C753" s="3" t="s">
        <v>11378</v>
      </c>
      <c r="D753" s="5" t="str">
        <f>CONCATENATE(E753,"e")</f>
        <v>Soliste</v>
      </c>
      <c r="E753" s="3" t="s">
        <v>11379</v>
      </c>
      <c r="F753" s="5" t="str">
        <f>CONCATENATE(E753,"a")</f>
        <v>Solista</v>
      </c>
      <c r="G753" s="5" t="str">
        <f>F753</f>
        <v>Solista</v>
      </c>
      <c r="H753" s="3" t="s">
        <v>11380</v>
      </c>
      <c r="I753" s="3" t="s">
        <v>11381</v>
      </c>
      <c r="J753" s="5" t="str">
        <f>IFERROR(__xludf.DUMMYFUNCTION("GOOGLETRANSLATE(I753, ""zh_HANT"",""zh_HANS"")"),"独唱者")</f>
        <v>独唱者</v>
      </c>
    </row>
    <row r="754">
      <c r="A754" s="5" t="str">
        <f>CONCATENATE("CATEGORY_",UPPER(Pokemon!B732))</f>
        <v>CATEGORY_PIKIPEK</v>
      </c>
      <c r="B754" s="3" t="s">
        <v>11382</v>
      </c>
      <c r="C754" s="3" t="s">
        <v>11383</v>
      </c>
      <c r="D754" s="3" t="s">
        <v>11384</v>
      </c>
      <c r="E754" s="3" t="s">
        <v>11385</v>
      </c>
      <c r="F754" s="3" t="s">
        <v>11386</v>
      </c>
      <c r="G754" s="3" t="s">
        <v>11387</v>
      </c>
      <c r="H754" s="3" t="s">
        <v>11388</v>
      </c>
      <c r="I754" s="3" t="s">
        <v>11389</v>
      </c>
      <c r="J754" s="5" t="str">
        <f>IFERROR(__xludf.DUMMYFUNCTION("GOOGLETRANSLATE(I754, ""zh_HANT"",""zh_HANS"")"),"啄木鸟")</f>
        <v>啄木鸟</v>
      </c>
    </row>
    <row r="755">
      <c r="A755" s="5" t="str">
        <f>CONCATENATE("CATEGORY_",UPPER(Pokemon!B733))</f>
        <v>CATEGORY_TRUMBEAK</v>
      </c>
      <c r="B755" s="3" t="s">
        <v>11390</v>
      </c>
      <c r="C755" s="3" t="s">
        <v>11391</v>
      </c>
      <c r="D755" s="3" t="s">
        <v>11392</v>
      </c>
      <c r="E755" s="3" t="s">
        <v>11393</v>
      </c>
      <c r="F755" s="3" t="s">
        <v>11394</v>
      </c>
      <c r="G755" s="3" t="s">
        <v>11395</v>
      </c>
      <c r="H755" s="3" t="s">
        <v>11396</v>
      </c>
      <c r="I755" s="3" t="s">
        <v>11397</v>
      </c>
      <c r="J755" s="5" t="str">
        <f>I755</f>
        <v>喇叭喙</v>
      </c>
    </row>
    <row r="756">
      <c r="A756" s="5" t="str">
        <f>CONCATENATE("CATEGORY_",UPPER(Pokemon!B734))</f>
        <v>CATEGORY_TOUCANNON</v>
      </c>
      <c r="B756" s="3" t="s">
        <v>11398</v>
      </c>
      <c r="C756" s="3" t="s">
        <v>11399</v>
      </c>
      <c r="D756" s="3" t="s">
        <v>11400</v>
      </c>
      <c r="E756" s="7" t="s">
        <v>11401</v>
      </c>
      <c r="F756" s="7" t="s">
        <v>11402</v>
      </c>
      <c r="G756" s="5" t="str">
        <f>CONCATENATE(B756,"e")</f>
        <v>Cannone</v>
      </c>
      <c r="H756" s="3" t="s">
        <v>11403</v>
      </c>
      <c r="I756" s="3" t="s">
        <v>11404</v>
      </c>
      <c r="J756" s="5" t="str">
        <f>IFERROR(__xludf.DUMMYFUNCTION("GOOGLETRANSLATE(I756, ""zh_HANT"",""zh_HANS"")"),"铳炮")</f>
        <v>铳炮</v>
      </c>
    </row>
    <row r="757">
      <c r="A757" s="5" t="str">
        <f>CONCATENATE("CATEGORY_",UPPER(Pokemon!B735))</f>
        <v>CATEGORY_YUNGOOS</v>
      </c>
      <c r="B757" s="3" t="s">
        <v>11405</v>
      </c>
      <c r="C757" s="3" t="s">
        <v>11406</v>
      </c>
      <c r="D757" s="3" t="s">
        <v>11407</v>
      </c>
      <c r="E757" s="5" t="str">
        <f>D757</f>
        <v>Patrouille</v>
      </c>
      <c r="F757" s="3" t="s">
        <v>11408</v>
      </c>
      <c r="G757" s="3" t="s">
        <v>11409</v>
      </c>
      <c r="H757" s="3" t="s">
        <v>11410</v>
      </c>
      <c r="I757" s="3" t="s">
        <v>11411</v>
      </c>
      <c r="J757" s="5" t="str">
        <f>IFERROR(__xludf.DUMMYFUNCTION("GOOGLETRANSLATE(I757, ""zh_HANT"",""zh_HANS"")"),"巡回")</f>
        <v>巡回</v>
      </c>
    </row>
    <row r="758">
      <c r="A758" s="5" t="str">
        <f>CONCATENATE("CATEGORY_",UPPER(Pokemon!B736))</f>
        <v>CATEGORY_GUMCHOOS</v>
      </c>
      <c r="B758" s="3" t="str">
        <f>Abilities!B199</f>
        <v>Stakeout</v>
      </c>
      <c r="C758" s="3" t="str">
        <f>Abilities!C199</f>
        <v>はりこみ</v>
      </c>
      <c r="D758" s="3" t="str">
        <f>Abilities!D199</f>
        <v>Filature</v>
      </c>
      <c r="E758" s="3" t="str">
        <f>Abilities!E199</f>
        <v>Beschattung</v>
      </c>
      <c r="F758" s="3" t="str">
        <f>Abilities!F199</f>
        <v>Vigilante</v>
      </c>
      <c r="G758" s="3" t="str">
        <f>Abilities!G199</f>
        <v>Sorveglianza</v>
      </c>
      <c r="H758" s="3" t="s">
        <v>11412</v>
      </c>
      <c r="I758" s="3" t="str">
        <f>Abilities!I199</f>
        <v>監視</v>
      </c>
      <c r="J758" s="3" t="str">
        <f>Abilities!J199</f>
        <v>蹲守</v>
      </c>
    </row>
    <row r="759">
      <c r="A759" s="5" t="str">
        <f>CONCATENATE("CATEGORY_",UPPER(Pokemon!B737))</f>
        <v>CATEGORY_GRUBBIN</v>
      </c>
      <c r="B759" s="3" t="s">
        <v>8338</v>
      </c>
      <c r="C759" s="3" t="s">
        <v>11413</v>
      </c>
      <c r="D759" s="3" t="s">
        <v>11414</v>
      </c>
      <c r="E759" s="5" t="str">
        <f>D759</f>
        <v>Larve</v>
      </c>
      <c r="F759" s="3" t="s">
        <v>11415</v>
      </c>
      <c r="G759" s="7" t="s">
        <v>11416</v>
      </c>
      <c r="H759" s="3" t="s">
        <v>11417</v>
      </c>
      <c r="I759" s="3" t="s">
        <v>11418</v>
      </c>
      <c r="J759" s="5" t="str">
        <f>IFERROR(__xludf.DUMMYFUNCTION("GOOGLETRANSLATE(I759, ""zh_HANT"",""zh_HANS"")"),"幼虫")</f>
        <v>幼虫</v>
      </c>
    </row>
    <row r="760">
      <c r="A760" s="5" t="str">
        <f>CONCATENATE("CATEGORY_",UPPER(Pokemon!B738))</f>
        <v>CATEGORY_CHARJABUG</v>
      </c>
      <c r="B760" s="3" t="str">
        <f>Abilities!B218</f>
        <v>Battery</v>
      </c>
      <c r="C760" s="3" t="str">
        <f>Abilities!C218</f>
        <v>バッテリー</v>
      </c>
      <c r="D760" s="3" t="str">
        <f>Abilities!D218</f>
        <v>Batterie</v>
      </c>
      <c r="E760" s="3" t="str">
        <f>Abilities!E218</f>
        <v>Batterie</v>
      </c>
      <c r="F760" s="3" t="str">
        <f>Abilities!F218</f>
        <v>Batería</v>
      </c>
      <c r="G760" s="3" t="str">
        <f>Abilities!G218</f>
        <v>Batería</v>
      </c>
      <c r="H760" s="3" t="str">
        <f>Abilities!H218</f>
        <v>배터리</v>
      </c>
      <c r="I760" s="3" t="str">
        <f>Abilities!I218</f>
        <v>蓄電池</v>
      </c>
      <c r="J760" s="3" t="str">
        <f>Abilities!J218</f>
        <v>蓄电池</v>
      </c>
    </row>
    <row r="761">
      <c r="A761" s="5" t="str">
        <f>CONCATENATE("CATEGORY_",UPPER(Pokemon!B739))</f>
        <v>CATEGORY_VIKAVOLT</v>
      </c>
      <c r="B761" s="5" t="str">
        <f t="shared" ref="B761:K761" si="264">B134</f>
        <v>Stag Beetle</v>
      </c>
      <c r="C761" s="5" t="str">
        <f t="shared" si="264"/>
        <v>くわがた</v>
      </c>
      <c r="D761" s="5" t="str">
        <f t="shared" si="264"/>
        <v>Scarabée</v>
      </c>
      <c r="E761" s="5" t="str">
        <f t="shared" si="264"/>
        <v>Kneifkäfer</v>
      </c>
      <c r="F761" s="5" t="str">
        <f t="shared" si="264"/>
        <v>Escarabajo</v>
      </c>
      <c r="G761" s="5" t="str">
        <f t="shared" si="264"/>
        <v>Cervolante</v>
      </c>
      <c r="H761" s="5" t="str">
        <f t="shared" si="264"/>
        <v>뿔집게</v>
      </c>
      <c r="I761" s="5" t="str">
        <f t="shared" si="264"/>
        <v>鍬形蟲</v>
      </c>
      <c r="J761" s="5" t="str">
        <f t="shared" si="264"/>
        <v>锹形虫</v>
      </c>
      <c r="K761" s="5" t="str">
        <f t="shared" si="264"/>
        <v/>
      </c>
    </row>
    <row r="762">
      <c r="A762" s="5" t="str">
        <f>CONCATENATE("CATEGORY_",UPPER(Pokemon!B740))</f>
        <v>CATEGORY_CRABRAWLER</v>
      </c>
      <c r="B762" s="3" t="s">
        <v>11419</v>
      </c>
      <c r="C762" s="3" t="s">
        <v>11420</v>
      </c>
      <c r="D762" s="3" t="s">
        <v>11421</v>
      </c>
      <c r="E762" s="3" t="s">
        <v>11422</v>
      </c>
      <c r="F762" s="3" t="s">
        <v>11423</v>
      </c>
      <c r="G762" s="3" t="s">
        <v>11424</v>
      </c>
      <c r="H762" s="3" t="s">
        <v>11425</v>
      </c>
      <c r="I762" s="3" t="s">
        <v>11426</v>
      </c>
      <c r="J762" s="5" t="str">
        <f>IFERROR(__xludf.DUMMYFUNCTION("GOOGLETRANSLATE(I762, ""zh_HANT"",""zh_HANS"")"),"拳斗")</f>
        <v>拳斗</v>
      </c>
    </row>
    <row r="763">
      <c r="A763" s="5" t="str">
        <f>CONCATENATE("CATEGORY_",UPPER(Pokemon!B741))</f>
        <v>CATEGORY_CRABOMINABLE</v>
      </c>
      <c r="B763" s="3" t="s">
        <v>11427</v>
      </c>
      <c r="C763" s="3" t="s">
        <v>11428</v>
      </c>
      <c r="D763" s="3" t="s">
        <v>11429</v>
      </c>
      <c r="E763" s="3" t="s">
        <v>11430</v>
      </c>
      <c r="F763" s="3" t="s">
        <v>11431</v>
      </c>
      <c r="G763" s="3" t="s">
        <v>11432</v>
      </c>
      <c r="H763" s="3" t="s">
        <v>11433</v>
      </c>
      <c r="I763" s="3" t="s">
        <v>11434</v>
      </c>
      <c r="J763" s="5" t="str">
        <f t="shared" ref="J763:J765" si="265">I763</f>
        <v>毛蟹</v>
      </c>
    </row>
    <row r="764">
      <c r="A764" s="5" t="str">
        <f>CONCATENATE("CATEGORY_",UPPER(Pokemon!B742))</f>
        <v>CATEGORY_ORICORIO</v>
      </c>
      <c r="B764" s="3" t="s">
        <v>11435</v>
      </c>
      <c r="C764" s="3" t="s">
        <v>11436</v>
      </c>
      <c r="D764" s="3" t="s">
        <v>11437</v>
      </c>
      <c r="E764" s="3" t="s">
        <v>11438</v>
      </c>
      <c r="F764" s="3" t="s">
        <v>11439</v>
      </c>
      <c r="G764" s="5" t="str">
        <f>F764</f>
        <v>Danza</v>
      </c>
      <c r="H764" s="3" t="s">
        <v>11440</v>
      </c>
      <c r="I764" s="3" t="s">
        <v>11441</v>
      </c>
      <c r="J764" s="5" t="str">
        <f t="shared" si="265"/>
        <v>舞蹈</v>
      </c>
    </row>
    <row r="765">
      <c r="A765" s="5" t="str">
        <f>CONCATENATE("CATEGORY_",UPPER(Pokemon!B743))</f>
        <v>CATEGORY_CUTIEFLY</v>
      </c>
      <c r="B765" s="3" t="s">
        <v>11442</v>
      </c>
      <c r="C765" s="3" t="s">
        <v>11443</v>
      </c>
      <c r="D765" s="3" t="s">
        <v>11444</v>
      </c>
      <c r="E765" s="3" t="s">
        <v>11445</v>
      </c>
      <c r="F765" s="3" t="s">
        <v>11446</v>
      </c>
      <c r="G765" s="3" t="s">
        <v>11447</v>
      </c>
      <c r="H765" s="3" t="s">
        <v>11448</v>
      </c>
      <c r="I765" s="3" t="s">
        <v>11449</v>
      </c>
      <c r="J765" s="5" t="str">
        <f t="shared" si="265"/>
        <v>蜂虻</v>
      </c>
    </row>
    <row r="766">
      <c r="A766" s="5" t="str">
        <f>CONCATENATE("CATEGORY_",UPPER(Pokemon!B744))</f>
        <v>CATEGORY_RIBOMBEE</v>
      </c>
      <c r="B766" s="5" t="str">
        <f t="shared" ref="B766:J766" si="266">B765</f>
        <v>Bee Fly</v>
      </c>
      <c r="C766" s="5" t="str">
        <f t="shared" si="266"/>
        <v>ツリアブ</v>
      </c>
      <c r="D766" s="5" t="str">
        <f t="shared" si="266"/>
        <v>Bombyle</v>
      </c>
      <c r="E766" s="5" t="str">
        <f t="shared" si="266"/>
        <v>Hummelfliege</v>
      </c>
      <c r="F766" s="5" t="str">
        <f t="shared" si="266"/>
        <v>Mosca Abeja</v>
      </c>
      <c r="G766" s="5" t="str">
        <f t="shared" si="266"/>
        <v>Bombilide</v>
      </c>
      <c r="H766" s="5" t="str">
        <f t="shared" si="266"/>
        <v>재니등에</v>
      </c>
      <c r="I766" s="5" t="str">
        <f t="shared" si="266"/>
        <v>蜂虻</v>
      </c>
      <c r="J766" s="5" t="str">
        <f t="shared" si="266"/>
        <v>蜂虻</v>
      </c>
    </row>
    <row r="767">
      <c r="A767" s="5" t="str">
        <f>CONCATENATE("CATEGORY_",UPPER(Pokemon!B745))</f>
        <v>CATEGORY_ROCKRUFF</v>
      </c>
      <c r="B767" s="5" t="str">
        <f t="shared" ref="B767:K767" si="267">B59</f>
        <v>Puppy</v>
      </c>
      <c r="C767" s="5" t="str">
        <f t="shared" si="267"/>
        <v>こいぬ</v>
      </c>
      <c r="D767" s="5" t="str">
        <f t="shared" si="267"/>
        <v>Chiot</v>
      </c>
      <c r="E767" s="5" t="str">
        <f t="shared" si="267"/>
        <v>Welpen</v>
      </c>
      <c r="F767" s="5" t="str">
        <f t="shared" si="267"/>
        <v>Perrito</v>
      </c>
      <c r="G767" s="5" t="str">
        <f t="shared" si="267"/>
        <v>Cagnolino</v>
      </c>
      <c r="H767" s="5" t="str">
        <f t="shared" si="267"/>
        <v>강아지</v>
      </c>
      <c r="I767" s="5" t="str">
        <f t="shared" si="267"/>
        <v>小狗</v>
      </c>
      <c r="J767" s="5" t="str">
        <f t="shared" si="267"/>
        <v>小狗</v>
      </c>
      <c r="K767" s="5" t="str">
        <f t="shared" si="267"/>
        <v/>
      </c>
    </row>
    <row r="768">
      <c r="A768" s="5" t="str">
        <f>CONCATENATE("CATEGORY_",UPPER(Pokemon!B746))</f>
        <v>CATEGORY_LYCANROC</v>
      </c>
      <c r="B768" s="3" t="s">
        <v>11450</v>
      </c>
      <c r="C768" s="3" t="s">
        <v>11451</v>
      </c>
      <c r="D768" s="3" t="s">
        <v>11452</v>
      </c>
      <c r="E768" s="5" t="str">
        <f>B768</f>
        <v>Wolf</v>
      </c>
      <c r="F768" s="3" t="s">
        <v>11453</v>
      </c>
      <c r="G768" s="3" t="s">
        <v>11454</v>
      </c>
      <c r="H768" s="3" t="s">
        <v>11455</v>
      </c>
      <c r="I768" s="3" t="s">
        <v>11456</v>
      </c>
      <c r="J768" s="5" t="str">
        <f>I768</f>
        <v>狼</v>
      </c>
    </row>
    <row r="769">
      <c r="A769" s="5" t="str">
        <f>CONCATENATE("CATEGORY_",UPPER(Pokemon!B747))</f>
        <v>CATEGORY_WISHIWASHI</v>
      </c>
      <c r="B769" s="3" t="s">
        <v>11457</v>
      </c>
      <c r="C769" s="3" t="s">
        <v>11458</v>
      </c>
      <c r="D769" s="3" t="s">
        <v>11459</v>
      </c>
      <c r="E769" s="3" t="s">
        <v>11460</v>
      </c>
      <c r="F769" s="3" t="s">
        <v>11461</v>
      </c>
      <c r="G769" s="3" t="s">
        <v>11462</v>
      </c>
      <c r="H769" s="3" t="s">
        <v>11463</v>
      </c>
      <c r="I769" s="3" t="s">
        <v>11464</v>
      </c>
      <c r="J769" s="5" t="str">
        <f>IFERROR(__xludf.DUMMYFUNCTION("GOOGLETRANSLATE(I769, ""zh_HANT"",""zh_HANS"")"),"小鱼")</f>
        <v>小鱼</v>
      </c>
    </row>
    <row r="770">
      <c r="A770" s="5" t="str">
        <f>CONCATENATE("CATEGORY_",UPPER(Pokemon!B748))</f>
        <v>CATEGORY_MAREANIE</v>
      </c>
      <c r="B770" s="3" t="s">
        <v>11465</v>
      </c>
      <c r="C770" s="3" t="s">
        <v>11466</v>
      </c>
      <c r="D770" s="3" t="s">
        <v>10081</v>
      </c>
      <c r="E770" s="3" t="s">
        <v>11467</v>
      </c>
      <c r="F770" s="3" t="s">
        <v>11468</v>
      </c>
      <c r="G770" s="3" t="s">
        <v>11469</v>
      </c>
      <c r="H770" s="3" t="s">
        <v>11470</v>
      </c>
      <c r="I770" s="3" t="s">
        <v>11471</v>
      </c>
      <c r="J770" s="5" t="str">
        <f>I770</f>
        <v>非星</v>
      </c>
    </row>
    <row r="771">
      <c r="A771" s="5" t="str">
        <f>CONCATENATE("CATEGORY_",UPPER(Pokemon!B749))</f>
        <v>CATEGORY_TOXAPEX</v>
      </c>
      <c r="B771" s="5" t="str">
        <f t="shared" ref="B771:J771" si="268">B770</f>
        <v>Brutal Star</v>
      </c>
      <c r="C771" s="5" t="str">
        <f t="shared" si="268"/>
        <v>ヒトデナシ</v>
      </c>
      <c r="D771" s="5" t="str">
        <f t="shared" si="268"/>
        <v>Cruel</v>
      </c>
      <c r="E771" s="5" t="str">
        <f t="shared" si="268"/>
        <v>Quäl-Stern</v>
      </c>
      <c r="F771" s="5" t="str">
        <f t="shared" si="268"/>
        <v>Estrellatroz</v>
      </c>
      <c r="G771" s="5" t="str">
        <f t="shared" si="268"/>
        <v>Stellatroce</v>
      </c>
      <c r="H771" s="5" t="str">
        <f t="shared" si="268"/>
        <v>깨비사리</v>
      </c>
      <c r="I771" s="5" t="str">
        <f t="shared" si="268"/>
        <v>非星</v>
      </c>
      <c r="J771" s="5" t="str">
        <f t="shared" si="268"/>
        <v>非星</v>
      </c>
    </row>
    <row r="772">
      <c r="A772" s="5" t="str">
        <f>CONCATENATE("CATEGORY_",UPPER(Pokemon!B750))</f>
        <v>CATEGORY_MUDBRAY</v>
      </c>
      <c r="B772" s="3" t="s">
        <v>11472</v>
      </c>
      <c r="C772" s="3" t="s">
        <v>11473</v>
      </c>
      <c r="D772" s="3" t="s">
        <v>11474</v>
      </c>
      <c r="E772" s="3" t="s">
        <v>11475</v>
      </c>
      <c r="F772" s="3" t="s">
        <v>11476</v>
      </c>
      <c r="G772" s="3" t="s">
        <v>11477</v>
      </c>
      <c r="H772" s="3" t="s">
        <v>11478</v>
      </c>
      <c r="I772" s="3" t="s">
        <v>11479</v>
      </c>
      <c r="J772" s="5" t="str">
        <f>IFERROR(__xludf.DUMMYFUNCTION("GOOGLETRANSLATE(I772, ""zh_HANT"",""zh_HANS"")"),"驴")</f>
        <v>驴</v>
      </c>
    </row>
    <row r="773">
      <c r="A773" s="5" t="str">
        <f>CONCATENATE("CATEGORY_",UPPER(Pokemon!B751))</f>
        <v>CATEGORY_MUDSDALE</v>
      </c>
      <c r="B773" s="3" t="s">
        <v>11480</v>
      </c>
      <c r="C773" s="3" t="s">
        <v>11481</v>
      </c>
      <c r="D773" s="3" t="s">
        <v>11482</v>
      </c>
      <c r="E773" s="3" t="s">
        <v>11483</v>
      </c>
      <c r="F773" s="3" t="s">
        <v>11484</v>
      </c>
      <c r="G773" s="3" t="s">
        <v>11485</v>
      </c>
      <c r="H773" s="3" t="s">
        <v>11486</v>
      </c>
      <c r="I773" s="3" t="s">
        <v>11487</v>
      </c>
      <c r="J773" s="5" t="str">
        <f>IFERROR(__xludf.DUMMYFUNCTION("GOOGLETRANSLATE(I773, ""zh_HANT"",""zh_HANS"")"),"挽马")</f>
        <v>挽马</v>
      </c>
    </row>
    <row r="774">
      <c r="A774" s="5" t="str">
        <f>CONCATENATE("CATEGORY_",UPPER(Pokemon!B752))</f>
        <v>CATEGORY_DEWPIDER</v>
      </c>
      <c r="B774" s="5" t="str">
        <f>Abilities!B200</f>
        <v>Water Bubble</v>
      </c>
      <c r="C774" s="5" t="str">
        <f>Abilities!C200</f>
        <v>すいほう</v>
      </c>
      <c r="D774" s="5" t="str">
        <f>Abilities!D200</f>
        <v>Aquabulle</v>
      </c>
      <c r="E774" s="5" t="str">
        <f>Abilities!E200</f>
        <v>Wasserblase</v>
      </c>
      <c r="F774" s="5" t="str">
        <f>Abilities!F200</f>
        <v>Pompa</v>
      </c>
      <c r="G774" s="5" t="str">
        <f>Abilities!G200</f>
        <v>Bolladacqua</v>
      </c>
      <c r="H774" s="5" t="str">
        <f>Abilities!H200</f>
        <v>수포</v>
      </c>
      <c r="I774" s="5" t="str">
        <f>Abilities!I200</f>
        <v>水泡</v>
      </c>
      <c r="J774" s="5" t="str">
        <f>Abilities!J200</f>
        <v>水泡</v>
      </c>
    </row>
    <row r="775">
      <c r="A775" s="5" t="str">
        <f>CONCATENATE("CATEGORY_",UPPER(Pokemon!B753))</f>
        <v>CATEGORY_ARAQUANID</v>
      </c>
      <c r="B775" s="5" t="str">
        <f t="shared" ref="B775:J775" si="269">B774</f>
        <v>Water Bubble</v>
      </c>
      <c r="C775" s="5" t="str">
        <f t="shared" si="269"/>
        <v>すいほう</v>
      </c>
      <c r="D775" s="5" t="str">
        <f t="shared" si="269"/>
        <v>Aquabulle</v>
      </c>
      <c r="E775" s="5" t="str">
        <f t="shared" si="269"/>
        <v>Wasserblase</v>
      </c>
      <c r="F775" s="5" t="str">
        <f t="shared" si="269"/>
        <v>Pompa</v>
      </c>
      <c r="G775" s="5" t="str">
        <f t="shared" si="269"/>
        <v>Bolladacqua</v>
      </c>
      <c r="H775" s="5" t="str">
        <f t="shared" si="269"/>
        <v>수포</v>
      </c>
      <c r="I775" s="5" t="str">
        <f t="shared" si="269"/>
        <v>水泡</v>
      </c>
      <c r="J775" s="5" t="str">
        <f t="shared" si="269"/>
        <v>水泡</v>
      </c>
    </row>
    <row r="776">
      <c r="A776" s="5" t="str">
        <f>CONCATENATE("CATEGORY_",UPPER(Pokemon!B754))</f>
        <v>CATEGORY_FOMANTIS</v>
      </c>
      <c r="B776" s="3" t="s">
        <v>11488</v>
      </c>
      <c r="C776" s="3" t="s">
        <v>11489</v>
      </c>
      <c r="D776" s="3" t="s">
        <v>11490</v>
      </c>
      <c r="E776" s="3" t="s">
        <v>11491</v>
      </c>
      <c r="F776" s="3" t="s">
        <v>11492</v>
      </c>
      <c r="G776" s="3" t="s">
        <v>11493</v>
      </c>
      <c r="H776" s="3" t="s">
        <v>11494</v>
      </c>
      <c r="I776" s="3" t="s">
        <v>11495</v>
      </c>
      <c r="J776" s="5" t="str">
        <f>IFERROR(__xludf.DUMMYFUNCTION("GOOGLETRANSLATE(I776, ""zh_HANT"",""zh_HANS"")"),"镰草")</f>
        <v>镰草</v>
      </c>
    </row>
    <row r="777">
      <c r="A777" s="5" t="str">
        <f>CONCATENATE("CATEGORY_",UPPER(Pokemon!B755))</f>
        <v>CATEGORY_LURANTIS</v>
      </c>
      <c r="B777" s="3" t="s">
        <v>11496</v>
      </c>
      <c r="C777" s="3" t="s">
        <v>11497</v>
      </c>
      <c r="D777" s="3" t="s">
        <v>11498</v>
      </c>
      <c r="E777" s="3" t="s">
        <v>11499</v>
      </c>
      <c r="F777" s="3" t="s">
        <v>11500</v>
      </c>
      <c r="G777" s="3" t="s">
        <v>11501</v>
      </c>
      <c r="H777" s="3" t="s">
        <v>11502</v>
      </c>
      <c r="I777" s="3" t="s">
        <v>11503</v>
      </c>
      <c r="J777" s="5" t="str">
        <f>IFERROR(__xludf.DUMMYFUNCTION("GOOGLETRANSLATE(I777, ""zh_HANT"",""zh_HANS"")"),"花镰")</f>
        <v>花镰</v>
      </c>
    </row>
    <row r="778">
      <c r="A778" s="5" t="str">
        <f>CONCATENATE("CATEGORY_",UPPER(Pokemon!B756))</f>
        <v>CATEGORY_MORELULL</v>
      </c>
      <c r="B778" s="3" t="s">
        <v>11504</v>
      </c>
      <c r="C778" s="3" t="str">
        <f>Abilities!C36</f>
        <v>はっこう</v>
      </c>
      <c r="D778" s="3" t="s">
        <v>11505</v>
      </c>
      <c r="E778" s="3" t="s">
        <v>11506</v>
      </c>
      <c r="F778" s="3" t="s">
        <v>11507</v>
      </c>
      <c r="G778" s="3" t="s">
        <v>11508</v>
      </c>
      <c r="H778" s="3" t="str">
        <f>Abilities!H36</f>
        <v>발광</v>
      </c>
      <c r="I778" s="3" t="str">
        <f>Abilities!I36</f>
        <v>發光</v>
      </c>
      <c r="J778" s="3" t="str">
        <f>Abilities!J36</f>
        <v>发光</v>
      </c>
    </row>
    <row r="779">
      <c r="A779" s="5" t="str">
        <f>CONCATENATE("CATEGORY_",UPPER(Pokemon!B757))</f>
        <v>CATEGORY_SHIINOTIC</v>
      </c>
      <c r="B779" s="5" t="str">
        <f t="shared" ref="B779:J779" si="270">B778</f>
        <v>Illuminating</v>
      </c>
      <c r="C779" s="5" t="str">
        <f t="shared" si="270"/>
        <v>はっこう</v>
      </c>
      <c r="D779" s="5" t="str">
        <f t="shared" si="270"/>
        <v>Luminescent</v>
      </c>
      <c r="E779" s="5" t="str">
        <f t="shared" si="270"/>
        <v>Lumineszenz</v>
      </c>
      <c r="F779" s="5" t="str">
        <f t="shared" si="270"/>
        <v>Luminiscente</v>
      </c>
      <c r="G779" s="5" t="str">
        <f t="shared" si="270"/>
        <v>Luminescenza</v>
      </c>
      <c r="H779" s="5" t="str">
        <f t="shared" si="270"/>
        <v>발광</v>
      </c>
      <c r="I779" s="5" t="str">
        <f t="shared" si="270"/>
        <v>發光</v>
      </c>
      <c r="J779" s="5" t="str">
        <f t="shared" si="270"/>
        <v>发光</v>
      </c>
    </row>
    <row r="780">
      <c r="A780" s="5" t="str">
        <f>CONCATENATE("CATEGORY_",UPPER(Pokemon!B758))</f>
        <v>CATEGORY_SALANDIT</v>
      </c>
      <c r="B780" s="3" t="s">
        <v>11509</v>
      </c>
      <c r="C780" s="3" t="s">
        <v>11510</v>
      </c>
      <c r="D780" s="3" t="s">
        <v>11511</v>
      </c>
      <c r="E780" s="3" t="s">
        <v>11512</v>
      </c>
      <c r="F780" s="3" t="s">
        <v>11513</v>
      </c>
      <c r="G780" s="3" t="s">
        <v>11514</v>
      </c>
      <c r="H780" s="3" t="s">
        <v>11515</v>
      </c>
      <c r="I780" s="3" t="s">
        <v>11516</v>
      </c>
      <c r="J780" s="5" t="str">
        <f>I780</f>
        <v>毒蜥</v>
      </c>
    </row>
    <row r="781">
      <c r="A781" s="5" t="str">
        <f>CONCATENATE("CATEGORY_",UPPER(Pokemon!B759))</f>
        <v>CATEGORY_SALAZZLE</v>
      </c>
      <c r="B781" s="5" t="str">
        <f t="shared" ref="B781:J781" si="271">B780</f>
        <v>Toxic Lizard</v>
      </c>
      <c r="C781" s="5" t="str">
        <f t="shared" si="271"/>
        <v>どくトカゲ</v>
      </c>
      <c r="D781" s="5" t="str">
        <f t="shared" si="271"/>
        <v>Toxilézard</v>
      </c>
      <c r="E781" s="5" t="str">
        <f t="shared" si="271"/>
        <v>Giftechse</v>
      </c>
      <c r="F781" s="5" t="str">
        <f t="shared" si="271"/>
        <v>Lagartoxina</v>
      </c>
      <c r="G781" s="5" t="str">
        <f t="shared" si="271"/>
        <v>Lucertossina</v>
      </c>
      <c r="H781" s="5" t="str">
        <f t="shared" si="271"/>
        <v>독도마뱀</v>
      </c>
      <c r="I781" s="5" t="str">
        <f t="shared" si="271"/>
        <v>毒蜥</v>
      </c>
      <c r="J781" s="5" t="str">
        <f t="shared" si="271"/>
        <v>毒蜥</v>
      </c>
    </row>
    <row r="782">
      <c r="A782" s="5" t="str">
        <f>CONCATENATE("CATEGORY_",UPPER(Pokemon!B760))</f>
        <v>CATEGORY_STUFFUL</v>
      </c>
      <c r="B782" s="3" t="s">
        <v>11517</v>
      </c>
      <c r="C782" s="3" t="s">
        <v>11518</v>
      </c>
      <c r="D782" s="3" t="s">
        <v>11519</v>
      </c>
      <c r="E782" s="3" t="s">
        <v>11520</v>
      </c>
      <c r="F782" s="3" t="s">
        <v>11521</v>
      </c>
      <c r="G782" s="3" t="s">
        <v>11522</v>
      </c>
      <c r="H782" s="3" t="s">
        <v>11523</v>
      </c>
      <c r="I782" s="3" t="s">
        <v>11524</v>
      </c>
      <c r="J782" s="5" t="str">
        <f>I782</f>
        <v>抓狂</v>
      </c>
    </row>
    <row r="783">
      <c r="A783" s="5" t="str">
        <f>CONCATENATE("CATEGORY_",UPPER(Pokemon!B761))</f>
        <v>CATEGORY_BEWEAR</v>
      </c>
      <c r="B783" s="3" t="s">
        <v>11525</v>
      </c>
      <c r="C783" s="3" t="s">
        <v>11526</v>
      </c>
      <c r="D783" s="3" t="s">
        <v>11527</v>
      </c>
      <c r="E783" s="3" t="s">
        <v>11528</v>
      </c>
      <c r="F783" s="3" t="s">
        <v>11529</v>
      </c>
      <c r="G783" s="3" t="s">
        <v>11530</v>
      </c>
      <c r="H783" s="3" t="s">
        <v>11531</v>
      </c>
      <c r="I783" s="3" t="s">
        <v>11532</v>
      </c>
      <c r="J783" s="5" t="str">
        <f>IFERROR(__xludf.DUMMYFUNCTION("GOOGLETRANSLATE(I783, ""zh_HANT"",""zh_HANS"")"),"强臂")</f>
        <v>强臂</v>
      </c>
    </row>
    <row r="784">
      <c r="A784" s="5" t="str">
        <f>CONCATENATE("CATEGORY_",UPPER(Pokemon!B762))</f>
        <v>CATEGORY_BOUNSWEET</v>
      </c>
      <c r="B784" s="5" t="str">
        <f t="shared" ref="B784:K784" si="272">B370</f>
        <v>Fruit</v>
      </c>
      <c r="C784" s="5" t="str">
        <f t="shared" si="272"/>
        <v>フルーツ</v>
      </c>
      <c r="D784" s="5" t="str">
        <f t="shared" si="272"/>
        <v>Fruit</v>
      </c>
      <c r="E784" s="5" t="str">
        <f t="shared" si="272"/>
        <v>Obst</v>
      </c>
      <c r="F784" s="5" t="str">
        <f t="shared" si="272"/>
        <v>Fruto</v>
      </c>
      <c r="G784" s="5" t="str">
        <f t="shared" si="272"/>
        <v>Frutto</v>
      </c>
      <c r="H784" s="5" t="str">
        <f t="shared" si="272"/>
        <v>후르츠</v>
      </c>
      <c r="I784" s="5" t="str">
        <f t="shared" si="272"/>
        <v>水果</v>
      </c>
      <c r="J784" s="5" t="str">
        <f t="shared" si="272"/>
        <v>水果</v>
      </c>
      <c r="K784" s="5" t="str">
        <f t="shared" si="272"/>
        <v/>
      </c>
    </row>
    <row r="785">
      <c r="A785" s="5" t="str">
        <f>CONCATENATE("CATEGORY_",UPPER(Pokemon!B763))</f>
        <v>CATEGORY_STEENEE</v>
      </c>
      <c r="B785" s="5" t="str">
        <f t="shared" ref="B785:K785" si="273">B370</f>
        <v>Fruit</v>
      </c>
      <c r="C785" s="5" t="str">
        <f t="shared" si="273"/>
        <v>フルーツ</v>
      </c>
      <c r="D785" s="5" t="str">
        <f t="shared" si="273"/>
        <v>Fruit</v>
      </c>
      <c r="E785" s="5" t="str">
        <f t="shared" si="273"/>
        <v>Obst</v>
      </c>
      <c r="F785" s="5" t="str">
        <f t="shared" si="273"/>
        <v>Fruto</v>
      </c>
      <c r="G785" s="5" t="str">
        <f t="shared" si="273"/>
        <v>Frutto</v>
      </c>
      <c r="H785" s="5" t="str">
        <f t="shared" si="273"/>
        <v>후르츠</v>
      </c>
      <c r="I785" s="5" t="str">
        <f t="shared" si="273"/>
        <v>水果</v>
      </c>
      <c r="J785" s="5" t="str">
        <f t="shared" si="273"/>
        <v>水果</v>
      </c>
      <c r="K785" s="5" t="str">
        <f t="shared" si="273"/>
        <v/>
      </c>
    </row>
    <row r="786">
      <c r="A786" s="5" t="str">
        <f>CONCATENATE("CATEGORY_",UPPER(Pokemon!B764))</f>
        <v>CATEGORY_TSAREENA</v>
      </c>
      <c r="B786" s="5" t="str">
        <f t="shared" ref="B786:K786" si="274">B370</f>
        <v>Fruit</v>
      </c>
      <c r="C786" s="5" t="str">
        <f t="shared" si="274"/>
        <v>フルーツ</v>
      </c>
      <c r="D786" s="5" t="str">
        <f t="shared" si="274"/>
        <v>Fruit</v>
      </c>
      <c r="E786" s="5" t="str">
        <f t="shared" si="274"/>
        <v>Obst</v>
      </c>
      <c r="F786" s="5" t="str">
        <f t="shared" si="274"/>
        <v>Fruto</v>
      </c>
      <c r="G786" s="5" t="str">
        <f t="shared" si="274"/>
        <v>Frutto</v>
      </c>
      <c r="H786" s="5" t="str">
        <f t="shared" si="274"/>
        <v>후르츠</v>
      </c>
      <c r="I786" s="5" t="str">
        <f t="shared" si="274"/>
        <v>水果</v>
      </c>
      <c r="J786" s="5" t="str">
        <f t="shared" si="274"/>
        <v>水果</v>
      </c>
      <c r="K786" s="5" t="str">
        <f t="shared" si="274"/>
        <v/>
      </c>
    </row>
    <row r="787">
      <c r="A787" s="5" t="str">
        <f>CONCATENATE("CATEGORY_",UPPER(Pokemon!B765))</f>
        <v>CATEGORY_COMFEY</v>
      </c>
      <c r="B787" s="3" t="s">
        <v>11533</v>
      </c>
      <c r="C787" s="3" t="s">
        <v>11534</v>
      </c>
      <c r="D787" s="3" t="s">
        <v>11535</v>
      </c>
      <c r="E787" s="3" t="s">
        <v>11536</v>
      </c>
      <c r="F787" s="3" t="s">
        <v>11537</v>
      </c>
      <c r="G787" s="3" t="s">
        <v>11538</v>
      </c>
      <c r="H787" s="3" t="s">
        <v>11539</v>
      </c>
      <c r="I787" s="3" t="s">
        <v>11540</v>
      </c>
      <c r="J787" s="5" t="str">
        <f>I787</f>
        <v>摘花</v>
      </c>
    </row>
    <row r="788">
      <c r="A788" s="5" t="str">
        <f>CONCATENATE("CATEGORY_",UPPER(Pokemon!B766))</f>
        <v>CATEGORY_ORANGURU</v>
      </c>
      <c r="B788" s="3" t="s">
        <v>11541</v>
      </c>
      <c r="C788" s="3" t="s">
        <v>11542</v>
      </c>
      <c r="D788" s="5" t="str">
        <f>CONCATENATE("Grand ",B788)</f>
        <v>Grand Sage</v>
      </c>
      <c r="E788" s="3" t="s">
        <v>11543</v>
      </c>
      <c r="F788" s="3" t="s">
        <v>11544</v>
      </c>
      <c r="G788" s="3" t="s">
        <v>11545</v>
      </c>
      <c r="H788" s="3" t="s">
        <v>11546</v>
      </c>
      <c r="I788" s="3" t="s">
        <v>11547</v>
      </c>
      <c r="J788" s="5" t="str">
        <f>IFERROR(__xludf.DUMMYFUNCTION("GOOGLETRANSLATE(I788, ""zh_HANT"",""zh_HANS"")"),"贤者")</f>
        <v>贤者</v>
      </c>
    </row>
    <row r="789">
      <c r="A789" s="5" t="str">
        <f>CONCATENATE("CATEGORY_",UPPER(Pokemon!B767))</f>
        <v>CATEGORY_PASSIMIAN</v>
      </c>
      <c r="B789" s="3" t="s">
        <v>11548</v>
      </c>
      <c r="C789" s="3" t="s">
        <v>11549</v>
      </c>
      <c r="D789" s="3" t="s">
        <v>11550</v>
      </c>
      <c r="E789" s="5" t="str">
        <f>B789</f>
        <v>Teamwork</v>
      </c>
      <c r="F789" s="3" t="s">
        <v>11551</v>
      </c>
      <c r="G789" s="3" t="s">
        <v>11552</v>
      </c>
      <c r="H789" s="3" t="s">
        <v>11553</v>
      </c>
      <c r="I789" s="3" t="s">
        <v>11554</v>
      </c>
      <c r="J789" s="5" t="str">
        <f t="shared" ref="J789:J790" si="275">I789</f>
        <v>配合</v>
      </c>
    </row>
    <row r="790">
      <c r="A790" s="5" t="str">
        <f>CONCATENATE("CATEGORY_",UPPER(Pokemon!B768))</f>
        <v>CATEGORY_WIMPOD</v>
      </c>
      <c r="B790" s="3" t="s">
        <v>11555</v>
      </c>
      <c r="C790" s="3" t="s">
        <v>11556</v>
      </c>
      <c r="D790" s="3" t="s">
        <v>11557</v>
      </c>
      <c r="E790" s="3" t="s">
        <v>11558</v>
      </c>
      <c r="F790" s="3" t="s">
        <v>11559</v>
      </c>
      <c r="G790" s="3" t="s">
        <v>11560</v>
      </c>
      <c r="H790" s="3" t="s">
        <v>11561</v>
      </c>
      <c r="I790" s="3" t="s">
        <v>11562</v>
      </c>
      <c r="J790" s="5" t="str">
        <f t="shared" si="275"/>
        <v>疾行</v>
      </c>
    </row>
    <row r="791">
      <c r="A791" s="5" t="str">
        <f>CONCATENATE("CATEGORY_",UPPER(Pokemon!B769))</f>
        <v>CATEGORY_GOLISOPOD</v>
      </c>
      <c r="B791" s="3" t="s">
        <v>11563</v>
      </c>
      <c r="C791" s="5" t="str">
        <f>C790</f>
        <v>そうこう</v>
      </c>
      <c r="D791" s="3" t="s">
        <v>11564</v>
      </c>
      <c r="E791" s="3" t="s">
        <v>11565</v>
      </c>
      <c r="F791" s="3" t="s">
        <v>11566</v>
      </c>
      <c r="G791" s="3" t="s">
        <v>11567</v>
      </c>
      <c r="H791" s="3" t="s">
        <v>11568</v>
      </c>
      <c r="I791" s="3" t="s">
        <v>11569</v>
      </c>
      <c r="J791" s="5" t="str">
        <f>IFERROR(__xludf.DUMMYFUNCTION("GOOGLETRANSLATE(I791, ""zh_HANT"",""zh_HANS"")"),"装甲")</f>
        <v>装甲</v>
      </c>
    </row>
    <row r="792">
      <c r="A792" s="5" t="str">
        <f>CONCATENATE("CATEGORY_",UPPER(Pokemon!B770))</f>
        <v>CATEGORY_SANDYGAST</v>
      </c>
      <c r="B792" s="3" t="s">
        <v>11570</v>
      </c>
      <c r="C792" s="3" t="s">
        <v>11571</v>
      </c>
      <c r="D792" s="3" t="s">
        <v>11572</v>
      </c>
      <c r="E792" s="3" t="s">
        <v>11573</v>
      </c>
      <c r="F792" s="3" t="s">
        <v>11574</v>
      </c>
      <c r="G792" s="3" t="s">
        <v>11575</v>
      </c>
      <c r="H792" s="3" t="s">
        <v>11576</v>
      </c>
      <c r="I792" s="3" t="s">
        <v>11577</v>
      </c>
      <c r="J792" s="5" t="str">
        <f t="shared" ref="J792:J793" si="276">I792</f>
        <v>沙丘</v>
      </c>
    </row>
    <row r="793">
      <c r="A793" s="5" t="str">
        <f>CONCATENATE("CATEGORY_",UPPER(Pokemon!B771))</f>
        <v>CATEGORY_PALOSAND</v>
      </c>
      <c r="B793" s="3" t="s">
        <v>11578</v>
      </c>
      <c r="C793" s="3" t="s">
        <v>11579</v>
      </c>
      <c r="D793" s="3" t="s">
        <v>11580</v>
      </c>
      <c r="E793" s="3" t="s">
        <v>11581</v>
      </c>
      <c r="F793" s="3" t="s">
        <v>11582</v>
      </c>
      <c r="G793" s="3" t="s">
        <v>11583</v>
      </c>
      <c r="H793" s="3" t="s">
        <v>11584</v>
      </c>
      <c r="I793" s="3" t="s">
        <v>11585</v>
      </c>
      <c r="J793" s="5" t="str">
        <f t="shared" si="276"/>
        <v>沙堡</v>
      </c>
    </row>
    <row r="794">
      <c r="A794" s="5" t="str">
        <f>CONCATENATE("CATEGORY_",UPPER(Pokemon!B772))</f>
        <v>CATEGORY_PYUKUMUKU</v>
      </c>
      <c r="B794" s="3" t="s">
        <v>11586</v>
      </c>
      <c r="C794" s="3" t="s">
        <v>11587</v>
      </c>
      <c r="D794" s="3" t="s">
        <v>11588</v>
      </c>
      <c r="E794" s="3" t="s">
        <v>11589</v>
      </c>
      <c r="F794" s="3" t="s">
        <v>11590</v>
      </c>
      <c r="G794" s="3" t="s">
        <v>11591</v>
      </c>
      <c r="H794" s="3" t="s">
        <v>11592</v>
      </c>
      <c r="I794" s="3" t="s">
        <v>11593</v>
      </c>
      <c r="J794" s="5" t="str">
        <f>IFERROR(__xludf.DUMMYFUNCTION("GOOGLETRANSLATE(I794, ""zh_HANT"",""zh_HANS"")"),"海参")</f>
        <v>海参</v>
      </c>
    </row>
    <row r="795">
      <c r="A795" s="3" t="s">
        <v>11594</v>
      </c>
      <c r="B795" s="3" t="s">
        <v>11595</v>
      </c>
      <c r="C795" s="3" t="s">
        <v>11596</v>
      </c>
      <c r="D795" s="3" t="s">
        <v>11597</v>
      </c>
      <c r="E795" s="3" t="s">
        <v>11598</v>
      </c>
      <c r="F795" s="3" t="s">
        <v>11599</v>
      </c>
      <c r="G795" s="3" t="s">
        <v>11600</v>
      </c>
      <c r="H795" s="3" t="s">
        <v>11601</v>
      </c>
      <c r="I795" s="3" t="s">
        <v>11602</v>
      </c>
      <c r="J795" s="5" t="str">
        <f>I795</f>
        <v>人工</v>
      </c>
    </row>
    <row r="796">
      <c r="A796" s="5" t="str">
        <f>CONCATENATE("CATEGORY_",UPPER(Pokemon!B774))</f>
        <v>CATEGORY_SILVALLY</v>
      </c>
      <c r="B796" s="5" t="str">
        <f t="shared" ref="B796:J796" si="277">B795</f>
        <v>Synthetic</v>
      </c>
      <c r="C796" s="5" t="str">
        <f t="shared" si="277"/>
        <v>じんこう</v>
      </c>
      <c r="D796" s="5" t="str">
        <f t="shared" si="277"/>
        <v>Multigénome</v>
      </c>
      <c r="E796" s="5" t="str">
        <f t="shared" si="277"/>
        <v>Modifikation</v>
      </c>
      <c r="F796" s="5" t="str">
        <f t="shared" si="277"/>
        <v>Multigénico</v>
      </c>
      <c r="G796" s="5" t="str">
        <f t="shared" si="277"/>
        <v>Multigene</v>
      </c>
      <c r="H796" s="5" t="str">
        <f t="shared" si="277"/>
        <v>인공</v>
      </c>
      <c r="I796" s="5" t="str">
        <f t="shared" si="277"/>
        <v>人工</v>
      </c>
      <c r="J796" s="5" t="str">
        <f t="shared" si="277"/>
        <v>人工</v>
      </c>
    </row>
    <row r="797">
      <c r="A797" s="5" t="str">
        <f>CONCATENATE("CATEGORY_",UPPER(Pokemon!B775))</f>
        <v>CATEGORY_MINIOR</v>
      </c>
      <c r="B797" s="3" t="s">
        <v>11603</v>
      </c>
      <c r="C797" s="3" t="s">
        <v>11604</v>
      </c>
      <c r="D797" s="3" t="s">
        <v>11605</v>
      </c>
      <c r="E797" s="5" t="str">
        <f>B797</f>
        <v>Meteor</v>
      </c>
      <c r="F797" s="5" t="str">
        <f>CONCATENATE(B797,"o")</f>
        <v>Meteoro</v>
      </c>
      <c r="G797" s="5" t="str">
        <f>CONCATENATE(B797,"a")</f>
        <v>Meteora</v>
      </c>
      <c r="H797" s="3" t="s">
        <v>11606</v>
      </c>
      <c r="I797" s="3" t="s">
        <v>11607</v>
      </c>
      <c r="J797" s="5" t="str">
        <f>I797</f>
        <v>流星</v>
      </c>
    </row>
    <row r="798">
      <c r="A798" s="5" t="str">
        <f>CONCATENATE("CATEGORY_",UPPER(Pokemon!B776))</f>
        <v>CATEGORY_KOMALA</v>
      </c>
      <c r="B798" s="5" t="str">
        <f t="shared" ref="B798:K798" si="278">B531</f>
        <v>Drowsing</v>
      </c>
      <c r="C798" s="5" t="str">
        <f t="shared" si="278"/>
        <v>ゆねうつつ</v>
      </c>
      <c r="D798" s="5" t="str">
        <f t="shared" si="278"/>
        <v>Rêveur</v>
      </c>
      <c r="E798" s="5" t="str">
        <f t="shared" si="278"/>
        <v>Halbschlaf</v>
      </c>
      <c r="F798" s="5" t="str">
        <f t="shared" si="278"/>
        <v>Duermevela</v>
      </c>
      <c r="G798" s="5" t="str">
        <f t="shared" si="278"/>
        <v>Dormiveglia</v>
      </c>
      <c r="H798" s="5" t="str">
        <f t="shared" si="278"/>
        <v>꿈결</v>
      </c>
      <c r="I798" s="5" t="str">
        <f t="shared" si="278"/>
        <v>半夢半醒</v>
      </c>
      <c r="J798" s="5" t="str">
        <f t="shared" si="278"/>
        <v>半梦半醒</v>
      </c>
      <c r="K798" s="5" t="str">
        <f t="shared" si="278"/>
        <v/>
      </c>
    </row>
    <row r="799">
      <c r="A799" s="5" t="str">
        <f>CONCATENATE("CATEGORY_",UPPER(Pokemon!B777))</f>
        <v>CATEGORY_TURTONATOR</v>
      </c>
      <c r="B799" s="3" t="s">
        <v>11608</v>
      </c>
      <c r="C799" s="3" t="s">
        <v>11609</v>
      </c>
      <c r="D799" s="3" t="s">
        <v>11610</v>
      </c>
      <c r="E799" s="3" t="s">
        <v>11611</v>
      </c>
      <c r="F799" s="3" t="s">
        <v>11612</v>
      </c>
      <c r="G799" s="3" t="s">
        <v>11613</v>
      </c>
      <c r="H799" s="3" t="s">
        <v>11614</v>
      </c>
      <c r="I799" s="3" t="s">
        <v>11615</v>
      </c>
      <c r="J799" s="5" t="str">
        <f>IFERROR(__xludf.DUMMYFUNCTION("GOOGLETRANSLATE(I799, ""zh_HANT"",""zh_HANS"")"),"爆炸龟")</f>
        <v>爆炸龟</v>
      </c>
    </row>
    <row r="800">
      <c r="A800" s="5" t="str">
        <f>CONCATENATE("CATEGORY_",UPPER(Pokemon!B778))</f>
        <v>CATEGORY_TOGEDEMARU</v>
      </c>
      <c r="B800" s="3" t="s">
        <v>11616</v>
      </c>
      <c r="C800" s="3" t="s">
        <v>11617</v>
      </c>
      <c r="D800" s="3" t="s">
        <v>11618</v>
      </c>
      <c r="E800" s="3" t="s">
        <v>11619</v>
      </c>
      <c r="F800" s="3" t="s">
        <v>11620</v>
      </c>
      <c r="G800" s="3" t="s">
        <v>11621</v>
      </c>
      <c r="H800" s="3" t="s">
        <v>11622</v>
      </c>
      <c r="I800" s="3" t="s">
        <v>11623</v>
      </c>
      <c r="J800" s="5" t="str">
        <f>IFERROR(__xludf.DUMMYFUNCTION("GOOGLETRANSLATE(I800, ""zh_HANT"",""zh_HANS"")"),"蜷缩")</f>
        <v>蜷缩</v>
      </c>
    </row>
    <row r="801">
      <c r="A801" s="5" t="str">
        <f>CONCATENATE("CATEGORY_",UPPER(Pokemon!B779))</f>
        <v>CATEGORY_MIMIKYU</v>
      </c>
      <c r="B801" s="5" t="str">
        <f>Abilities!B210</f>
        <v>Disguise</v>
      </c>
      <c r="C801" s="5" t="str">
        <f>Abilities!C210</f>
        <v>ばけのかわ</v>
      </c>
      <c r="D801" s="5" t="str">
        <f>Abilities!D210</f>
        <v>Fantômasque</v>
      </c>
      <c r="E801" s="5" t="str">
        <f>Abilities!E210</f>
        <v>Kostümspuk</v>
      </c>
      <c r="F801" s="5" t="str">
        <f>Abilities!F210</f>
        <v>Disfraz</v>
      </c>
      <c r="G801" s="5" t="str">
        <f>Abilities!G210</f>
        <v>Fantasmanto</v>
      </c>
      <c r="H801" s="5" t="str">
        <f>Abilities!H210</f>
        <v>탈</v>
      </c>
      <c r="I801" s="5" t="str">
        <f>Abilities!I210</f>
        <v>畫皮</v>
      </c>
      <c r="J801" s="5" t="str">
        <f>Abilities!J210</f>
        <v>画皮</v>
      </c>
    </row>
    <row r="802">
      <c r="A802" s="5" t="str">
        <f>CONCATENATE("CATEGORY_",UPPER(Pokemon!B780))</f>
        <v>CATEGORY_BRUXISH</v>
      </c>
      <c r="B802" s="3" t="s">
        <v>11624</v>
      </c>
      <c r="C802" s="3" t="s">
        <v>11625</v>
      </c>
      <c r="D802" s="3" t="s">
        <v>11626</v>
      </c>
      <c r="E802" s="3" t="s">
        <v>11627</v>
      </c>
      <c r="F802" s="3" t="s">
        <v>11628</v>
      </c>
      <c r="G802" s="3" t="s">
        <v>11629</v>
      </c>
      <c r="H802" s="3" t="s">
        <v>11630</v>
      </c>
      <c r="I802" s="3" t="s">
        <v>11631</v>
      </c>
      <c r="J802" s="5" t="str">
        <f t="shared" ref="J802:J804" si="279">I802</f>
        <v>磨牙</v>
      </c>
    </row>
    <row r="803">
      <c r="A803" s="5" t="str">
        <f>CONCATENATE("CATEGORY_",UPPER(Pokemon!B781))</f>
        <v>CATEGORY_DRAMPA</v>
      </c>
      <c r="B803" s="3" t="s">
        <v>11632</v>
      </c>
      <c r="C803" s="3" t="s">
        <v>11633</v>
      </c>
      <c r="D803" s="3" t="s">
        <v>11634</v>
      </c>
      <c r="E803" s="3" t="s">
        <v>11635</v>
      </c>
      <c r="F803" s="3" t="s">
        <v>11636</v>
      </c>
      <c r="G803" s="3" t="s">
        <v>11637</v>
      </c>
      <c r="H803" s="3" t="s">
        <v>11638</v>
      </c>
      <c r="I803" s="3" t="s">
        <v>11639</v>
      </c>
      <c r="J803" s="5" t="str">
        <f t="shared" si="279"/>
        <v>悠遊</v>
      </c>
    </row>
    <row r="804">
      <c r="A804" s="5" t="str">
        <f>CONCATENATE("CATEGORY_",UPPER(Pokemon!B782))</f>
        <v>CATEGORY_DHELMISE</v>
      </c>
      <c r="B804" s="3" t="s">
        <v>11640</v>
      </c>
      <c r="C804" s="3" t="s">
        <v>11641</v>
      </c>
      <c r="D804" s="3" t="s">
        <v>11642</v>
      </c>
      <c r="E804" s="3" t="s">
        <v>11643</v>
      </c>
      <c r="F804" s="3" t="s">
        <v>11644</v>
      </c>
      <c r="G804" s="3" t="s">
        <v>11645</v>
      </c>
      <c r="H804" s="3" t="s">
        <v>11646</v>
      </c>
      <c r="I804" s="3" t="s">
        <v>11647</v>
      </c>
      <c r="J804" s="5" t="str">
        <f t="shared" si="279"/>
        <v>碎藻</v>
      </c>
    </row>
    <row r="805">
      <c r="A805" s="5" t="str">
        <f>CONCATENATE("CATEGORY_",SUBSTITUTE(UPPER(Pokemon!B783),"-",""))</f>
        <v>CATEGORY_JANGMOO</v>
      </c>
      <c r="B805" s="3" t="s">
        <v>11648</v>
      </c>
      <c r="C805" s="3" t="s">
        <v>11649</v>
      </c>
      <c r="D805" s="3" t="s">
        <v>11650</v>
      </c>
      <c r="E805" s="3" t="s">
        <v>11651</v>
      </c>
      <c r="F805" s="3" t="s">
        <v>11652</v>
      </c>
      <c r="G805" s="3" t="s">
        <v>11653</v>
      </c>
      <c r="H805" s="3" t="s">
        <v>11654</v>
      </c>
      <c r="I805" s="3" t="s">
        <v>11655</v>
      </c>
      <c r="J805" s="5" t="str">
        <f>IFERROR(__xludf.DUMMYFUNCTION("GOOGLETRANSLATE(I805, ""zh_HANT"",""zh_HANS"")"),"鳞片")</f>
        <v>鳞片</v>
      </c>
    </row>
    <row r="806">
      <c r="A806" s="5" t="str">
        <f>CONCATENATE("CATEGORY_",SUBSTITUTE(UPPER(Pokemon!B784),"-",""))</f>
        <v>CATEGORY_HAKAMOO</v>
      </c>
      <c r="B806" s="5" t="str">
        <f t="shared" ref="B806:J806" si="280">B805</f>
        <v>Scaly</v>
      </c>
      <c r="C806" s="5" t="str">
        <f t="shared" si="280"/>
        <v>うろこ</v>
      </c>
      <c r="D806" s="5" t="str">
        <f t="shared" si="280"/>
        <v>Écailles</v>
      </c>
      <c r="E806" s="5" t="str">
        <f t="shared" si="280"/>
        <v>Schuppentier</v>
      </c>
      <c r="F806" s="5" t="str">
        <f t="shared" si="280"/>
        <v>Escamas</v>
      </c>
      <c r="G806" s="5" t="str">
        <f t="shared" si="280"/>
        <v>Squama</v>
      </c>
      <c r="H806" s="5" t="str">
        <f t="shared" si="280"/>
        <v>비늘</v>
      </c>
      <c r="I806" s="5" t="str">
        <f t="shared" si="280"/>
        <v>鱗片</v>
      </c>
      <c r="J806" s="5" t="str">
        <f t="shared" si="280"/>
        <v>鳞片</v>
      </c>
    </row>
    <row r="807">
      <c r="A807" s="5" t="str">
        <f>CONCATENATE("CATEGORY_",SUBSTITUTE(UPPER(Pokemon!B785),"-",""))</f>
        <v>CATEGORY_KOMMOO</v>
      </c>
      <c r="B807" s="5" t="str">
        <f t="shared" ref="B807:J807" si="281">B805</f>
        <v>Scaly</v>
      </c>
      <c r="C807" s="5" t="str">
        <f t="shared" si="281"/>
        <v>うろこ</v>
      </c>
      <c r="D807" s="5" t="str">
        <f t="shared" si="281"/>
        <v>Écailles</v>
      </c>
      <c r="E807" s="5" t="str">
        <f t="shared" si="281"/>
        <v>Schuppentier</v>
      </c>
      <c r="F807" s="5" t="str">
        <f t="shared" si="281"/>
        <v>Escamas</v>
      </c>
      <c r="G807" s="5" t="str">
        <f t="shared" si="281"/>
        <v>Squama</v>
      </c>
      <c r="H807" s="5" t="str">
        <f t="shared" si="281"/>
        <v>비늘</v>
      </c>
      <c r="I807" s="5" t="str">
        <f t="shared" si="281"/>
        <v>鱗片</v>
      </c>
      <c r="J807" s="5" t="str">
        <f t="shared" si="281"/>
        <v>鳞片</v>
      </c>
    </row>
    <row r="808">
      <c r="A808" s="5" t="str">
        <f>CONCATENATE("CATEGORY_",SUBSTITUTE(UPPER(Pokemon!B786)," ",""))</f>
        <v>CATEGORY_TAPUKOKO</v>
      </c>
      <c r="B808" s="3" t="s">
        <v>11656</v>
      </c>
      <c r="C808" s="3" t="s">
        <v>11657</v>
      </c>
      <c r="D808" s="3" t="s">
        <v>11658</v>
      </c>
      <c r="E808" s="3" t="s">
        <v>11659</v>
      </c>
      <c r="F808" s="3" t="s">
        <v>11660</v>
      </c>
      <c r="G808" s="3" t="s">
        <v>11661</v>
      </c>
      <c r="H808" s="3" t="s">
        <v>11662</v>
      </c>
      <c r="I808" s="3" t="s">
        <v>11663</v>
      </c>
      <c r="J808" s="5" t="str">
        <f>I808</f>
        <v>土地神</v>
      </c>
    </row>
    <row r="809">
      <c r="A809" s="5" t="str">
        <f>CONCATENATE("CATEGORY_",SUBSTITUTE(UPPER(Pokemon!B787)," ",""))</f>
        <v>CATEGORY_TAPULELE</v>
      </c>
      <c r="B809" s="5" t="str">
        <f t="shared" ref="B809:J809" si="282">B808</f>
        <v>Land Spirit</v>
      </c>
      <c r="C809" s="5" t="str">
        <f t="shared" si="282"/>
        <v>とちがみ</v>
      </c>
      <c r="D809" s="5" t="str">
        <f t="shared" si="282"/>
        <v>Tutélaire</v>
      </c>
      <c r="E809" s="5" t="str">
        <f t="shared" si="282"/>
        <v>Schutzpatron</v>
      </c>
      <c r="F809" s="5" t="str">
        <f t="shared" si="282"/>
        <v>Dios Nativo</v>
      </c>
      <c r="G809" s="5" t="str">
        <f t="shared" si="282"/>
        <v>Nume Locale</v>
      </c>
      <c r="H809" s="5" t="str">
        <f t="shared" si="282"/>
        <v>토속신</v>
      </c>
      <c r="I809" s="5" t="str">
        <f t="shared" si="282"/>
        <v>土地神</v>
      </c>
      <c r="J809" s="5" t="str">
        <f t="shared" si="282"/>
        <v>土地神</v>
      </c>
    </row>
    <row r="810">
      <c r="A810" s="5" t="str">
        <f>CONCATENATE("CATEGORY_",SUBSTITUTE(UPPER(Pokemon!B788)," ",""))</f>
        <v>CATEGORY_TAPUBULU</v>
      </c>
      <c r="B810" s="5" t="str">
        <f t="shared" ref="B810:J810" si="283">B808</f>
        <v>Land Spirit</v>
      </c>
      <c r="C810" s="5" t="str">
        <f t="shared" si="283"/>
        <v>とちがみ</v>
      </c>
      <c r="D810" s="5" t="str">
        <f t="shared" si="283"/>
        <v>Tutélaire</v>
      </c>
      <c r="E810" s="5" t="str">
        <f t="shared" si="283"/>
        <v>Schutzpatron</v>
      </c>
      <c r="F810" s="5" t="str">
        <f t="shared" si="283"/>
        <v>Dios Nativo</v>
      </c>
      <c r="G810" s="5" t="str">
        <f t="shared" si="283"/>
        <v>Nume Locale</v>
      </c>
      <c r="H810" s="5" t="str">
        <f t="shared" si="283"/>
        <v>토속신</v>
      </c>
      <c r="I810" s="5" t="str">
        <f t="shared" si="283"/>
        <v>土地神</v>
      </c>
      <c r="J810" s="5" t="str">
        <f t="shared" si="283"/>
        <v>土地神</v>
      </c>
    </row>
    <row r="811">
      <c r="A811" s="5" t="str">
        <f>CONCATENATE("CATEGORY_",SUBSTITUTE(UPPER(Pokemon!B789)," ",""))</f>
        <v>CATEGORY_TAPUFINI</v>
      </c>
      <c r="B811" s="5" t="str">
        <f t="shared" ref="B811:J811" si="284">B808</f>
        <v>Land Spirit</v>
      </c>
      <c r="C811" s="5" t="str">
        <f t="shared" si="284"/>
        <v>とちがみ</v>
      </c>
      <c r="D811" s="5" t="str">
        <f t="shared" si="284"/>
        <v>Tutélaire</v>
      </c>
      <c r="E811" s="5" t="str">
        <f t="shared" si="284"/>
        <v>Schutzpatron</v>
      </c>
      <c r="F811" s="5" t="str">
        <f t="shared" si="284"/>
        <v>Dios Nativo</v>
      </c>
      <c r="G811" s="5" t="str">
        <f t="shared" si="284"/>
        <v>Nume Locale</v>
      </c>
      <c r="H811" s="5" t="str">
        <f t="shared" si="284"/>
        <v>토속신</v>
      </c>
      <c r="I811" s="5" t="str">
        <f t="shared" si="284"/>
        <v>土地神</v>
      </c>
      <c r="J811" s="5" t="str">
        <f t="shared" si="284"/>
        <v>土地神</v>
      </c>
    </row>
    <row r="812">
      <c r="A812" s="5" t="str">
        <f>CONCATENATE("CATEGORY_",UPPER(Pokemon!B790))</f>
        <v>CATEGORY_COSMOG</v>
      </c>
      <c r="B812" s="3" t="s">
        <v>11664</v>
      </c>
      <c r="C812" s="3" t="s">
        <v>11665</v>
      </c>
      <c r="D812" s="3" t="s">
        <v>11666</v>
      </c>
      <c r="E812" s="5" t="str">
        <f>B812</f>
        <v>Nebula</v>
      </c>
      <c r="F812" s="3" t="s">
        <v>11667</v>
      </c>
      <c r="G812" s="5" t="str">
        <f>F812</f>
        <v>Nebulosa</v>
      </c>
      <c r="H812" s="3" t="s">
        <v>11668</v>
      </c>
      <c r="I812" s="3" t="s">
        <v>11669</v>
      </c>
      <c r="J812" s="5" t="str">
        <f>IFERROR(__xludf.DUMMYFUNCTION("GOOGLETRANSLATE(I812, ""zh_HANT"",""zh_HANS"")"),"星云")</f>
        <v>星云</v>
      </c>
    </row>
    <row r="813">
      <c r="A813" s="5" t="str">
        <f>CONCATENATE("CATEGORY_",UPPER(Pokemon!B791))</f>
        <v>CATEGORY_COSMOEM</v>
      </c>
      <c r="B813" s="3" t="s">
        <v>11670</v>
      </c>
      <c r="C813" s="3" t="s">
        <v>11671</v>
      </c>
      <c r="D813" s="3" t="s">
        <v>11672</v>
      </c>
      <c r="E813" s="3" t="s">
        <v>11673</v>
      </c>
      <c r="F813" s="3" t="s">
        <v>11674</v>
      </c>
      <c r="G813" s="3" t="s">
        <v>11675</v>
      </c>
      <c r="H813" s="3" t="s">
        <v>11676</v>
      </c>
      <c r="I813" s="3" t="s">
        <v>11677</v>
      </c>
      <c r="J813" s="5" t="str">
        <f>I813</f>
        <v>原始星</v>
      </c>
    </row>
    <row r="814">
      <c r="A814" s="5" t="str">
        <f>CONCATENATE("CATEGORY_",UPPER(Pokemon!B792))</f>
        <v>CATEGORY_SOLGALEO</v>
      </c>
      <c r="B814" s="3" t="s">
        <v>11678</v>
      </c>
      <c r="C814" s="3" t="s">
        <v>11679</v>
      </c>
      <c r="D814" s="7" t="s">
        <v>11680</v>
      </c>
      <c r="E814" s="7" t="s">
        <v>11681</v>
      </c>
      <c r="F814" s="7" t="s">
        <v>11682</v>
      </c>
      <c r="G814" s="7" t="s">
        <v>11683</v>
      </c>
      <c r="H814" s="3" t="s">
        <v>11684</v>
      </c>
      <c r="I814" s="3" t="s">
        <v>11685</v>
      </c>
      <c r="J814" s="5" t="str">
        <f>IFERROR(__xludf.DUMMYFUNCTION("GOOGLETRANSLATE(I814, ""zh_HANT"",""zh_HANS"")"),"日轮")</f>
        <v>日轮</v>
      </c>
    </row>
    <row r="815">
      <c r="A815" s="5" t="str">
        <f>CONCATENATE("CATEGORY_",UPPER(Pokemon!B793))</f>
        <v>CATEGORY_LUNALA</v>
      </c>
      <c r="B815" s="3" t="s">
        <v>11686</v>
      </c>
      <c r="C815" s="3" t="s">
        <v>11687</v>
      </c>
      <c r="D815" s="7" t="s">
        <v>11688</v>
      </c>
      <c r="E815" s="7" t="s">
        <v>11689</v>
      </c>
      <c r="F815" s="7" t="s">
        <v>11690</v>
      </c>
      <c r="G815" s="7" t="s">
        <v>11691</v>
      </c>
      <c r="H815" s="3" t="s">
        <v>11692</v>
      </c>
      <c r="I815" s="3" t="s">
        <v>11693</v>
      </c>
      <c r="J815" s="5" t="str">
        <f>IFERROR(__xludf.DUMMYFUNCTION("GOOGLETRANSLATE(I815, ""zh_HANT"",""zh_HANS"")"),"月轮")</f>
        <v>月轮</v>
      </c>
    </row>
    <row r="816">
      <c r="A816" s="5" t="str">
        <f>CONCATENATE("CATEGORY_",UPPER(Pokemon!B794))</f>
        <v>CATEGORY_NIHILEGO</v>
      </c>
      <c r="B816" s="3" t="s">
        <v>11694</v>
      </c>
      <c r="C816" s="3" t="s">
        <v>11695</v>
      </c>
      <c r="D816" s="5" t="str">
        <f>B816</f>
        <v>Parasite</v>
      </c>
      <c r="E816" s="3" t="s">
        <v>11696</v>
      </c>
      <c r="F816" s="3" t="s">
        <v>11697</v>
      </c>
      <c r="G816" s="3" t="s">
        <v>11698</v>
      </c>
      <c r="H816" s="3" t="s">
        <v>7686</v>
      </c>
      <c r="I816" s="3" t="s">
        <v>11699</v>
      </c>
      <c r="J816" s="5" t="str">
        <f>I816</f>
        <v>寄生</v>
      </c>
    </row>
    <row r="817">
      <c r="A817" s="5" t="str">
        <f>CONCATENATE("CATEGORY_",UPPER(Pokemon!B795))</f>
        <v>CATEGORY_BUZZWOLE</v>
      </c>
      <c r="B817" s="3" t="s">
        <v>11700</v>
      </c>
      <c r="C817" s="3" t="s">
        <v>11701</v>
      </c>
      <c r="D817" s="3" t="s">
        <v>11702</v>
      </c>
      <c r="E817" s="3" t="s">
        <v>11703</v>
      </c>
      <c r="F817" s="3" t="s">
        <v>11704</v>
      </c>
      <c r="G817" s="3" t="s">
        <v>11705</v>
      </c>
      <c r="H817" s="3" t="s">
        <v>11706</v>
      </c>
      <c r="I817" s="3" t="s">
        <v>11707</v>
      </c>
      <c r="J817" s="5" t="str">
        <f>IFERROR(__xludf.DUMMYFUNCTION("GOOGLETRANSLATE(I817, ""zh_HANT"",""zh_HANS"")"),"膨胀")</f>
        <v>膨胀</v>
      </c>
    </row>
    <row r="818">
      <c r="A818" s="5" t="str">
        <f>CONCATENATE("CATEGORY_",UPPER(Pokemon!B796))</f>
        <v>CATEGORY_PHEROMOSA</v>
      </c>
      <c r="B818" s="3" t="s">
        <v>11708</v>
      </c>
      <c r="C818" s="3" t="s">
        <v>11709</v>
      </c>
      <c r="D818" s="3" t="s">
        <v>11710</v>
      </c>
      <c r="E818" s="3" t="s">
        <v>11711</v>
      </c>
      <c r="F818" s="3" t="s">
        <v>11712</v>
      </c>
      <c r="G818" s="3" t="s">
        <v>11713</v>
      </c>
      <c r="H818" s="3" t="s">
        <v>11714</v>
      </c>
      <c r="I818" s="3" t="s">
        <v>11715</v>
      </c>
      <c r="J818" s="5" t="str">
        <f>IFERROR(__xludf.DUMMYFUNCTION("GOOGLETRANSLATE(I818, ""zh_HANT"",""zh_HANS"")"),"美艳")</f>
        <v>美艳</v>
      </c>
    </row>
    <row r="819">
      <c r="A819" s="5" t="str">
        <f>CONCATENATE("CATEGORY_",UPPER(Pokemon!B797))</f>
        <v>CATEGORY_XURKITREE</v>
      </c>
      <c r="B819" s="3" t="s">
        <v>11716</v>
      </c>
      <c r="C819" s="3" t="s">
        <v>11717</v>
      </c>
      <c r="D819" s="3" t="s">
        <v>11718</v>
      </c>
      <c r="E819" s="3" t="s">
        <v>11719</v>
      </c>
      <c r="F819" s="3" t="s">
        <v>11720</v>
      </c>
      <c r="G819" s="5" t="str">
        <f>F819</f>
        <v>Luminaria</v>
      </c>
      <c r="H819" s="3" t="s">
        <v>11721</v>
      </c>
      <c r="I819" s="3" t="s">
        <v>11722</v>
      </c>
      <c r="J819" s="5" t="str">
        <f>IFERROR(__xludf.DUMMYFUNCTION("GOOGLETRANSLATE(I819, ""zh_HANT"",""zh_HANS"")"),"灯饰")</f>
        <v>灯饰</v>
      </c>
    </row>
    <row r="820">
      <c r="A820" s="5" t="str">
        <f>CONCATENATE("CATEGORY_",UPPER(Pokemon!B798))</f>
        <v>CATEGORY_CELESTEELA</v>
      </c>
      <c r="B820" s="3" t="s">
        <v>11723</v>
      </c>
      <c r="C820" s="3" t="s">
        <v>11724</v>
      </c>
      <c r="D820" s="3" t="s">
        <v>11725</v>
      </c>
      <c r="E820" s="3" t="s">
        <v>11726</v>
      </c>
      <c r="F820" s="3" t="s">
        <v>11727</v>
      </c>
      <c r="G820" s="3" t="s">
        <v>11728</v>
      </c>
      <c r="H820" s="3" t="s">
        <v>11729</v>
      </c>
      <c r="I820" s="3" t="s">
        <v>11730</v>
      </c>
      <c r="J820" s="5" t="str">
        <f>IFERROR(__xludf.DUMMYFUNCTION("GOOGLETRANSLATE(I820, ""zh_HANT"",""zh_HANS"")"),"发射")</f>
        <v>发射</v>
      </c>
    </row>
    <row r="821">
      <c r="A821" s="5" t="str">
        <f>CONCATENATE("CATEGORY_",UPPER(Pokemon!B799))</f>
        <v>CATEGORY_KARTANA</v>
      </c>
      <c r="B821" s="3" t="s">
        <v>11731</v>
      </c>
      <c r="C821" s="3" t="s">
        <v>11732</v>
      </c>
      <c r="D821" s="3" t="s">
        <v>11733</v>
      </c>
      <c r="E821" s="3" t="s">
        <v>11734</v>
      </c>
      <c r="F821" s="3" t="s">
        <v>11735</v>
      </c>
      <c r="G821" s="3" t="s">
        <v>11736</v>
      </c>
      <c r="H821" s="3" t="s">
        <v>11737</v>
      </c>
      <c r="I821" s="3" t="s">
        <v>11738</v>
      </c>
      <c r="J821" s="5" t="str">
        <f>I821</f>
        <v>拔刀</v>
      </c>
    </row>
    <row r="822">
      <c r="A822" s="5" t="str">
        <f>CONCATENATE("CATEGORY_",UPPER(Pokemon!B800))</f>
        <v>CATEGORY_GUZZLORD</v>
      </c>
      <c r="B822" s="3" t="s">
        <v>11739</v>
      </c>
      <c r="C822" s="3" t="s">
        <v>11740</v>
      </c>
      <c r="D822" s="3" t="s">
        <v>11741</v>
      </c>
      <c r="E822" s="3" t="s">
        <v>11742</v>
      </c>
      <c r="F822" s="3" t="s">
        <v>11743</v>
      </c>
      <c r="G822" s="3" t="s">
        <v>11744</v>
      </c>
      <c r="H822" s="3" t="s">
        <v>11745</v>
      </c>
      <c r="I822" s="3" t="s">
        <v>11746</v>
      </c>
      <c r="J822" s="5" t="str">
        <f>IFERROR(__xludf.DUMMYFUNCTION("GOOGLETRANSLATE(I822, ""zh_HANT"",""zh_HANS"")"),"异食")</f>
        <v>异食</v>
      </c>
    </row>
    <row r="823">
      <c r="A823" s="5" t="str">
        <f>CONCATENATE("CATEGORY_",UPPER(Pokemon!B801))</f>
        <v>CATEGORY_NECROZMA</v>
      </c>
      <c r="B823" s="3" t="s">
        <v>11747</v>
      </c>
      <c r="C823" s="3" t="s">
        <v>11748</v>
      </c>
      <c r="D823" s="5" t="str">
        <f>CONCATENATE(B823,"e")</f>
        <v>Prisme</v>
      </c>
      <c r="E823" s="5" t="str">
        <f>CONCATENATE(B823,"a")</f>
        <v>Prisma</v>
      </c>
      <c r="F823" s="5" t="str">
        <f>E823</f>
        <v>Prisma</v>
      </c>
      <c r="G823" s="5" t="str">
        <f>E823</f>
        <v>Prisma</v>
      </c>
      <c r="H823" s="3" t="s">
        <v>11749</v>
      </c>
      <c r="I823" s="3" t="s">
        <v>11750</v>
      </c>
      <c r="J823" s="5" t="str">
        <f>IFERROR(__xludf.DUMMYFUNCTION("GOOGLETRANSLATE(I823, ""zh_HANT"",""zh_HANS"")"),"稜鏡")</f>
        <v>稜鏡</v>
      </c>
    </row>
    <row r="824">
      <c r="A824" s="5" t="str">
        <f>CONCATENATE("CATEGORY_",UPPER(Pokemon!B802))</f>
        <v>CATEGORY_MAGEARNA</v>
      </c>
      <c r="B824" s="3" t="s">
        <v>11751</v>
      </c>
      <c r="C824" s="3" t="s">
        <v>11752</v>
      </c>
      <c r="D824" s="3" t="s">
        <v>11753</v>
      </c>
      <c r="E824" s="3" t="s">
        <v>11754</v>
      </c>
      <c r="F824" s="5" t="str">
        <f>B824</f>
        <v>Artificial</v>
      </c>
      <c r="G824" s="5" t="str">
        <f>CONCATENATE(B824,"e")</f>
        <v>Artificiale</v>
      </c>
      <c r="H824" s="3" t="s">
        <v>11755</v>
      </c>
      <c r="I824" s="3" t="s">
        <v>11756</v>
      </c>
      <c r="J824" s="5" t="str">
        <f>I824</f>
        <v>人造</v>
      </c>
    </row>
    <row r="825">
      <c r="A825" s="5" t="str">
        <f>CONCATENATE("CATEGORY_",UPPER(Pokemon!B803))</f>
        <v>CATEGORY_MARSHADOW</v>
      </c>
      <c r="B825" s="3" t="s">
        <v>11757</v>
      </c>
      <c r="C825" s="3" t="s">
        <v>11758</v>
      </c>
      <c r="D825" s="3" t="s">
        <v>11759</v>
      </c>
      <c r="E825" s="3" t="s">
        <v>11760</v>
      </c>
      <c r="F825" s="3" t="s">
        <v>11761</v>
      </c>
      <c r="G825" s="3" t="s">
        <v>11762</v>
      </c>
      <c r="H825" s="3" t="s">
        <v>11763</v>
      </c>
      <c r="I825" s="3" t="s">
        <v>11764</v>
      </c>
      <c r="J825" s="5" t="str">
        <f>IFERROR(__xludf.DUMMYFUNCTION("GOOGLETRANSLATE(I825, ""zh_HANT"",""zh_HANS"")"),"栖影")</f>
        <v>栖影</v>
      </c>
    </row>
    <row r="826">
      <c r="A826" s="5" t="str">
        <f>CONCATENATE("CATEGORY_",UPPER(Pokemon!B804))</f>
        <v>CATEGORY_POIPOLE</v>
      </c>
      <c r="B826" s="5" t="str">
        <f t="shared" ref="B826:K826" si="285">B30</f>
        <v>Poison Pin</v>
      </c>
      <c r="C826" s="5" t="str">
        <f t="shared" si="285"/>
        <v>どくばり</v>
      </c>
      <c r="D826" s="5" t="str">
        <f t="shared" si="285"/>
        <v>Vénépic</v>
      </c>
      <c r="E826" s="5" t="str">
        <f t="shared" si="285"/>
        <v>Giftdorn</v>
      </c>
      <c r="F826" s="5" t="str">
        <f t="shared" si="285"/>
        <v>Pin Veneno</v>
      </c>
      <c r="G826" s="5" t="str">
        <f t="shared" si="285"/>
        <v>Velenago</v>
      </c>
      <c r="H826" s="5" t="str">
        <f t="shared" si="285"/>
        <v>독침</v>
      </c>
      <c r="I826" s="5" t="str">
        <f t="shared" si="285"/>
        <v>毒針</v>
      </c>
      <c r="J826" s="5" t="str">
        <f t="shared" si="285"/>
        <v>毒针</v>
      </c>
      <c r="K826" s="5" t="str">
        <f t="shared" si="285"/>
        <v/>
      </c>
    </row>
    <row r="827">
      <c r="A827" s="5" t="str">
        <f>CONCATENATE("CATEGORY_",UPPER(Pokemon!B805))</f>
        <v>CATEGORY_NAGANADEL</v>
      </c>
      <c r="B827" s="5" t="str">
        <f t="shared" ref="B827:K827" si="286">B30</f>
        <v>Poison Pin</v>
      </c>
      <c r="C827" s="5" t="str">
        <f t="shared" si="286"/>
        <v>どくばり</v>
      </c>
      <c r="D827" s="5" t="str">
        <f t="shared" si="286"/>
        <v>Vénépic</v>
      </c>
      <c r="E827" s="5" t="str">
        <f t="shared" si="286"/>
        <v>Giftdorn</v>
      </c>
      <c r="F827" s="5" t="str">
        <f t="shared" si="286"/>
        <v>Pin Veneno</v>
      </c>
      <c r="G827" s="5" t="str">
        <f t="shared" si="286"/>
        <v>Velenago</v>
      </c>
      <c r="H827" s="5" t="str">
        <f t="shared" si="286"/>
        <v>독침</v>
      </c>
      <c r="I827" s="5" t="str">
        <f t="shared" si="286"/>
        <v>毒針</v>
      </c>
      <c r="J827" s="5" t="str">
        <f t="shared" si="286"/>
        <v>毒针</v>
      </c>
      <c r="K827" s="5" t="str">
        <f t="shared" si="286"/>
        <v/>
      </c>
    </row>
    <row r="828">
      <c r="A828" s="5" t="str">
        <f>CONCATENATE("CATEGORY_",UPPER(Pokemon!B806))</f>
        <v>CATEGORY_STAKATAKA</v>
      </c>
      <c r="B828" s="3" t="s">
        <v>11765</v>
      </c>
      <c r="C828" s="3" t="s">
        <v>11766</v>
      </c>
      <c r="D828" s="3" t="s">
        <v>11767</v>
      </c>
      <c r="E828" s="3" t="s">
        <v>11768</v>
      </c>
      <c r="F828" s="3" t="s">
        <v>11769</v>
      </c>
      <c r="G828" s="3" t="s">
        <v>11770</v>
      </c>
      <c r="H828" s="3" t="s">
        <v>11771</v>
      </c>
      <c r="I828" s="3" t="s">
        <v>11772</v>
      </c>
      <c r="J828" s="5" t="str">
        <f>IFERROR(__xludf.DUMMYFUNCTION("GOOGLETRANSLATE(I828, ""zh_HANT"",""zh_HANS"")"),"石墙")</f>
        <v>石墙</v>
      </c>
    </row>
    <row r="829">
      <c r="A829" s="5" t="str">
        <f>CONCATENATE("CATEGORY_",UPPER(Pokemon!B807))</f>
        <v>CATEGORY_BLACEPHALON</v>
      </c>
      <c r="B829" s="3" t="s">
        <v>11773</v>
      </c>
      <c r="C829" s="3" t="s">
        <v>11774</v>
      </c>
      <c r="D829" s="3" t="s">
        <v>11775</v>
      </c>
      <c r="E829" s="3" t="s">
        <v>11776</v>
      </c>
      <c r="F829" s="3" t="s">
        <v>11777</v>
      </c>
      <c r="G829" s="3" t="s">
        <v>11778</v>
      </c>
      <c r="H829" s="3" t="s">
        <v>11779</v>
      </c>
      <c r="I829" s="3" t="s">
        <v>11780</v>
      </c>
      <c r="J829" s="5" t="str">
        <f>IFERROR(__xludf.DUMMYFUNCTION("GOOGLETRANSLATE(I829, ""zh_HANT"",""zh_HANS"")"),"烟花")</f>
        <v>烟花</v>
      </c>
    </row>
    <row r="830">
      <c r="A830" s="5" t="str">
        <f>CONCATENATE("CATEGORY_",UPPER(Pokemon!B808))</f>
        <v>CATEGORY_ZERAORA</v>
      </c>
      <c r="B830" s="3" t="s">
        <v>11781</v>
      </c>
      <c r="C830" s="3" t="s">
        <v>11782</v>
      </c>
      <c r="D830" s="3" t="s">
        <v>11783</v>
      </c>
      <c r="E830" s="3" t="s">
        <v>11784</v>
      </c>
      <c r="F830" s="3" t="s">
        <v>11785</v>
      </c>
      <c r="G830" s="3" t="s">
        <v>11786</v>
      </c>
      <c r="H830" s="3" t="s">
        <v>11787</v>
      </c>
      <c r="I830" s="3" t="s">
        <v>11788</v>
      </c>
      <c r="J830" s="5" t="str">
        <f t="shared" ref="J830:J831" si="287">I830</f>
        <v>奔雷</v>
      </c>
    </row>
    <row r="831">
      <c r="A831" s="5" t="str">
        <f>CONCATENATE("CATEGORY_",UPPER(Pokemon!B809))</f>
        <v>CATEGORY_MELTAN</v>
      </c>
      <c r="B831" s="3" t="s">
        <v>11789</v>
      </c>
      <c r="C831" s="3" t="s">
        <v>11790</v>
      </c>
      <c r="D831" s="3" t="s">
        <v>11791</v>
      </c>
      <c r="E831" s="3" t="s">
        <v>11792</v>
      </c>
      <c r="F831" s="3" t="s">
        <v>11793</v>
      </c>
      <c r="G831" s="3" t="s">
        <v>11794</v>
      </c>
      <c r="H831" s="3" t="s">
        <v>11795</v>
      </c>
      <c r="I831" s="3" t="s">
        <v>11796</v>
      </c>
      <c r="J831" s="5" t="str">
        <f t="shared" si="287"/>
        <v>螺帽</v>
      </c>
    </row>
    <row r="832">
      <c r="A832" s="5" t="str">
        <f>CONCATENATE("CATEGORY_",UPPER(Pokemon!B810))</f>
        <v>CATEGORY_MELMETAL</v>
      </c>
      <c r="B832" s="5" t="str">
        <f t="shared" ref="B832:J832" si="288">B831</f>
        <v>Hex Nut</v>
      </c>
      <c r="C832" s="5" t="str">
        <f t="shared" si="288"/>
        <v>ナット</v>
      </c>
      <c r="D832" s="5" t="str">
        <f t="shared" si="288"/>
        <v>Écrou</v>
      </c>
      <c r="E832" s="5" t="str">
        <f t="shared" si="288"/>
        <v>Mutter</v>
      </c>
      <c r="F832" s="5" t="str">
        <f t="shared" si="288"/>
        <v>Tuerca</v>
      </c>
      <c r="G832" s="5" t="str">
        <f t="shared" si="288"/>
        <v>Bullone</v>
      </c>
      <c r="H832" s="5" t="str">
        <f t="shared" si="288"/>
        <v>너트</v>
      </c>
      <c r="I832" s="5" t="str">
        <f t="shared" si="288"/>
        <v>螺帽</v>
      </c>
      <c r="J832" s="5" t="str">
        <f t="shared" si="288"/>
        <v>螺帽</v>
      </c>
    </row>
    <row r="833">
      <c r="A833" s="5" t="str">
        <f>CONCATENATE("CATEGORY_",UPPER(Pokemon!B811))</f>
        <v>CATEGORY_GROOKEY</v>
      </c>
      <c r="B833" s="5" t="str">
        <f t="shared" ref="B833:K833" si="289">B403</f>
        <v>Chimp</v>
      </c>
      <c r="C833" s="5" t="str">
        <f t="shared" si="289"/>
        <v>こざる</v>
      </c>
      <c r="D833" s="5" t="str">
        <f t="shared" si="289"/>
        <v>Chimpanzé</v>
      </c>
      <c r="E833" s="5" t="str">
        <f t="shared" si="289"/>
        <v>Schimpanse</v>
      </c>
      <c r="F833" s="5" t="str">
        <f t="shared" si="289"/>
        <v>Chimpancé</v>
      </c>
      <c r="G833" s="5" t="str">
        <f t="shared" si="289"/>
        <v>Scimpanzé</v>
      </c>
      <c r="H833" s="5" t="str">
        <f t="shared" si="289"/>
        <v>꼬마원숭이</v>
      </c>
      <c r="I833" s="5" t="str">
        <f t="shared" si="289"/>
        <v>小猴</v>
      </c>
      <c r="J833" s="5" t="str">
        <f t="shared" si="289"/>
        <v>小猴</v>
      </c>
      <c r="K833" s="5" t="str">
        <f t="shared" si="289"/>
        <v/>
      </c>
    </row>
    <row r="834">
      <c r="A834" s="5" t="str">
        <f>CONCATENATE("CATEGORY_",UPPER(Pokemon!B812))</f>
        <v>CATEGORY_THWAKEY</v>
      </c>
      <c r="B834" s="3" t="s">
        <v>11797</v>
      </c>
      <c r="C834" s="3" t="s">
        <v>11798</v>
      </c>
      <c r="D834" s="3" t="s">
        <v>11799</v>
      </c>
      <c r="E834" s="5" t="str">
        <f t="shared" ref="E834:E835" si="290">B834</f>
        <v>Beat</v>
      </c>
      <c r="F834" s="3" t="s">
        <v>11800</v>
      </c>
      <c r="G834" s="5" t="str">
        <f>F834</f>
        <v>Ritmo</v>
      </c>
      <c r="H834" s="3" t="s">
        <v>11801</v>
      </c>
      <c r="I834" s="3" t="s">
        <v>11802</v>
      </c>
      <c r="J834" s="5" t="str">
        <f>IFERROR(__xludf.DUMMYFUNCTION("GOOGLETRANSLATE(I834, ""zh_HANT"",""zh_HANS"")"),"节拍")</f>
        <v>节拍</v>
      </c>
    </row>
    <row r="835">
      <c r="A835" s="5" t="str">
        <f>CONCATENATE("CATEGORY_",UPPER(Pokemon!B813))</f>
        <v>CATEGORY_RILLABOOM</v>
      </c>
      <c r="B835" s="3" t="s">
        <v>11803</v>
      </c>
      <c r="C835" s="3" t="s">
        <v>11804</v>
      </c>
      <c r="D835" s="3" t="s">
        <v>11805</v>
      </c>
      <c r="E835" s="5" t="str">
        <f t="shared" si="290"/>
        <v>Drummer</v>
      </c>
      <c r="F835" s="3" t="s">
        <v>11806</v>
      </c>
      <c r="G835" s="3" t="s">
        <v>11807</v>
      </c>
      <c r="H835" s="3" t="s">
        <v>11808</v>
      </c>
      <c r="I835" s="3" t="s">
        <v>11809</v>
      </c>
      <c r="J835" s="5" t="str">
        <f>IFERROR(__xludf.DUMMYFUNCTION("GOOGLETRANSLATE(I835, ""zh_HANT"",""zh_HANS"")"),"鼓手")</f>
        <v>鼓手</v>
      </c>
    </row>
    <row r="836">
      <c r="A836" s="5" t="str">
        <f>CONCATENATE("CATEGORY_",UPPER(Pokemon!B814))</f>
        <v>CATEGORY_SCORBUNNY</v>
      </c>
      <c r="B836" s="5" t="str">
        <f t="shared" ref="B836:K836" si="291">B440</f>
        <v>Rabbit</v>
      </c>
      <c r="C836" s="5" t="str">
        <f t="shared" si="291"/>
        <v>うさぎ</v>
      </c>
      <c r="D836" s="5" t="str">
        <f t="shared" si="291"/>
        <v>Lapin</v>
      </c>
      <c r="E836" s="5" t="str">
        <f t="shared" si="291"/>
        <v>Hase</v>
      </c>
      <c r="F836" s="5" t="str">
        <f t="shared" si="291"/>
        <v>Conejo</v>
      </c>
      <c r="G836" s="5" t="str">
        <f t="shared" si="291"/>
        <v>Coniglio</v>
      </c>
      <c r="H836" s="5" t="str">
        <f t="shared" si="291"/>
        <v>토끼</v>
      </c>
      <c r="I836" s="5" t="str">
        <f t="shared" si="291"/>
        <v>兔子</v>
      </c>
      <c r="J836" s="5" t="str">
        <f t="shared" si="291"/>
        <v>兔子</v>
      </c>
      <c r="K836" s="5" t="str">
        <f t="shared" si="291"/>
        <v/>
      </c>
    </row>
    <row r="837">
      <c r="A837" s="5" t="str">
        <f>CONCATENATE("CATEGORY_",UPPER(Pokemon!B815))</f>
        <v>CATEGORY_RABOOT</v>
      </c>
      <c r="B837" s="5" t="str">
        <f t="shared" ref="B837:K837" si="292">B440</f>
        <v>Rabbit</v>
      </c>
      <c r="C837" s="5" t="str">
        <f t="shared" si="292"/>
        <v>うさぎ</v>
      </c>
      <c r="D837" s="5" t="str">
        <f t="shared" si="292"/>
        <v>Lapin</v>
      </c>
      <c r="E837" s="5" t="str">
        <f t="shared" si="292"/>
        <v>Hase</v>
      </c>
      <c r="F837" s="5" t="str">
        <f t="shared" si="292"/>
        <v>Conejo</v>
      </c>
      <c r="G837" s="5" t="str">
        <f t="shared" si="292"/>
        <v>Coniglio</v>
      </c>
      <c r="H837" s="5" t="str">
        <f t="shared" si="292"/>
        <v>토끼</v>
      </c>
      <c r="I837" s="5" t="str">
        <f t="shared" si="292"/>
        <v>兔子</v>
      </c>
      <c r="J837" s="5" t="str">
        <f t="shared" si="292"/>
        <v>兔子</v>
      </c>
      <c r="K837" s="5" t="str">
        <f t="shared" si="292"/>
        <v/>
      </c>
    </row>
    <row r="838">
      <c r="A838" s="5" t="str">
        <f>CONCATENATE("CATEGORY_",UPPER(Pokemon!B816))</f>
        <v>CATEGORY_CINDERACE</v>
      </c>
      <c r="B838" s="3" t="s">
        <v>11810</v>
      </c>
      <c r="C838" s="3" t="s">
        <v>11811</v>
      </c>
      <c r="D838" s="3" t="s">
        <v>11812</v>
      </c>
      <c r="E838" s="3" t="s">
        <v>11813</v>
      </c>
      <c r="F838" s="3" t="s">
        <v>11814</v>
      </c>
      <c r="G838" s="3" t="s">
        <v>11815</v>
      </c>
      <c r="H838" s="3" t="s">
        <v>11816</v>
      </c>
      <c r="I838" s="3" t="s">
        <v>11817</v>
      </c>
      <c r="J838" s="5" t="str">
        <f>IFERROR(__xludf.DUMMYFUNCTION("GOOGLETRANSLATE(I838, ""zh_HANT"",""zh_HANS"")"),"前锋")</f>
        <v>前锋</v>
      </c>
    </row>
    <row r="839">
      <c r="A839" s="5" t="str">
        <f>CONCATENATE("CATEGORY_",UPPER(Pokemon!B817))</f>
        <v>CATEGORY_SOBBLE</v>
      </c>
      <c r="B839" s="3" t="s">
        <v>11818</v>
      </c>
      <c r="C839" s="3" t="s">
        <v>11819</v>
      </c>
      <c r="D839" s="3" t="s">
        <v>11820</v>
      </c>
      <c r="E839" s="3" t="s">
        <v>11821</v>
      </c>
      <c r="F839" s="3" t="s">
        <v>11822</v>
      </c>
      <c r="G839" s="3" t="s">
        <v>11823</v>
      </c>
      <c r="H839" s="3" t="s">
        <v>11824</v>
      </c>
      <c r="I839" s="3" t="s">
        <v>11825</v>
      </c>
      <c r="J839" s="5" t="str">
        <f>I839</f>
        <v>水蜥</v>
      </c>
    </row>
    <row r="840">
      <c r="A840" s="5" t="str">
        <f>CONCATENATE("CATEGORY_",UPPER(Pokemon!B818))</f>
        <v>CATEGORY_DRIZZILE</v>
      </c>
      <c r="B840" s="5" t="str">
        <f t="shared" ref="B840:J840" si="293">B839</f>
        <v>Water Lizard</v>
      </c>
      <c r="C840" s="5" t="str">
        <f t="shared" si="293"/>
        <v>みずとがげ</v>
      </c>
      <c r="D840" s="5" t="str">
        <f t="shared" si="293"/>
        <v>Lézard'Eau</v>
      </c>
      <c r="E840" s="5" t="str">
        <f t="shared" si="293"/>
        <v>Wasserechse</v>
      </c>
      <c r="F840" s="5" t="str">
        <f t="shared" si="293"/>
        <v>Acuartija</v>
      </c>
      <c r="G840" s="5" t="str">
        <f t="shared" si="293"/>
        <v>Acquacertola</v>
      </c>
      <c r="H840" s="5" t="str">
        <f t="shared" si="293"/>
        <v>물도마뱀</v>
      </c>
      <c r="I840" s="5" t="str">
        <f t="shared" si="293"/>
        <v>水蜥</v>
      </c>
      <c r="J840" s="5" t="str">
        <f t="shared" si="293"/>
        <v>水蜥</v>
      </c>
    </row>
    <row r="841">
      <c r="A841" s="5" t="str">
        <f>CONCATENATE("CATEGORY_",UPPER(Pokemon!B819))</f>
        <v>CATEGORY_INTELEON</v>
      </c>
      <c r="B841" s="3" t="s">
        <v>11826</v>
      </c>
      <c r="C841" s="3" t="s">
        <v>11827</v>
      </c>
      <c r="D841" s="3" t="s">
        <v>11828</v>
      </c>
      <c r="E841" s="3" t="s">
        <v>11829</v>
      </c>
      <c r="F841" s="3" t="s">
        <v>11830</v>
      </c>
      <c r="G841" s="5" t="str">
        <f>F841</f>
        <v>Agente</v>
      </c>
      <c r="H841" s="3" t="s">
        <v>11831</v>
      </c>
      <c r="I841" s="3" t="s">
        <v>11832</v>
      </c>
      <c r="J841" s="5" t="str">
        <f>I841</f>
        <v>特工</v>
      </c>
    </row>
    <row r="842">
      <c r="A842" s="5" t="str">
        <f>CONCATENATE("CATEGORY_",UPPER(Pokemon!B820))</f>
        <v>CATEGORY_SKOWVET</v>
      </c>
      <c r="B842" s="3" t="s">
        <v>11833</v>
      </c>
      <c r="C842" s="3" t="s">
        <v>11834</v>
      </c>
      <c r="D842" s="3" t="s">
        <v>11835</v>
      </c>
      <c r="E842" s="3" t="s">
        <v>11836</v>
      </c>
      <c r="F842" s="3" t="s">
        <v>11837</v>
      </c>
      <c r="G842" s="3" t="s">
        <v>11838</v>
      </c>
      <c r="H842" s="3" t="s">
        <v>11839</v>
      </c>
      <c r="I842" s="3" t="s">
        <v>11840</v>
      </c>
      <c r="J842" s="5" t="str">
        <f>IFERROR(__xludf.DUMMYFUNCTION("GOOGLETRANSLATE(I842, ""zh_HANT"",""zh_HANS"")"),"贪吃")</f>
        <v>贪吃</v>
      </c>
    </row>
    <row r="843">
      <c r="A843" s="5" t="str">
        <f>CONCATENATE("CATEGORY_",UPPER(Pokemon!B821))</f>
        <v>CATEGORY_GREEDENT</v>
      </c>
      <c r="B843" s="3" t="s">
        <v>11841</v>
      </c>
      <c r="C843" s="3" t="s">
        <v>11842</v>
      </c>
      <c r="D843" s="3" t="s">
        <v>11843</v>
      </c>
      <c r="E843" s="3" t="s">
        <v>11844</v>
      </c>
      <c r="F843" s="3" t="s">
        <v>11845</v>
      </c>
      <c r="G843" s="3" t="s">
        <v>11846</v>
      </c>
      <c r="H843" s="3" t="s">
        <v>11847</v>
      </c>
      <c r="I843" s="3" t="s">
        <v>11848</v>
      </c>
      <c r="J843" s="5" t="str">
        <f>IFERROR(__xludf.DUMMYFUNCTION("GOOGLETRANSLATE(I843, ""zh_HANT"",""zh_HANS"")"),"贪欲")</f>
        <v>贪欲</v>
      </c>
    </row>
    <row r="844">
      <c r="A844" s="5" t="str">
        <f>CONCATENATE("CATEGORY_",UPPER(Pokemon!B822))</f>
        <v>CATEGORY_ROOKIDEE</v>
      </c>
      <c r="B844" s="5" t="str">
        <f t="shared" ref="B844:K844" si="294">B17</f>
        <v>Tiny Bird</v>
      </c>
      <c r="C844" s="5" t="str">
        <f t="shared" si="294"/>
        <v>ことり</v>
      </c>
      <c r="D844" s="5" t="str">
        <f t="shared" si="294"/>
        <v>Minoiseau</v>
      </c>
      <c r="E844" s="5" t="str">
        <f t="shared" si="294"/>
        <v>Kleinvogel</v>
      </c>
      <c r="F844" s="5" t="str">
        <f t="shared" si="294"/>
        <v>Pajarito</v>
      </c>
      <c r="G844" s="5" t="str">
        <f t="shared" si="294"/>
        <v>Uccellino</v>
      </c>
      <c r="H844" s="5" t="str">
        <f t="shared" si="294"/>
        <v>아기새</v>
      </c>
      <c r="I844" s="5" t="str">
        <f t="shared" si="294"/>
        <v>小鳥</v>
      </c>
      <c r="J844" s="5" t="str">
        <f t="shared" si="294"/>
        <v>小鸟</v>
      </c>
      <c r="K844" s="5" t="str">
        <f t="shared" si="294"/>
        <v/>
      </c>
    </row>
    <row r="845">
      <c r="A845" s="5" t="str">
        <f>CONCATENATE("CATEGORY_",UPPER(Pokemon!B823))</f>
        <v>CATEGORY_CORVISQUIRE</v>
      </c>
      <c r="B845" s="3" t="s">
        <v>11849</v>
      </c>
      <c r="C845" s="3" t="s">
        <v>11850</v>
      </c>
      <c r="D845" s="3" t="s">
        <v>11851</v>
      </c>
      <c r="E845" s="3" t="s">
        <v>11852</v>
      </c>
      <c r="F845" s="3" t="s">
        <v>11853</v>
      </c>
      <c r="G845" s="3" t="s">
        <v>11854</v>
      </c>
      <c r="H845" s="3" t="s">
        <v>11855</v>
      </c>
      <c r="I845" s="3" t="s">
        <v>11856</v>
      </c>
      <c r="J845" s="5" t="str">
        <f>IFERROR(__xludf.DUMMYFUNCTION("GOOGLETRANSLATE(I845, ""zh_HANT"",""zh_HANS"")"),"乌鸦")</f>
        <v>乌鸦</v>
      </c>
    </row>
    <row r="846">
      <c r="A846" s="5" t="str">
        <f>CONCATENATE("CATEGORY_",UPPER(Pokemon!B824))</f>
        <v>CATEGORY_CORVIKNIGHT</v>
      </c>
      <c r="B846" s="5" t="str">
        <f t="shared" ref="B846:J846" si="295">B845</f>
        <v>Raven</v>
      </c>
      <c r="C846" s="5" t="str">
        <f t="shared" si="295"/>
        <v>カラス</v>
      </c>
      <c r="D846" s="5" t="str">
        <f t="shared" si="295"/>
        <v>Corbeau</v>
      </c>
      <c r="E846" s="5" t="str">
        <f t="shared" si="295"/>
        <v>Krähe</v>
      </c>
      <c r="F846" s="5" t="str">
        <f t="shared" si="295"/>
        <v>Cuervo</v>
      </c>
      <c r="G846" s="5" t="str">
        <f t="shared" si="295"/>
        <v>Corvo</v>
      </c>
      <c r="H846" s="5" t="str">
        <f t="shared" si="295"/>
        <v>까마귀</v>
      </c>
      <c r="I846" s="5" t="str">
        <f t="shared" si="295"/>
        <v>烏鴉</v>
      </c>
      <c r="J846" s="5" t="str">
        <f t="shared" si="295"/>
        <v>乌鸦</v>
      </c>
    </row>
    <row r="847">
      <c r="A847" s="5" t="str">
        <f>CONCATENATE("CATEGORY_",UPPER(Pokemon!B825))</f>
        <v>CATEGORY_BLIPBUG</v>
      </c>
      <c r="B847" s="5" t="str">
        <f t="shared" ref="B847:K847" si="296">B759</f>
        <v>Larva</v>
      </c>
      <c r="C847" s="5" t="str">
        <f t="shared" si="296"/>
        <v>ようちゅう</v>
      </c>
      <c r="D847" s="5" t="str">
        <f t="shared" si="296"/>
        <v>Larve</v>
      </c>
      <c r="E847" s="5" t="str">
        <f t="shared" si="296"/>
        <v>Larve</v>
      </c>
      <c r="F847" s="5" t="str">
        <f t="shared" si="296"/>
        <v>Pupa</v>
      </c>
      <c r="G847" s="5" t="str">
        <f t="shared" si="296"/>
        <v>Coleolarva</v>
      </c>
      <c r="H847" s="5" t="str">
        <f t="shared" si="296"/>
        <v>유충</v>
      </c>
      <c r="I847" s="5" t="str">
        <f t="shared" si="296"/>
        <v>幼蟲</v>
      </c>
      <c r="J847" s="5" t="str">
        <f t="shared" si="296"/>
        <v>幼虫</v>
      </c>
      <c r="K847" s="5" t="str">
        <f t="shared" si="296"/>
        <v/>
      </c>
    </row>
    <row r="848">
      <c r="A848" s="5" t="str">
        <f>CONCATENATE("CATEGORY_",UPPER(Pokemon!B826))</f>
        <v>CATEGORY_DOTTLER</v>
      </c>
      <c r="B848" s="3" t="s">
        <v>11857</v>
      </c>
      <c r="C848" s="3" t="s">
        <v>11858</v>
      </c>
      <c r="D848" s="3" t="s">
        <v>11859</v>
      </c>
      <c r="E848" s="3" t="s">
        <v>11860</v>
      </c>
      <c r="F848" s="3" t="s">
        <v>11861</v>
      </c>
      <c r="G848" s="5" t="str">
        <f>B848</f>
        <v>Radome</v>
      </c>
      <c r="H848" s="3" t="s">
        <v>11862</v>
      </c>
      <c r="I848" s="3" t="s">
        <v>11863</v>
      </c>
      <c r="J848" s="5" t="str">
        <f>IFERROR(__xludf.DUMMYFUNCTION("GOOGLETRANSLATE(I848, ""zh_HANT"",""zh_HANS"")"),"天线罩")</f>
        <v>天线罩</v>
      </c>
    </row>
    <row r="849">
      <c r="A849" s="5" t="str">
        <f>CONCATENATE("CATEGORY_",UPPER(Pokemon!B827))</f>
        <v>CATEGORY_ORBEETLE</v>
      </c>
      <c r="B849" s="3" t="s">
        <v>11864</v>
      </c>
      <c r="C849" s="3" t="s">
        <v>11865</v>
      </c>
      <c r="D849" s="3" t="s">
        <v>11866</v>
      </c>
      <c r="E849" s="3" t="s">
        <v>11867</v>
      </c>
      <c r="F849" s="3" t="s">
        <v>11868</v>
      </c>
      <c r="G849" s="3" t="s">
        <v>11869</v>
      </c>
      <c r="H849" s="3" t="s">
        <v>11870</v>
      </c>
      <c r="I849" s="3" t="s">
        <v>11871</v>
      </c>
      <c r="J849" s="5" t="str">
        <f>I849</f>
        <v>七星</v>
      </c>
    </row>
    <row r="850">
      <c r="A850" s="5" t="str">
        <f>CONCATENATE("CATEGORY_",UPPER(Pokemon!B828))</f>
        <v>CATEGORY_NICKIT</v>
      </c>
      <c r="B850" s="5" t="str">
        <f t="shared" ref="B850:K850" si="297">B38</f>
        <v>Fox</v>
      </c>
      <c r="C850" s="5" t="str">
        <f t="shared" si="297"/>
        <v>きつね</v>
      </c>
      <c r="D850" s="5" t="str">
        <f t="shared" si="297"/>
        <v>Renard</v>
      </c>
      <c r="E850" s="5" t="str">
        <f t="shared" si="297"/>
        <v>Fuchs</v>
      </c>
      <c r="F850" s="5" t="str">
        <f t="shared" si="297"/>
        <v>Zorro</v>
      </c>
      <c r="G850" s="5" t="str">
        <f t="shared" si="297"/>
        <v>Volpe</v>
      </c>
      <c r="H850" s="5" t="str">
        <f t="shared" si="297"/>
        <v>여우</v>
      </c>
      <c r="I850" s="5" t="str">
        <f t="shared" si="297"/>
        <v>狐狸</v>
      </c>
      <c r="J850" s="5" t="str">
        <f t="shared" si="297"/>
        <v>狐狸</v>
      </c>
      <c r="K850" s="5" t="str">
        <f t="shared" si="297"/>
        <v/>
      </c>
    </row>
    <row r="851">
      <c r="A851" s="5" t="str">
        <f>CONCATENATE("CATEGORY_",UPPER(Pokemon!B829))</f>
        <v>CATEGORY_THIEVUL</v>
      </c>
      <c r="B851" s="5" t="str">
        <f t="shared" ref="B851:K851" si="298">B38</f>
        <v>Fox</v>
      </c>
      <c r="C851" s="5" t="str">
        <f t="shared" si="298"/>
        <v>きつね</v>
      </c>
      <c r="D851" s="5" t="str">
        <f t="shared" si="298"/>
        <v>Renard</v>
      </c>
      <c r="E851" s="5" t="str">
        <f t="shared" si="298"/>
        <v>Fuchs</v>
      </c>
      <c r="F851" s="5" t="str">
        <f t="shared" si="298"/>
        <v>Zorro</v>
      </c>
      <c r="G851" s="5" t="str">
        <f t="shared" si="298"/>
        <v>Volpe</v>
      </c>
      <c r="H851" s="5" t="str">
        <f t="shared" si="298"/>
        <v>여우</v>
      </c>
      <c r="I851" s="5" t="str">
        <f t="shared" si="298"/>
        <v>狐狸</v>
      </c>
      <c r="J851" s="5" t="str">
        <f t="shared" si="298"/>
        <v>狐狸</v>
      </c>
      <c r="K851" s="5" t="str">
        <f t="shared" si="298"/>
        <v/>
      </c>
    </row>
    <row r="852">
      <c r="A852" s="5" t="str">
        <f>CONCATENATE("CATEGORY_",UPPER(Pokemon!B830))</f>
        <v>CATEGORY_GOSSIFLEUR</v>
      </c>
      <c r="B852" s="5" t="str">
        <f t="shared" ref="B852:K852" si="299">B562</f>
        <v>Flowering</v>
      </c>
      <c r="C852" s="5" t="str">
        <f t="shared" si="299"/>
        <v>はなかざり</v>
      </c>
      <c r="D852" s="5" t="str">
        <f t="shared" si="299"/>
        <v>Chef-Fleur</v>
      </c>
      <c r="E852" s="5" t="str">
        <f t="shared" si="299"/>
        <v>Blumenzier</v>
      </c>
      <c r="F852" s="5" t="str">
        <f t="shared" si="299"/>
        <v>Adornofloral</v>
      </c>
      <c r="G852" s="5" t="str">
        <f t="shared" si="299"/>
        <v>Fiorfronzolo</v>
      </c>
      <c r="H852" s="5" t="str">
        <f t="shared" si="299"/>
        <v>꽃장식</v>
      </c>
      <c r="I852" s="5" t="str">
        <f t="shared" si="299"/>
        <v>花飾</v>
      </c>
      <c r="J852" s="5" t="str">
        <f t="shared" si="299"/>
        <v>花饰</v>
      </c>
      <c r="K852" s="5" t="str">
        <f t="shared" si="299"/>
        <v/>
      </c>
    </row>
    <row r="853">
      <c r="A853" s="5" t="str">
        <f>CONCATENATE("CATEGORY_",UPPER(Pokemon!B831))</f>
        <v>CATEGORY_ELDEGOSS</v>
      </c>
      <c r="B853" s="3" t="s">
        <v>11872</v>
      </c>
      <c r="C853" s="3" t="s">
        <v>11873</v>
      </c>
      <c r="D853" s="3" t="s">
        <v>11874</v>
      </c>
      <c r="E853" s="3" t="s">
        <v>11875</v>
      </c>
      <c r="F853" s="3" t="s">
        <v>11876</v>
      </c>
      <c r="G853" s="3" t="s">
        <v>11877</v>
      </c>
      <c r="H853" s="3" t="s">
        <v>11878</v>
      </c>
      <c r="I853" s="3" t="s">
        <v>11879</v>
      </c>
      <c r="J853" s="5" t="str">
        <f>IFERROR(__xludf.DUMMYFUNCTION("GOOGLETRANSLATE(I853, ""zh_HANT"",""zh_HANS"")"),"棉饰")</f>
        <v>棉饰</v>
      </c>
    </row>
    <row r="854">
      <c r="A854" s="5" t="str">
        <f>CONCATENATE("CATEGORY_",UPPER(Pokemon!B832))</f>
        <v>CATEGORY_WOOLOO</v>
      </c>
      <c r="B854" s="3" t="s">
        <v>11880</v>
      </c>
      <c r="C854" s="3" t="s">
        <v>11881</v>
      </c>
      <c r="D854" s="3" t="s">
        <v>11882</v>
      </c>
      <c r="E854" s="3" t="s">
        <v>11883</v>
      </c>
      <c r="F854" s="3" t="s">
        <v>11884</v>
      </c>
      <c r="G854" s="3" t="s">
        <v>11885</v>
      </c>
      <c r="H854" s="3" t="s">
        <v>11886</v>
      </c>
      <c r="I854" s="3" t="s">
        <v>11887</v>
      </c>
      <c r="J854" s="5" t="str">
        <f>IFERROR(__xludf.DUMMYFUNCTION("GOOGLETRANSLATE(I854, ""zh_HANT"",""zh_HANS"")"),"绵羊")</f>
        <v>绵羊</v>
      </c>
    </row>
    <row r="855">
      <c r="A855" s="5" t="str">
        <f>CONCATENATE("CATEGORY_",UPPER(Pokemon!B833))</f>
        <v>CATEGORY_DUBWOOL</v>
      </c>
      <c r="B855" s="5" t="str">
        <f t="shared" ref="B855:J855" si="300">B854</f>
        <v>Sheep</v>
      </c>
      <c r="C855" s="5" t="str">
        <f t="shared" si="300"/>
        <v>ひつじ</v>
      </c>
      <c r="D855" s="5" t="str">
        <f t="shared" si="300"/>
        <v>Mouton</v>
      </c>
      <c r="E855" s="5" t="str">
        <f t="shared" si="300"/>
        <v>Schaf</v>
      </c>
      <c r="F855" s="5" t="str">
        <f t="shared" si="300"/>
        <v>Oveja</v>
      </c>
      <c r="G855" s="5" t="str">
        <f t="shared" si="300"/>
        <v>Pecora</v>
      </c>
      <c r="H855" s="5" t="str">
        <f t="shared" si="300"/>
        <v>양</v>
      </c>
      <c r="I855" s="5" t="str">
        <f t="shared" si="300"/>
        <v>綿羊</v>
      </c>
      <c r="J855" s="5" t="str">
        <f t="shared" si="300"/>
        <v>绵羊</v>
      </c>
    </row>
    <row r="856">
      <c r="A856" s="5" t="str">
        <f>CONCATENATE("CATEGORY_",UPPER(Pokemon!B834))</f>
        <v>CATEGORY_CHEWTLE</v>
      </c>
      <c r="B856" s="3" t="s">
        <v>11888</v>
      </c>
      <c r="C856" s="3" t="s">
        <v>11889</v>
      </c>
      <c r="D856" s="3" t="s">
        <v>11890</v>
      </c>
      <c r="E856" s="3" t="s">
        <v>11891</v>
      </c>
      <c r="F856" s="3" t="s">
        <v>11892</v>
      </c>
      <c r="G856" s="3" t="s">
        <v>11893</v>
      </c>
      <c r="H856" s="3" t="s">
        <v>11894</v>
      </c>
      <c r="I856" s="3" t="str">
        <f>Moves!I45</f>
        <v>咬住</v>
      </c>
      <c r="J856" s="3" t="str">
        <f>Moves!J45</f>
        <v>咬住</v>
      </c>
    </row>
    <row r="857">
      <c r="A857" s="5" t="str">
        <f>CONCATENATE("CATEGORY_",UPPER(Pokemon!B835))</f>
        <v>CATEGORY_DREDNAW</v>
      </c>
      <c r="B857" s="3" t="str">
        <f>Moves!B45</f>
        <v>Bite</v>
      </c>
      <c r="C857" s="3" t="str">
        <f>Moves!C45</f>
        <v>かみつく</v>
      </c>
      <c r="D857" s="3" t="str">
        <f>Moves!D45</f>
        <v>Morsure</v>
      </c>
      <c r="E857" s="3" t="str">
        <f>Moves!E45</f>
        <v>Biss</v>
      </c>
      <c r="F857" s="3" t="str">
        <f>Moves!F45</f>
        <v>Mordisco</v>
      </c>
      <c r="G857" s="3" t="str">
        <f>Moves!G45</f>
        <v>Morso</v>
      </c>
      <c r="H857" s="3" t="s">
        <v>11895</v>
      </c>
      <c r="I857" s="3" t="s">
        <v>11896</v>
      </c>
      <c r="J857" s="5" t="str">
        <f>IFERROR(__xludf.DUMMYFUNCTION("GOOGLETRANSLATE(I857, ""zh_HANT"",""zh_HANS"")"),"紧咬")</f>
        <v>紧咬</v>
      </c>
    </row>
    <row r="858">
      <c r="A858" s="5" t="str">
        <f>CONCATENATE("CATEGORY_",UPPER(Pokemon!B836))</f>
        <v>CATEGORY_YAMPER</v>
      </c>
      <c r="B858" s="5" t="str">
        <f t="shared" ref="B858:K858" si="301">B59</f>
        <v>Puppy</v>
      </c>
      <c r="C858" s="5" t="str">
        <f t="shared" si="301"/>
        <v>こいぬ</v>
      </c>
      <c r="D858" s="5" t="str">
        <f t="shared" si="301"/>
        <v>Chiot</v>
      </c>
      <c r="E858" s="5" t="str">
        <f t="shared" si="301"/>
        <v>Welpen</v>
      </c>
      <c r="F858" s="5" t="str">
        <f t="shared" si="301"/>
        <v>Perrito</v>
      </c>
      <c r="G858" s="5" t="str">
        <f t="shared" si="301"/>
        <v>Cagnolino</v>
      </c>
      <c r="H858" s="5" t="str">
        <f t="shared" si="301"/>
        <v>강아지</v>
      </c>
      <c r="I858" s="5" t="str">
        <f t="shared" si="301"/>
        <v>小狗</v>
      </c>
      <c r="J858" s="5" t="str">
        <f t="shared" si="301"/>
        <v>小狗</v>
      </c>
      <c r="K858" s="5" t="str">
        <f t="shared" si="301"/>
        <v/>
      </c>
    </row>
    <row r="859">
      <c r="A859" s="5" t="str">
        <f>CONCATENATE("CATEGORY_",UPPER(Pokemon!B837))</f>
        <v>CATEGORY_BOLTUND</v>
      </c>
      <c r="B859" s="3" t="s">
        <v>11897</v>
      </c>
      <c r="C859" s="3" t="s">
        <v>11898</v>
      </c>
      <c r="D859" s="3" t="s">
        <v>11899</v>
      </c>
      <c r="E859" s="5" t="str">
        <f>CONCATENATE(E59,"e")</f>
        <v>Welpene</v>
      </c>
      <c r="F859" s="3" t="s">
        <v>11900</v>
      </c>
      <c r="G859" s="3" t="s">
        <v>11901</v>
      </c>
      <c r="H859" s="3" t="s">
        <v>11902</v>
      </c>
      <c r="I859" s="3" t="s">
        <v>11903</v>
      </c>
      <c r="J859" s="5" t="str">
        <f>I859</f>
        <v>狗</v>
      </c>
    </row>
    <row r="860">
      <c r="A860" s="5" t="str">
        <f>CONCATENATE("CATEGORY_",UPPER(Pokemon!B838))</f>
        <v>CATEGORY_ROLYCOLY</v>
      </c>
      <c r="B860" s="5" t="str">
        <f t="shared" ref="B860:K860" si="302">B337</f>
        <v>Coal</v>
      </c>
      <c r="C860" s="5" t="str">
        <f t="shared" si="302"/>
        <v>せきたん</v>
      </c>
      <c r="D860" s="5" t="str">
        <f t="shared" si="302"/>
        <v>Charbon</v>
      </c>
      <c r="E860" s="5" t="str">
        <f t="shared" si="302"/>
        <v>Kohle</v>
      </c>
      <c r="F860" s="5" t="str">
        <f t="shared" si="302"/>
        <v>Carbón</v>
      </c>
      <c r="G860" s="5" t="str">
        <f t="shared" si="302"/>
        <v>Carbone</v>
      </c>
      <c r="H860" s="5" t="str">
        <f t="shared" si="302"/>
        <v>석탄</v>
      </c>
      <c r="I860" s="5" t="str">
        <f t="shared" si="302"/>
        <v>煤炭</v>
      </c>
      <c r="J860" s="5" t="str">
        <f t="shared" si="302"/>
        <v>煤炭</v>
      </c>
      <c r="K860" s="5" t="str">
        <f t="shared" si="302"/>
        <v/>
      </c>
    </row>
    <row r="861">
      <c r="A861" s="5" t="str">
        <f>CONCATENATE("CATEGORY_",UPPER(Pokemon!B839))</f>
        <v>CATEGORY_CARKOL</v>
      </c>
      <c r="B861" s="5" t="str">
        <f t="shared" ref="B861:K861" si="303">B337</f>
        <v>Coal</v>
      </c>
      <c r="C861" s="5" t="str">
        <f t="shared" si="303"/>
        <v>せきたん</v>
      </c>
      <c r="D861" s="5" t="str">
        <f t="shared" si="303"/>
        <v>Charbon</v>
      </c>
      <c r="E861" s="5" t="str">
        <f t="shared" si="303"/>
        <v>Kohle</v>
      </c>
      <c r="F861" s="5" t="str">
        <f t="shared" si="303"/>
        <v>Carbón</v>
      </c>
      <c r="G861" s="5" t="str">
        <f t="shared" si="303"/>
        <v>Carbone</v>
      </c>
      <c r="H861" s="5" t="str">
        <f t="shared" si="303"/>
        <v>석탄</v>
      </c>
      <c r="I861" s="5" t="str">
        <f t="shared" si="303"/>
        <v>煤炭</v>
      </c>
      <c r="J861" s="5" t="str">
        <f t="shared" si="303"/>
        <v>煤炭</v>
      </c>
      <c r="K861" s="5" t="str">
        <f t="shared" si="303"/>
        <v/>
      </c>
    </row>
    <row r="862">
      <c r="A862" s="5" t="str">
        <f>CONCATENATE("CATEGORY_",UPPER(Pokemon!B840))</f>
        <v>CATEGORY_COALOSSAL</v>
      </c>
      <c r="B862" s="5" t="str">
        <f t="shared" ref="B862:K862" si="304">B337</f>
        <v>Coal</v>
      </c>
      <c r="C862" s="5" t="str">
        <f t="shared" si="304"/>
        <v>せきたん</v>
      </c>
      <c r="D862" s="5" t="str">
        <f t="shared" si="304"/>
        <v>Charbon</v>
      </c>
      <c r="E862" s="5" t="str">
        <f t="shared" si="304"/>
        <v>Kohle</v>
      </c>
      <c r="F862" s="5" t="str">
        <f t="shared" si="304"/>
        <v>Carbón</v>
      </c>
      <c r="G862" s="5" t="str">
        <f t="shared" si="304"/>
        <v>Carbone</v>
      </c>
      <c r="H862" s="5" t="str">
        <f t="shared" si="304"/>
        <v>석탄</v>
      </c>
      <c r="I862" s="5" t="str">
        <f t="shared" si="304"/>
        <v>煤炭</v>
      </c>
      <c r="J862" s="5" t="str">
        <f t="shared" si="304"/>
        <v>煤炭</v>
      </c>
      <c r="K862" s="5" t="str">
        <f t="shared" si="304"/>
        <v/>
      </c>
    </row>
    <row r="863">
      <c r="A863" s="5" t="str">
        <f>CONCATENATE("CATEGORY_",UPPER(Pokemon!B841))</f>
        <v>CATEGORY_APPLIN</v>
      </c>
      <c r="B863" s="3" t="s">
        <v>11904</v>
      </c>
      <c r="C863" s="3" t="s">
        <v>11905</v>
      </c>
      <c r="D863" s="3" t="s">
        <v>11906</v>
      </c>
      <c r="E863" s="3" t="s">
        <v>11907</v>
      </c>
      <c r="F863" s="3" t="s">
        <v>11908</v>
      </c>
      <c r="G863" s="3" t="s">
        <v>11909</v>
      </c>
      <c r="H863" s="3" t="s">
        <v>11910</v>
      </c>
      <c r="I863" s="3" t="s">
        <v>11911</v>
      </c>
      <c r="J863" s="5" t="str">
        <f>IFERROR(__xludf.DUMMYFUNCTION("GOOGLETRANSLATE(I863, ""zh_HANT"",""zh_HANS"")"),"苹果居")</f>
        <v>苹果居</v>
      </c>
    </row>
    <row r="864">
      <c r="A864" s="5" t="str">
        <f>CONCATENATE("CATEGORY_",UPPER(Pokemon!B842))</f>
        <v>CATEGORY_FLAPPLE</v>
      </c>
      <c r="B864" s="3" t="s">
        <v>11912</v>
      </c>
      <c r="C864" s="3" t="s">
        <v>11913</v>
      </c>
      <c r="D864" s="3" t="s">
        <v>11914</v>
      </c>
      <c r="E864" s="3" t="s">
        <v>11915</v>
      </c>
      <c r="F864" s="3" t="s">
        <v>11916</v>
      </c>
      <c r="G864" s="3" t="s">
        <v>11917</v>
      </c>
      <c r="H864" s="3" t="s">
        <v>11918</v>
      </c>
      <c r="I864" s="3" t="s">
        <v>11919</v>
      </c>
      <c r="J864" s="5" t="str">
        <f>IFERROR(__xludf.DUMMYFUNCTION("GOOGLETRANSLATE(I864, ""zh_HANT"",""zh_HANS"")"),"苹果翅")</f>
        <v>苹果翅</v>
      </c>
    </row>
    <row r="865">
      <c r="A865" s="5" t="str">
        <f>CONCATENATE("CATEGORY_",UPPER(Pokemon!B843))</f>
        <v>CATEGORY_APPLETUN</v>
      </c>
      <c r="B865" s="3" t="s">
        <v>11920</v>
      </c>
      <c r="C865" s="3" t="s">
        <v>11921</v>
      </c>
      <c r="D865" s="3" t="s">
        <v>11922</v>
      </c>
      <c r="E865" s="3" t="s">
        <v>11923</v>
      </c>
      <c r="F865" s="3" t="s">
        <v>11924</v>
      </c>
      <c r="G865" s="3" t="s">
        <v>11925</v>
      </c>
      <c r="H865" s="3" t="s">
        <v>11926</v>
      </c>
      <c r="I865" s="3" t="s">
        <v>11927</v>
      </c>
      <c r="J865" s="5" t="str">
        <f>IFERROR(__xludf.DUMMYFUNCTION("GOOGLETRANSLATE(I865, ""zh_HANT"",""zh_HANS"")"),"苹果汁")</f>
        <v>苹果汁</v>
      </c>
    </row>
    <row r="866">
      <c r="A866" s="5" t="str">
        <f>CONCATENATE("CATEGORY_",UPPER(Pokemon!B844))</f>
        <v>CATEGORY_SILICOBRA</v>
      </c>
      <c r="B866" s="3" t="s">
        <v>11928</v>
      </c>
      <c r="C866" s="3" t="s">
        <v>11929</v>
      </c>
      <c r="D866" s="3" t="s">
        <v>11930</v>
      </c>
      <c r="E866" s="3" t="s">
        <v>11931</v>
      </c>
      <c r="F866" s="3" t="s">
        <v>11932</v>
      </c>
      <c r="G866" s="3" t="s">
        <v>11933</v>
      </c>
      <c r="H866" s="3" t="s">
        <v>4734</v>
      </c>
      <c r="I866" s="3" t="s">
        <v>11934</v>
      </c>
      <c r="J866" s="5" t="str">
        <f>I866</f>
        <v>沙蛇</v>
      </c>
    </row>
    <row r="867">
      <c r="A867" s="5" t="str">
        <f>CONCATENATE("CATEGORY_",UPPER(Pokemon!B845))</f>
        <v>CATEGORY_SANDACONDA</v>
      </c>
      <c r="B867" s="5" t="str">
        <f t="shared" ref="B867:J867" si="305">B866</f>
        <v>Sand Snake</v>
      </c>
      <c r="C867" s="5" t="str">
        <f t="shared" si="305"/>
        <v>すなへび</v>
      </c>
      <c r="D867" s="5" t="str">
        <f t="shared" si="305"/>
        <v>Serpensable</v>
      </c>
      <c r="E867" s="5" t="str">
        <f t="shared" si="305"/>
        <v>Sandschlangen</v>
      </c>
      <c r="F867" s="5" t="str">
        <f t="shared" si="305"/>
        <v>Serp. Arena</v>
      </c>
      <c r="G867" s="5" t="str">
        <f t="shared" si="305"/>
        <v>Sabbiaserpe</v>
      </c>
      <c r="H867" s="5" t="str">
        <f t="shared" si="305"/>
        <v>모래뱀</v>
      </c>
      <c r="I867" s="5" t="str">
        <f t="shared" si="305"/>
        <v>沙蛇</v>
      </c>
      <c r="J867" s="5" t="str">
        <f t="shared" si="305"/>
        <v>沙蛇</v>
      </c>
    </row>
    <row r="868">
      <c r="A868" s="5" t="str">
        <f>CONCATENATE("CATEGORY_",UPPER(Pokemon!B846))</f>
        <v>CATEGORY_CRAMORANT</v>
      </c>
      <c r="B868" s="3" t="s">
        <v>11935</v>
      </c>
      <c r="C868" s="3" t="s">
        <v>11936</v>
      </c>
      <c r="D868" s="3" t="s">
        <v>11937</v>
      </c>
      <c r="E868" s="3" t="s">
        <v>11938</v>
      </c>
      <c r="F868" s="3" t="s">
        <v>11939</v>
      </c>
      <c r="G868" s="3" t="s">
        <v>11940</v>
      </c>
      <c r="H868" s="3" t="s">
        <v>11941</v>
      </c>
      <c r="I868" s="3" t="s">
        <v>11942</v>
      </c>
      <c r="J868" s="5" t="str">
        <f>I868</f>
        <v>一口吞</v>
      </c>
    </row>
    <row r="869">
      <c r="A869" s="5" t="str">
        <f>CONCATENATE("CATEGORY_",UPPER(Pokemon!B847))</f>
        <v>CATEGORY_ARROKUDA</v>
      </c>
      <c r="B869" s="3" t="s">
        <v>11943</v>
      </c>
      <c r="C869" s="3" t="s">
        <v>11944</v>
      </c>
      <c r="D869" s="5" t="str">
        <f>D277</f>
        <v>Fonceur</v>
      </c>
      <c r="E869" s="3" t="s">
        <v>11945</v>
      </c>
      <c r="F869" s="3" t="s">
        <v>11946</v>
      </c>
      <c r="G869" s="3" t="s">
        <v>11947</v>
      </c>
      <c r="H869" s="3" t="s">
        <v>11948</v>
      </c>
      <c r="I869" s="3" t="s">
        <v>11949</v>
      </c>
      <c r="J869" s="5" t="str">
        <f>IFERROR(__xludf.DUMMYFUNCTION("GOOGLETRANSLATE(I869, ""zh_HANT"",""zh_HANS"")"),"突击")</f>
        <v>突击</v>
      </c>
    </row>
    <row r="870">
      <c r="A870" s="5" t="str">
        <f>CONCATENATE("CATEGORY_",UPPER(Pokemon!B848))</f>
        <v>CATEGORY_BARRASKEWDA</v>
      </c>
      <c r="B870" s="3" t="s">
        <v>11950</v>
      </c>
      <c r="C870" s="3" t="s">
        <v>11951</v>
      </c>
      <c r="D870" s="3" t="s">
        <v>11952</v>
      </c>
      <c r="E870" s="3" t="s">
        <v>11953</v>
      </c>
      <c r="F870" s="3" t="s">
        <v>11954</v>
      </c>
      <c r="G870" s="3" t="s">
        <v>11955</v>
      </c>
      <c r="H870" s="3" t="s">
        <v>11956</v>
      </c>
      <c r="I870" s="3" t="s">
        <v>11957</v>
      </c>
      <c r="J870" s="5" t="str">
        <f>I870</f>
        <v>穿刺</v>
      </c>
    </row>
    <row r="871">
      <c r="A871" s="5" t="str">
        <f>CONCATENATE("CATEGORY_",UPPER(Pokemon!B849))</f>
        <v>CATEGORY_TOXEL</v>
      </c>
      <c r="B871" s="3" t="s">
        <v>11958</v>
      </c>
      <c r="C871" s="3" t="s">
        <v>11959</v>
      </c>
      <c r="D871" s="3" t="s">
        <v>11960</v>
      </c>
      <c r="E871" s="5" t="str">
        <f t="shared" ref="E871:E872" si="306">B871</f>
        <v>Baby</v>
      </c>
      <c r="F871" s="3" t="s">
        <v>11961</v>
      </c>
      <c r="G871" s="3" t="s">
        <v>11962</v>
      </c>
      <c r="H871" s="3" t="s">
        <v>11963</v>
      </c>
      <c r="I871" s="3" t="s">
        <v>11964</v>
      </c>
      <c r="J871" s="5" t="str">
        <f>IFERROR(__xludf.DUMMYFUNCTION("GOOGLETRANSLATE(I871, ""zh_HANT"",""zh_HANS"")"),"婴儿")</f>
        <v>婴儿</v>
      </c>
    </row>
    <row r="872">
      <c r="A872" s="5" t="str">
        <f>CONCATENATE("CATEGORY_",UPPER(Pokemon!B850))</f>
        <v>CATEGORY_TOXTRICITY</v>
      </c>
      <c r="B872" s="3" t="s">
        <v>11965</v>
      </c>
      <c r="C872" s="3" t="s">
        <v>11966</v>
      </c>
      <c r="D872" s="5" t="str">
        <f>B872</f>
        <v>Punk</v>
      </c>
      <c r="E872" s="5" t="str">
        <f t="shared" si="306"/>
        <v>Punk</v>
      </c>
      <c r="F872" s="3" t="s">
        <v>11967</v>
      </c>
      <c r="G872" s="5" t="str">
        <f>B872</f>
        <v>Punk</v>
      </c>
      <c r="H872" s="3" t="s">
        <v>11968</v>
      </c>
      <c r="I872" s="3" t="s">
        <v>11969</v>
      </c>
      <c r="J872" s="5" t="str">
        <f>IFERROR(__xludf.DUMMYFUNCTION("GOOGLETRANSLATE(I872, ""zh_HANT"",""zh_HANS"")"),"朋克")</f>
        <v>朋克</v>
      </c>
    </row>
    <row r="873">
      <c r="A873" s="5" t="str">
        <f>CONCATENATE("CATEGORY_",UPPER(Pokemon!B851))</f>
        <v>CATEGORY_SIZZLIPEDE</v>
      </c>
      <c r="B873" s="3" t="s">
        <v>11970</v>
      </c>
      <c r="C873" s="3" t="s">
        <v>11971</v>
      </c>
      <c r="D873" s="3" t="s">
        <v>11972</v>
      </c>
      <c r="E873" s="3" t="s">
        <v>11973</v>
      </c>
      <c r="F873" s="5" t="str">
        <f>B873</f>
        <v>Radiator</v>
      </c>
      <c r="G873" s="3" t="s">
        <v>11974</v>
      </c>
      <c r="H873" s="3" t="s">
        <v>11975</v>
      </c>
      <c r="I873" s="3" t="s">
        <v>11976</v>
      </c>
      <c r="J873" s="5" t="str">
        <f>IFERROR(__xludf.DUMMYFUNCTION("GOOGLETRANSLATE(I873, ""zh_HANT"",""zh_HANS"")"),"发热")</f>
        <v>发热</v>
      </c>
    </row>
    <row r="874">
      <c r="A874" s="5" t="str">
        <f>CONCATENATE("CATEGORY_",UPPER(Pokemon!B852))</f>
        <v>CATEGORY_CENTISKORCH</v>
      </c>
      <c r="B874" s="5" t="str">
        <f t="shared" ref="B874:J874" si="307">B873</f>
        <v>Radiator</v>
      </c>
      <c r="C874" s="5" t="str">
        <f t="shared" si="307"/>
        <v>はつねつ</v>
      </c>
      <c r="D874" s="5" t="str">
        <f t="shared" si="307"/>
        <v>Calorifère</v>
      </c>
      <c r="E874" s="5" t="str">
        <f t="shared" si="307"/>
        <v>Exotherm</v>
      </c>
      <c r="F874" s="5" t="str">
        <f t="shared" si="307"/>
        <v>Radiator</v>
      </c>
      <c r="G874" s="5" t="str">
        <f t="shared" si="307"/>
        <v>Termogeno</v>
      </c>
      <c r="H874" s="5" t="str">
        <f t="shared" si="307"/>
        <v>발열</v>
      </c>
      <c r="I874" s="5" t="str">
        <f t="shared" si="307"/>
        <v>發熱</v>
      </c>
      <c r="J874" s="5" t="str">
        <f t="shared" si="307"/>
        <v>发热</v>
      </c>
    </row>
    <row r="875">
      <c r="A875" s="5" t="str">
        <f>CONCATENATE("CATEGORY_",UPPER(Pokemon!B853))</f>
        <v>CATEGORY_CLOBBOPUS</v>
      </c>
      <c r="B875" s="3" t="s">
        <v>11977</v>
      </c>
      <c r="C875" s="3" t="s">
        <v>11978</v>
      </c>
      <c r="D875" s="3" t="s">
        <v>11979</v>
      </c>
      <c r="E875" s="3" t="s">
        <v>11980</v>
      </c>
      <c r="F875" s="3" t="s">
        <v>11981</v>
      </c>
      <c r="G875" s="3" t="s">
        <v>11982</v>
      </c>
      <c r="H875" s="3" t="s">
        <v>11983</v>
      </c>
      <c r="I875" s="3" t="s">
        <v>11984</v>
      </c>
      <c r="J875" s="5" t="str">
        <f>IFERROR(__xludf.DUMMYFUNCTION("GOOGLETRANSLATE(I875, ""zh_HANT"",""zh_HANS"")"),"缠人")</f>
        <v>缠人</v>
      </c>
    </row>
    <row r="876">
      <c r="A876" s="5" t="str">
        <f>CONCATENATE("CATEGORY_",UPPER(Pokemon!B854))</f>
        <v>CATEGORY_GRAPPLOCT</v>
      </c>
      <c r="B876" s="3" t="s">
        <v>11985</v>
      </c>
      <c r="C876" s="3" t="s">
        <v>11986</v>
      </c>
      <c r="D876" s="5" t="str">
        <f>B876</f>
        <v>Jujitsu</v>
      </c>
      <c r="E876" s="3" t="s">
        <v>11987</v>
      </c>
      <c r="F876" s="5" t="str">
        <f>E876</f>
        <v>Jiu-jitsu</v>
      </c>
      <c r="G876" s="5" t="str">
        <f>B876</f>
        <v>Jujitsu</v>
      </c>
      <c r="H876" s="3" t="s">
        <v>11988</v>
      </c>
      <c r="I876" s="3" t="s">
        <v>11989</v>
      </c>
      <c r="J876" s="5" t="str">
        <f>IFERROR(__xludf.DUMMYFUNCTION("GOOGLETRANSLATE(I876, ""zh_HANT"",""zh_HANS"")"),"柔术")</f>
        <v>柔术</v>
      </c>
    </row>
    <row r="877">
      <c r="A877" s="5" t="str">
        <f>CONCATENATE("CATEGORY_",UPPER(Pokemon!B855))</f>
        <v>CATEGORY_SINISTEA</v>
      </c>
      <c r="B877" s="3" t="s">
        <v>11990</v>
      </c>
      <c r="C877" s="3" t="s">
        <v>11991</v>
      </c>
      <c r="D877" s="3" t="s">
        <v>11992</v>
      </c>
      <c r="E877" s="3" t="s">
        <v>11993</v>
      </c>
      <c r="F877" s="3" t="s">
        <v>11994</v>
      </c>
      <c r="G877" s="3" t="s">
        <v>11995</v>
      </c>
      <c r="H877" s="3" t="s">
        <v>11996</v>
      </c>
      <c r="I877" s="3" t="s">
        <v>11997</v>
      </c>
      <c r="J877" s="5" t="str">
        <f>IFERROR(__xludf.DUMMYFUNCTION("GOOGLETRANSLATE(I877, ""zh_HANT"",""zh_HANS"")"),"红茶")</f>
        <v>红茶</v>
      </c>
    </row>
    <row r="878">
      <c r="A878" s="5" t="str">
        <f>CONCATENATE("CATEGORY_",UPPER(Pokemon!B856))</f>
        <v>CATEGORY_POLTEAGEIST</v>
      </c>
      <c r="B878" s="5" t="str">
        <f t="shared" ref="B878:J878" si="308">B877</f>
        <v>Black Tea</v>
      </c>
      <c r="C878" s="5" t="str">
        <f t="shared" si="308"/>
        <v>こうちゃ</v>
      </c>
      <c r="D878" s="5" t="str">
        <f t="shared" si="308"/>
        <v>Thé Noir</v>
      </c>
      <c r="E878" s="5" t="str">
        <f t="shared" si="308"/>
        <v>Schwarztee</v>
      </c>
      <c r="F878" s="5" t="str">
        <f t="shared" si="308"/>
        <v>Té</v>
      </c>
      <c r="G878" s="5" t="str">
        <f t="shared" si="308"/>
        <v>Tè</v>
      </c>
      <c r="H878" s="5" t="str">
        <f t="shared" si="308"/>
        <v>홍차</v>
      </c>
      <c r="I878" s="5" t="str">
        <f t="shared" si="308"/>
        <v>紅茶</v>
      </c>
      <c r="J878" s="5" t="str">
        <f t="shared" si="308"/>
        <v>红茶</v>
      </c>
    </row>
    <row r="879">
      <c r="A879" s="5" t="str">
        <f>CONCATENATE("CATEGORY_",UPPER(Pokemon!B857))</f>
        <v>CATEGORY_HATENNA</v>
      </c>
      <c r="B879" s="3" t="str">
        <f>Natures!B6</f>
        <v>Calm</v>
      </c>
      <c r="C879" s="3" t="str">
        <f>Natures!C6</f>
        <v>おだやか</v>
      </c>
      <c r="D879" s="3" t="str">
        <f>Natures!D6</f>
        <v>Calme</v>
      </c>
      <c r="E879" s="14" t="s">
        <v>11998</v>
      </c>
      <c r="F879" s="3" t="str">
        <f>G879</f>
        <v>Audace</v>
      </c>
      <c r="G879" s="3" t="str">
        <f>Natures!G5</f>
        <v>Audace</v>
      </c>
      <c r="H879" s="3" t="str">
        <f>Natures!H6</f>
        <v>차분</v>
      </c>
      <c r="I879" s="3" t="s">
        <v>11999</v>
      </c>
      <c r="J879" s="3" t="str">
        <f>IFERROR(__xludf.DUMMYFUNCTION("GOOGLETRANSLATE(I879, ""zh_HANT"",""zh_HANS"")"),"宁静")</f>
        <v>宁静</v>
      </c>
    </row>
    <row r="880">
      <c r="A880" s="5" t="str">
        <f>CONCATENATE("CATEGORY_",UPPER(Pokemon!B858))</f>
        <v>CATEGORY_HATTREM</v>
      </c>
      <c r="B880" s="3" t="s">
        <v>12000</v>
      </c>
      <c r="C880" s="3" t="s">
        <v>12001</v>
      </c>
      <c r="D880" s="3" t="s">
        <v>12002</v>
      </c>
      <c r="E880" s="3" t="s">
        <v>12003</v>
      </c>
      <c r="F880" s="3" t="s">
        <v>12004</v>
      </c>
      <c r="G880" s="3" t="s">
        <v>12005</v>
      </c>
      <c r="H880" s="3" t="s">
        <v>12006</v>
      </c>
      <c r="I880" s="3" t="s">
        <v>12007</v>
      </c>
      <c r="J880" s="5" t="str">
        <f>IFERROR(__xludf.DUMMYFUNCTION("GOOGLETRANSLATE(I880, ""zh_HANT"",""zh_HANS"")"),"肃静")</f>
        <v>肃静</v>
      </c>
    </row>
    <row r="881">
      <c r="A881" s="5" t="str">
        <f>CONCATENATE("CATEGORY_",UPPER(Pokemon!B859))</f>
        <v>CATEGORY_HATTERENE</v>
      </c>
      <c r="B881" s="3" t="s">
        <v>12008</v>
      </c>
      <c r="C881" s="3" t="s">
        <v>12009</v>
      </c>
      <c r="D881" s="3" t="s">
        <v>12010</v>
      </c>
      <c r="E881" s="3" t="s">
        <v>12011</v>
      </c>
      <c r="F881" s="3" t="s">
        <v>12012</v>
      </c>
      <c r="G881" s="3" t="s">
        <v>12013</v>
      </c>
      <c r="H881" s="3" t="s">
        <v>12014</v>
      </c>
      <c r="I881" s="3" t="s">
        <v>12015</v>
      </c>
      <c r="J881" s="5" t="str">
        <f>IFERROR(__xludf.DUMMYFUNCTION("GOOGLETRANSLATE(I881, ""zh_HANT"",""zh_HANS"")"),"寂静")</f>
        <v>寂静</v>
      </c>
    </row>
    <row r="882">
      <c r="A882" s="5" t="str">
        <f>CONCATENATE("CATEGORY_",UPPER(Pokemon!B860))</f>
        <v>CATEGORY_IMPIDIMP</v>
      </c>
      <c r="B882" s="5" t="str">
        <f t="shared" ref="B882:K882" si="309">B287</f>
        <v>Wily</v>
      </c>
      <c r="C882" s="5" t="str">
        <f t="shared" si="309"/>
        <v>いじわる</v>
      </c>
      <c r="D882" s="5" t="str">
        <f t="shared" si="309"/>
        <v>Malin</v>
      </c>
      <c r="E882" s="5" t="str">
        <f t="shared" si="309"/>
        <v>Hinterlist</v>
      </c>
      <c r="F882" s="5" t="str">
        <f t="shared" si="309"/>
        <v>Astuto</v>
      </c>
      <c r="G882" s="5" t="str">
        <f t="shared" si="309"/>
        <v>Scaltro</v>
      </c>
      <c r="H882" s="5" t="str">
        <f t="shared" si="309"/>
        <v>꾀부리기</v>
      </c>
      <c r="I882" s="5" t="str">
        <f t="shared" si="309"/>
        <v>捉弄</v>
      </c>
      <c r="J882" s="5" t="str">
        <f t="shared" si="309"/>
        <v>捉弄</v>
      </c>
      <c r="K882" s="5" t="str">
        <f t="shared" si="309"/>
        <v/>
      </c>
    </row>
    <row r="883">
      <c r="A883" s="5" t="str">
        <f>CONCATENATE("CATEGORY_",UPPER(Pokemon!B861))</f>
        <v>CATEGORY_MORGREM</v>
      </c>
      <c r="B883" s="5" t="str">
        <f t="shared" ref="B883:K883" si="310">B522</f>
        <v>Devious</v>
      </c>
      <c r="C883" s="5" t="str">
        <f t="shared" si="310"/>
        <v>しょうわる</v>
      </c>
      <c r="D883" s="5" t="str">
        <f t="shared" si="310"/>
        <v>Scélérat</v>
      </c>
      <c r="E883" s="5" t="str">
        <f t="shared" si="310"/>
        <v>Schelm</v>
      </c>
      <c r="F883" s="5" t="str">
        <f t="shared" si="310"/>
        <v>Malicioso</v>
      </c>
      <c r="G883" s="5" t="str">
        <f t="shared" si="310"/>
        <v>Furbizia</v>
      </c>
      <c r="H883" s="5" t="str">
        <f t="shared" si="310"/>
        <v>성악</v>
      </c>
      <c r="I883" s="5" t="str">
        <f t="shared" si="310"/>
        <v>壞心眼</v>
      </c>
      <c r="J883" s="5" t="str">
        <f t="shared" si="310"/>
        <v>坏心眼</v>
      </c>
      <c r="K883" s="5" t="str">
        <f t="shared" si="310"/>
        <v/>
      </c>
    </row>
    <row r="884">
      <c r="A884" s="5" t="str">
        <f>CONCATENATE("CATEGORY_",UPPER(Pokemon!B862))</f>
        <v>CATEGORY_GRIMMSNARL</v>
      </c>
      <c r="B884" s="5" t="str">
        <f>Moves!B340</f>
        <v>Bulk Up</v>
      </c>
      <c r="C884" s="5" t="str">
        <f>Moves!C340</f>
        <v>ビルドアップ</v>
      </c>
      <c r="D884" s="5" t="str">
        <f>Moves!D340</f>
        <v>Gonflette</v>
      </c>
      <c r="E884" s="3" t="s">
        <v>12016</v>
      </c>
      <c r="F884" s="3" t="s">
        <v>12017</v>
      </c>
      <c r="G884" s="5" t="str">
        <f>Moves!G340</f>
        <v>Granfisico</v>
      </c>
      <c r="H884" s="5" t="str">
        <f>Moves!H340</f>
        <v>벌크업</v>
      </c>
      <c r="I884" s="5" t="str">
        <f>Moves!I340</f>
        <v>健美</v>
      </c>
      <c r="J884" s="5" t="str">
        <f>Moves!J340</f>
        <v>健美</v>
      </c>
    </row>
    <row r="885">
      <c r="A885" s="5" t="str">
        <f>CONCATENATE("CATEGORY_",UPPER(Pokemon!B863))</f>
        <v>CATEGORY_OBSTAGOON</v>
      </c>
      <c r="B885" s="3" t="s">
        <v>12018</v>
      </c>
      <c r="C885" s="3" t="s">
        <v>12019</v>
      </c>
      <c r="D885" s="3" t="s">
        <v>12020</v>
      </c>
      <c r="E885" s="3" t="s">
        <v>12021</v>
      </c>
      <c r="F885" s="3" t="s">
        <v>12022</v>
      </c>
      <c r="G885" s="3" t="s">
        <v>12023</v>
      </c>
      <c r="H885" s="3" t="s">
        <v>12024</v>
      </c>
      <c r="I885" s="3" t="s">
        <v>12025</v>
      </c>
      <c r="J885" s="5" t="str">
        <f>I885</f>
        <v>停止</v>
      </c>
    </row>
    <row r="886">
      <c r="A886" s="5" t="str">
        <f>CONCATENATE("CATEGORY_",UPPER(Pokemon!B864))</f>
        <v>CATEGORY_PERRSERKER</v>
      </c>
      <c r="B886" s="3" t="s">
        <v>12026</v>
      </c>
      <c r="C886" s="3" t="s">
        <v>12027</v>
      </c>
      <c r="D886" s="5" t="str">
        <f>B886</f>
        <v>Viking</v>
      </c>
      <c r="E886" s="3" t="s">
        <v>12028</v>
      </c>
      <c r="F886" s="5" t="str">
        <f>CONCATENATE(D886,"o")</f>
        <v>Vikingo</v>
      </c>
      <c r="G886" s="3" t="s">
        <v>12029</v>
      </c>
      <c r="H886" s="3" t="s">
        <v>12030</v>
      </c>
      <c r="I886" s="3" t="s">
        <v>12031</v>
      </c>
      <c r="J886" s="5" t="str">
        <f>IFERROR(__xludf.DUMMYFUNCTION("GOOGLETRANSLATE(I886, ""zh_HANT"",""zh_HANS"")"),"维京")</f>
        <v>维京</v>
      </c>
    </row>
    <row r="887">
      <c r="A887" s="5" t="str">
        <f>CONCATENATE("CATEGORY_",UPPER(Pokemon!B865))</f>
        <v>CATEGORY_CURSOLA</v>
      </c>
      <c r="B887" s="5" t="str">
        <f t="shared" ref="B887:K887" si="311">B235</f>
        <v>Coral</v>
      </c>
      <c r="C887" s="5" t="str">
        <f t="shared" si="311"/>
        <v>さんご</v>
      </c>
      <c r="D887" s="5" t="str">
        <f t="shared" si="311"/>
        <v>Corail</v>
      </c>
      <c r="E887" s="5" t="str">
        <f t="shared" si="311"/>
        <v>Koralle</v>
      </c>
      <c r="F887" s="5" t="str">
        <f t="shared" si="311"/>
        <v>Coral</v>
      </c>
      <c r="G887" s="5" t="str">
        <f t="shared" si="311"/>
        <v>Corallo</v>
      </c>
      <c r="H887" s="5" t="str">
        <f t="shared" si="311"/>
        <v>산호</v>
      </c>
      <c r="I887" s="5" t="str">
        <f t="shared" si="311"/>
        <v>珊瑚</v>
      </c>
      <c r="J887" s="5" t="str">
        <f t="shared" si="311"/>
        <v>珊瑚</v>
      </c>
      <c r="K887" s="5" t="str">
        <f t="shared" si="311"/>
        <v/>
      </c>
    </row>
    <row r="888">
      <c r="A888" s="5" t="str">
        <f>CONCATENATE("CATEGORY_",SUBSTITUTE(UPPER(Pokemon!B866),"'",""))</f>
        <v>CATEGORY_SIRFETCHD</v>
      </c>
      <c r="B888" s="5" t="str">
        <f t="shared" ref="B888:K888" si="312">B87</f>
        <v>Wild Duck</v>
      </c>
      <c r="C888" s="5" t="str">
        <f t="shared" si="312"/>
        <v>かるがも</v>
      </c>
      <c r="D888" s="5" t="str">
        <f t="shared" si="312"/>
        <v>Canard Fou</v>
      </c>
      <c r="E888" s="5" t="str">
        <f t="shared" si="312"/>
        <v>Wildente</v>
      </c>
      <c r="F888" s="5" t="str">
        <f t="shared" si="312"/>
        <v>Pato Salvaje</v>
      </c>
      <c r="G888" s="5" t="str">
        <f t="shared" si="312"/>
        <v>Salvanatra</v>
      </c>
      <c r="H888" s="5" t="str">
        <f t="shared" si="312"/>
        <v>천둥오리</v>
      </c>
      <c r="I888" s="5" t="str">
        <f t="shared" si="312"/>
        <v>黃嘴鴨</v>
      </c>
      <c r="J888" s="5" t="str">
        <f t="shared" si="312"/>
        <v>黄嘴鸭</v>
      </c>
      <c r="K888" s="5" t="str">
        <f t="shared" si="312"/>
        <v/>
      </c>
    </row>
    <row r="889">
      <c r="A889" s="5" t="str">
        <f>CONCATENATE("CATEGORY_",UPPER(Pokemon!B867))</f>
        <v>CATEGORY_MR. RIME</v>
      </c>
      <c r="B889" s="3" t="s">
        <v>12032</v>
      </c>
      <c r="C889" s="3" t="s">
        <v>12033</v>
      </c>
      <c r="D889" s="3" t="s">
        <v>12034</v>
      </c>
      <c r="E889" s="3" t="s">
        <v>12035</v>
      </c>
      <c r="F889" s="3" t="s">
        <v>12036</v>
      </c>
      <c r="G889" s="3" t="s">
        <v>12037</v>
      </c>
      <c r="H889" s="3" t="s">
        <v>12038</v>
      </c>
      <c r="I889" s="3" t="s">
        <v>12039</v>
      </c>
      <c r="J889" s="5" t="str">
        <f>IFERROR(__xludf.DUMMYFUNCTION("GOOGLETRANSLATE(I889, ""zh_HANT"",""zh_HANS"")"),"喜剧演员")</f>
        <v>喜剧演员</v>
      </c>
    </row>
    <row r="890">
      <c r="A890" s="5" t="str">
        <f>CONCATENATE("CATEGORY_",UPPER(Pokemon!B868))</f>
        <v>CATEGORY_RUNERIGUS</v>
      </c>
      <c r="B890" s="5" t="str">
        <f>Moves!B289</f>
        <v>Grudge</v>
      </c>
      <c r="C890" s="5" t="str">
        <f>Moves!C289</f>
        <v>おんねん</v>
      </c>
      <c r="D890" s="5" t="str">
        <f>Moves!D289</f>
        <v>Rancune</v>
      </c>
      <c r="E890" s="3" t="s">
        <v>12040</v>
      </c>
      <c r="F890" s="3" t="s">
        <v>12041</v>
      </c>
      <c r="G890" s="5" t="str">
        <f>Moves!G289</f>
        <v>Rancore</v>
      </c>
      <c r="H890" s="5" t="str">
        <f>Moves!H289</f>
        <v>원념</v>
      </c>
      <c r="I890" s="5" t="str">
        <f>Moves!I289</f>
        <v>怨念</v>
      </c>
      <c r="J890" s="5" t="str">
        <f>Moves!J289</f>
        <v>怨念</v>
      </c>
    </row>
    <row r="891">
      <c r="A891" s="5" t="str">
        <f>CONCATENATE("CATEGORY_",UPPER(Pokemon!B869))</f>
        <v>CATEGORY_MILCERY</v>
      </c>
      <c r="B891" s="3" t="s">
        <v>12042</v>
      </c>
      <c r="C891" s="3" t="s">
        <v>12043</v>
      </c>
      <c r="D891" s="3" t="s">
        <v>12044</v>
      </c>
      <c r="E891" s="3" t="s">
        <v>12045</v>
      </c>
      <c r="F891" s="3" t="s">
        <v>11114</v>
      </c>
      <c r="G891" s="3" t="s">
        <v>12046</v>
      </c>
      <c r="H891" s="3" t="s">
        <v>12047</v>
      </c>
      <c r="I891" s="3" t="s">
        <v>12048</v>
      </c>
      <c r="J891" s="5" t="str">
        <f>IFERROR(__xludf.DUMMYFUNCTION("GOOGLETRANSLATE(I891, ""zh_HANT"",""zh_HANS"")"),"鲜奶油")</f>
        <v>鲜奶油</v>
      </c>
    </row>
    <row r="892">
      <c r="A892" s="5" t="str">
        <f>CONCATENATE("CATEGORY_",UPPER(Pokemon!B870))</f>
        <v>CATEGORY_ALCREMIE</v>
      </c>
      <c r="B892" s="5" t="str">
        <f t="shared" ref="B892:J892" si="313">B891</f>
        <v>Cream</v>
      </c>
      <c r="C892" s="5" t="str">
        <f t="shared" si="313"/>
        <v>クリーム</v>
      </c>
      <c r="D892" s="5" t="str">
        <f t="shared" si="313"/>
        <v>Crème</v>
      </c>
      <c r="E892" s="5" t="str">
        <f t="shared" si="313"/>
        <v>Sahne</v>
      </c>
      <c r="F892" s="5" t="str">
        <f t="shared" si="313"/>
        <v>Nata</v>
      </c>
      <c r="G892" s="5" t="str">
        <f t="shared" si="313"/>
        <v>Pannafresca</v>
      </c>
      <c r="H892" s="5" t="str">
        <f t="shared" si="313"/>
        <v>크림</v>
      </c>
      <c r="I892" s="5" t="str">
        <f t="shared" si="313"/>
        <v>鮮奶油</v>
      </c>
      <c r="J892" s="5" t="str">
        <f t="shared" si="313"/>
        <v>鲜奶油</v>
      </c>
    </row>
    <row r="893">
      <c r="A893" s="5" t="str">
        <f>CONCATENATE("CATEGORY_",UPPER(Pokemon!B871))</f>
        <v>CATEGORY_FALINKS</v>
      </c>
      <c r="B893" s="3" t="s">
        <v>12049</v>
      </c>
      <c r="C893" s="3" t="s">
        <v>12050</v>
      </c>
      <c r="D893" s="3" t="s">
        <v>12051</v>
      </c>
      <c r="E893" s="5" t="str">
        <f>CONCATENATE(B893, "s")</f>
        <v>Formations</v>
      </c>
      <c r="F893" s="3" t="s">
        <v>12052</v>
      </c>
      <c r="G893" s="3" t="s">
        <v>12053</v>
      </c>
      <c r="H893" s="3" t="s">
        <v>12054</v>
      </c>
      <c r="I893" s="3" t="s">
        <v>12055</v>
      </c>
      <c r="J893" s="5" t="str">
        <f>IFERROR(__xludf.DUMMYFUNCTION("GOOGLETRANSLATE(I893, ""zh_HANT"",""zh_HANS"")"),"阵形")</f>
        <v>阵形</v>
      </c>
    </row>
    <row r="894">
      <c r="A894" s="5" t="str">
        <f>CONCATENATE("CATEGORY_",UPPER(Pokemon!B872))</f>
        <v>CATEGORY_PINCHURCHIN</v>
      </c>
      <c r="B894" s="3" t="s">
        <v>12056</v>
      </c>
      <c r="C894" s="3" t="s">
        <v>12057</v>
      </c>
      <c r="D894" s="3" t="s">
        <v>12058</v>
      </c>
      <c r="E894" s="3" t="s">
        <v>12059</v>
      </c>
      <c r="F894" s="3" t="s">
        <v>12060</v>
      </c>
      <c r="G894" s="3" t="s">
        <v>12061</v>
      </c>
      <c r="H894" s="3" t="s">
        <v>12062</v>
      </c>
      <c r="I894" s="3" t="s">
        <v>12063</v>
      </c>
      <c r="J894" s="5" t="str">
        <f>IFERROR(__xludf.DUMMYFUNCTION("GOOGLETRANSLATE(I894, ""zh_HANT"",""zh_HANS"")"),"海胆")</f>
        <v>海胆</v>
      </c>
    </row>
    <row r="895">
      <c r="A895" s="5" t="str">
        <f>CONCATENATE("CATEGORY_",UPPER(Pokemon!B873))</f>
        <v>CATEGORY_SNOM</v>
      </c>
      <c r="B895" s="5" t="str">
        <f t="shared" ref="B895:K895" si="314">B11</f>
        <v>Worm</v>
      </c>
      <c r="C895" s="5" t="str">
        <f t="shared" si="314"/>
        <v>いもむし</v>
      </c>
      <c r="D895" s="5" t="str">
        <f t="shared" si="314"/>
        <v>Ver</v>
      </c>
      <c r="E895" s="5" t="str">
        <f t="shared" si="314"/>
        <v>Wurm</v>
      </c>
      <c r="F895" s="5" t="str">
        <f t="shared" si="314"/>
        <v>Gusano</v>
      </c>
      <c r="G895" s="5" t="str">
        <f t="shared" si="314"/>
        <v>Baco</v>
      </c>
      <c r="H895" s="5" t="str">
        <f t="shared" si="314"/>
        <v>애벌레</v>
      </c>
      <c r="I895" s="5" t="str">
        <f t="shared" si="314"/>
        <v>蟲寶寶</v>
      </c>
      <c r="J895" s="5" t="str">
        <f t="shared" si="314"/>
        <v>虫宝宝</v>
      </c>
      <c r="K895" s="5" t="str">
        <f t="shared" si="314"/>
        <v/>
      </c>
    </row>
    <row r="896">
      <c r="A896" s="5" t="str">
        <f>CONCATENATE("CATEGORY_",UPPER(Pokemon!B874))</f>
        <v>CATEGORY_FROSMOTH</v>
      </c>
      <c r="B896" s="3" t="s">
        <v>12064</v>
      </c>
      <c r="C896" s="3" t="s">
        <v>12065</v>
      </c>
      <c r="D896" s="3" t="s">
        <v>12066</v>
      </c>
      <c r="E896" s="3" t="s">
        <v>12067</v>
      </c>
      <c r="F896" s="3" t="s">
        <v>12068</v>
      </c>
      <c r="G896" s="3" t="s">
        <v>12069</v>
      </c>
      <c r="H896" s="3" t="s">
        <v>12070</v>
      </c>
      <c r="I896" s="3" t="s">
        <v>12071</v>
      </c>
      <c r="J896" s="5" t="str">
        <f t="shared" ref="J896:J897" si="315">I896</f>
        <v>冰蛾</v>
      </c>
    </row>
    <row r="897">
      <c r="A897" s="5" t="str">
        <f>CONCATENATE("CATEGORY_",UPPER(Pokemon!B875))</f>
        <v>CATEGORY_STONJOURNER</v>
      </c>
      <c r="B897" s="3" t="s">
        <v>12072</v>
      </c>
      <c r="C897" s="3" t="s">
        <v>12073</v>
      </c>
      <c r="D897" s="3" t="s">
        <v>12074</v>
      </c>
      <c r="E897" s="3" t="s">
        <v>12075</v>
      </c>
      <c r="F897" s="3" t="s">
        <v>12076</v>
      </c>
      <c r="G897" s="5" t="str">
        <f>F897</f>
        <v>Megalito</v>
      </c>
      <c r="H897" s="3" t="s">
        <v>12077</v>
      </c>
      <c r="I897" s="3" t="s">
        <v>12078</v>
      </c>
      <c r="J897" s="5" t="str">
        <f t="shared" si="315"/>
        <v>巨石</v>
      </c>
    </row>
    <row r="898">
      <c r="A898" s="5" t="str">
        <f>CONCATENATE("CATEGORY_",UPPER(Pokemon!B876))</f>
        <v>CATEGORY_EISCUE</v>
      </c>
      <c r="B898" s="5" t="str">
        <f t="shared" ref="B898:K898" si="316">B406</f>
        <v>Penguin</v>
      </c>
      <c r="C898" s="5" t="str">
        <f t="shared" si="316"/>
        <v>ペンギン</v>
      </c>
      <c r="D898" s="5" t="str">
        <f t="shared" si="316"/>
        <v>Pingouin</v>
      </c>
      <c r="E898" s="5" t="str">
        <f t="shared" si="316"/>
        <v>Pinguin</v>
      </c>
      <c r="F898" s="5" t="str">
        <f t="shared" si="316"/>
        <v>Pingüino</v>
      </c>
      <c r="G898" s="5" t="str">
        <f t="shared" si="316"/>
        <v>Pinguino</v>
      </c>
      <c r="H898" s="5" t="str">
        <f t="shared" si="316"/>
        <v>펭귄</v>
      </c>
      <c r="I898" s="5" t="str">
        <f t="shared" si="316"/>
        <v>企鵝</v>
      </c>
      <c r="J898" s="5" t="str">
        <f t="shared" si="316"/>
        <v>企鹅</v>
      </c>
      <c r="K898" s="5" t="str">
        <f t="shared" si="316"/>
        <v/>
      </c>
    </row>
    <row r="899">
      <c r="A899" s="5" t="str">
        <f>CONCATENATE("CATEGORY_",UPPER(Pokemon!B877))</f>
        <v>CATEGORY_INDEEDEE</v>
      </c>
      <c r="B899" s="5" t="str">
        <f t="shared" ref="B899:K899" si="317">B294</f>
        <v>Emotion</v>
      </c>
      <c r="C899" s="5" t="str">
        <f t="shared" si="317"/>
        <v>かんじょう</v>
      </c>
      <c r="D899" s="5" t="str">
        <f t="shared" si="317"/>
        <v>Émotion</v>
      </c>
      <c r="E899" s="5" t="str">
        <f t="shared" si="317"/>
        <v>Emotion</v>
      </c>
      <c r="F899" s="5" t="str">
        <f t="shared" si="317"/>
        <v>Sensorio</v>
      </c>
      <c r="G899" s="5" t="str">
        <f t="shared" si="317"/>
        <v>Emozione</v>
      </c>
      <c r="H899" s="5" t="str">
        <f t="shared" si="317"/>
        <v>감정</v>
      </c>
      <c r="I899" s="5" t="str">
        <f t="shared" si="317"/>
        <v>感情</v>
      </c>
      <c r="J899" s="5" t="str">
        <f t="shared" si="317"/>
        <v>感情</v>
      </c>
      <c r="K899" s="5" t="str">
        <f t="shared" si="317"/>
        <v/>
      </c>
    </row>
    <row r="900">
      <c r="A900" s="5" t="str">
        <f>CONCATENATE("CATEGORY_",UPPER(Pokemon!B878))</f>
        <v>CATEGORY_MORPEKO</v>
      </c>
      <c r="B900" s="3" t="s">
        <v>12079</v>
      </c>
      <c r="C900" s="3" t="s">
        <v>12080</v>
      </c>
      <c r="D900" s="3" t="s">
        <v>12081</v>
      </c>
      <c r="E900" s="3" t="s">
        <v>12082</v>
      </c>
      <c r="F900" s="3" t="s">
        <v>12083</v>
      </c>
      <c r="G900" s="3" t="s">
        <v>12084</v>
      </c>
      <c r="H900" s="3" t="s">
        <v>12085</v>
      </c>
      <c r="I900" s="3" t="s">
        <v>12086</v>
      </c>
      <c r="J900" s="5" t="str">
        <f>IFERROR(__xludf.DUMMYFUNCTION("GOOGLETRANSLATE(I900, ""zh_HANT"",""zh_HANS"")"),"双面")</f>
        <v>双面</v>
      </c>
    </row>
    <row r="901">
      <c r="A901" s="5" t="str">
        <f>CONCATENATE("CATEGORY_",UPPER(Pokemon!B879))</f>
        <v>CATEGORY_CUFANT</v>
      </c>
      <c r="B901" s="3" t="s">
        <v>12087</v>
      </c>
      <c r="C901" s="3" t="s">
        <v>12088</v>
      </c>
      <c r="D901" s="3" t="s">
        <v>12089</v>
      </c>
      <c r="E901" s="3" t="s">
        <v>12090</v>
      </c>
      <c r="F901" s="3" t="s">
        <v>12091</v>
      </c>
      <c r="G901" s="3" t="s">
        <v>12092</v>
      </c>
      <c r="H901" s="3" t="s">
        <v>12093</v>
      </c>
      <c r="I901" s="3" t="s">
        <v>12094</v>
      </c>
      <c r="J901" s="5" t="str">
        <f>IFERROR(__xludf.DUMMYFUNCTION("GOOGLETRANSLATE(I901, ""zh_HANT"",""zh_HANS"")"),"像铜")</f>
        <v>像铜</v>
      </c>
    </row>
    <row r="902">
      <c r="A902" s="5" t="str">
        <f>CONCATENATE("CATEGORY_",UPPER(Pokemon!B880))</f>
        <v>CATEGORY_COPPERAJAH</v>
      </c>
      <c r="B902" s="5" t="str">
        <f t="shared" ref="B902:J902" si="318">B901</f>
        <v>Copperderm</v>
      </c>
      <c r="C902" s="5" t="str">
        <f t="shared" si="318"/>
        <v>どうぞう</v>
      </c>
      <c r="D902" s="5" t="str">
        <f t="shared" si="318"/>
        <v>Pachycuivre</v>
      </c>
      <c r="E902" s="5" t="str">
        <f t="shared" si="318"/>
        <v>Kuperfant</v>
      </c>
      <c r="F902" s="5" t="str">
        <f t="shared" si="318"/>
        <v>Broncefante</v>
      </c>
      <c r="G902" s="5" t="str">
        <f t="shared" si="318"/>
        <v>Bronzofante</v>
      </c>
      <c r="H902" s="5" t="str">
        <f t="shared" si="318"/>
        <v>동상</v>
      </c>
      <c r="I902" s="5" t="str">
        <f t="shared" si="318"/>
        <v>像銅</v>
      </c>
      <c r="J902" s="5" t="str">
        <f t="shared" si="318"/>
        <v>像铜</v>
      </c>
    </row>
    <row r="903">
      <c r="A903" s="5" t="str">
        <f>CONCATENATE("CATEGORY_",UPPER(Pokemon!B881))</f>
        <v>CATEGORY_DRACOZOLT</v>
      </c>
      <c r="B903" s="5" t="str">
        <f t="shared" ref="B903:K903" si="319">B149</f>
        <v>Fossil</v>
      </c>
      <c r="C903" s="5" t="str">
        <f t="shared" si="319"/>
        <v>かせき</v>
      </c>
      <c r="D903" s="5" t="str">
        <f t="shared" si="319"/>
        <v>Fossile</v>
      </c>
      <c r="E903" s="5" t="str">
        <f t="shared" si="319"/>
        <v>Fossil</v>
      </c>
      <c r="F903" s="5" t="str">
        <f t="shared" si="319"/>
        <v>Fósil</v>
      </c>
      <c r="G903" s="5" t="str">
        <f t="shared" si="319"/>
        <v>Fossile</v>
      </c>
      <c r="H903" s="5" t="str">
        <f t="shared" si="319"/>
        <v>화석</v>
      </c>
      <c r="I903" s="5" t="str">
        <f t="shared" si="319"/>
        <v>化石</v>
      </c>
      <c r="J903" s="5" t="str">
        <f t="shared" si="319"/>
        <v>化石</v>
      </c>
      <c r="K903" s="5" t="str">
        <f t="shared" si="319"/>
        <v/>
      </c>
    </row>
    <row r="904">
      <c r="A904" s="5" t="str">
        <f>CONCATENATE("CATEGORY_",UPPER(Pokemon!B882))</f>
        <v>CATEGORY_ARCTOZOLT</v>
      </c>
      <c r="B904" s="5" t="str">
        <f t="shared" ref="B904:K904" si="320">B149</f>
        <v>Fossil</v>
      </c>
      <c r="C904" s="5" t="str">
        <f t="shared" si="320"/>
        <v>かせき</v>
      </c>
      <c r="D904" s="5" t="str">
        <f t="shared" si="320"/>
        <v>Fossile</v>
      </c>
      <c r="E904" s="5" t="str">
        <f t="shared" si="320"/>
        <v>Fossil</v>
      </c>
      <c r="F904" s="5" t="str">
        <f t="shared" si="320"/>
        <v>Fósil</v>
      </c>
      <c r="G904" s="5" t="str">
        <f t="shared" si="320"/>
        <v>Fossile</v>
      </c>
      <c r="H904" s="5" t="str">
        <f t="shared" si="320"/>
        <v>화석</v>
      </c>
      <c r="I904" s="5" t="str">
        <f t="shared" si="320"/>
        <v>化石</v>
      </c>
      <c r="J904" s="5" t="str">
        <f t="shared" si="320"/>
        <v>化石</v>
      </c>
      <c r="K904" s="5" t="str">
        <f t="shared" si="320"/>
        <v/>
      </c>
    </row>
    <row r="905">
      <c r="A905" s="5" t="str">
        <f>CONCATENATE("CATEGORY_",UPPER(Pokemon!B883))</f>
        <v>CATEGORY_DRACOVISH</v>
      </c>
      <c r="B905" s="5" t="str">
        <f t="shared" ref="B905:K905" si="321">B149</f>
        <v>Fossil</v>
      </c>
      <c r="C905" s="5" t="str">
        <f t="shared" si="321"/>
        <v>かせき</v>
      </c>
      <c r="D905" s="5" t="str">
        <f t="shared" si="321"/>
        <v>Fossile</v>
      </c>
      <c r="E905" s="5" t="str">
        <f t="shared" si="321"/>
        <v>Fossil</v>
      </c>
      <c r="F905" s="5" t="str">
        <f t="shared" si="321"/>
        <v>Fósil</v>
      </c>
      <c r="G905" s="5" t="str">
        <f t="shared" si="321"/>
        <v>Fossile</v>
      </c>
      <c r="H905" s="5" t="str">
        <f t="shared" si="321"/>
        <v>화석</v>
      </c>
      <c r="I905" s="5" t="str">
        <f t="shared" si="321"/>
        <v>化石</v>
      </c>
      <c r="J905" s="5" t="str">
        <f t="shared" si="321"/>
        <v>化石</v>
      </c>
      <c r="K905" s="5" t="str">
        <f t="shared" si="321"/>
        <v/>
      </c>
    </row>
    <row r="906">
      <c r="A906" s="5" t="str">
        <f>CONCATENATE("CATEGORY_",UPPER(Pokemon!B884))</f>
        <v>CATEGORY_ARCTOVISH</v>
      </c>
      <c r="B906" s="5" t="str">
        <f t="shared" ref="B906:K906" si="322">B149</f>
        <v>Fossil</v>
      </c>
      <c r="C906" s="5" t="str">
        <f t="shared" si="322"/>
        <v>かせき</v>
      </c>
      <c r="D906" s="5" t="str">
        <f t="shared" si="322"/>
        <v>Fossile</v>
      </c>
      <c r="E906" s="5" t="str">
        <f t="shared" si="322"/>
        <v>Fossil</v>
      </c>
      <c r="F906" s="5" t="str">
        <f t="shared" si="322"/>
        <v>Fósil</v>
      </c>
      <c r="G906" s="5" t="str">
        <f t="shared" si="322"/>
        <v>Fossile</v>
      </c>
      <c r="H906" s="5" t="str">
        <f t="shared" si="322"/>
        <v>화석</v>
      </c>
      <c r="I906" s="5" t="str">
        <f t="shared" si="322"/>
        <v>化石</v>
      </c>
      <c r="J906" s="5" t="str">
        <f t="shared" si="322"/>
        <v>化石</v>
      </c>
      <c r="K906" s="5" t="str">
        <f t="shared" si="322"/>
        <v/>
      </c>
    </row>
    <row r="907">
      <c r="A907" s="5" t="str">
        <f>CONCATENATE("CATEGORY_",UPPER(Pokemon!B885))</f>
        <v>CATEGORY_DURALUDON</v>
      </c>
      <c r="B907" s="3" t="s">
        <v>12095</v>
      </c>
      <c r="C907" s="3" t="s">
        <v>12096</v>
      </c>
      <c r="D907" s="3" t="s">
        <v>12097</v>
      </c>
      <c r="E907" s="3" t="s">
        <v>12098</v>
      </c>
      <c r="F907" s="3" t="s">
        <v>12099</v>
      </c>
      <c r="G907" s="3" t="s">
        <v>12100</v>
      </c>
      <c r="H907" s="3" t="s">
        <v>12101</v>
      </c>
      <c r="I907" s="3" t="s">
        <v>12102</v>
      </c>
      <c r="J907" s="5" t="str">
        <f t="shared" ref="J907:J909" si="323">I907</f>
        <v>合金</v>
      </c>
    </row>
    <row r="908">
      <c r="A908" s="5" t="str">
        <f>CONCATENATE("CATEGORY_",UPPER(Pokemon!B886))</f>
        <v>CATEGORY_DREEPY</v>
      </c>
      <c r="B908" s="3" t="s">
        <v>12103</v>
      </c>
      <c r="C908" s="3" t="s">
        <v>12104</v>
      </c>
      <c r="D908" s="3" t="s">
        <v>12105</v>
      </c>
      <c r="E908" s="3" t="s">
        <v>12106</v>
      </c>
      <c r="F908" s="3" t="s">
        <v>12107</v>
      </c>
      <c r="G908" s="3" t="s">
        <v>12108</v>
      </c>
      <c r="H908" s="3" t="s">
        <v>12109</v>
      </c>
      <c r="I908" s="3" t="s">
        <v>12110</v>
      </c>
      <c r="J908" s="5" t="str">
        <f t="shared" si="323"/>
        <v>哀怨</v>
      </c>
    </row>
    <row r="909">
      <c r="A909" s="5" t="str">
        <f>CONCATENATE("CATEGORY_",UPPER(Pokemon!B887))</f>
        <v>CATEGORY_DRAKLOAK</v>
      </c>
      <c r="B909" s="3" t="s">
        <v>12111</v>
      </c>
      <c r="C909" s="3" t="s">
        <v>12112</v>
      </c>
      <c r="D909" s="3" t="s">
        <v>12113</v>
      </c>
      <c r="E909" s="3" t="s">
        <v>12114</v>
      </c>
      <c r="F909" s="3" t="s">
        <v>10255</v>
      </c>
      <c r="G909" s="3" t="s">
        <v>12115</v>
      </c>
      <c r="H909" s="3" t="s">
        <v>12116</v>
      </c>
      <c r="I909" s="3" t="s">
        <v>12117</v>
      </c>
      <c r="J909" s="5" t="str">
        <f t="shared" si="323"/>
        <v>保姆</v>
      </c>
    </row>
    <row r="910">
      <c r="A910" s="5" t="str">
        <f>CONCATENATE("CATEGORY_",UPPER(Pokemon!B888))</f>
        <v>CATEGORY_DRAGAPULT</v>
      </c>
      <c r="B910" s="3" t="s">
        <v>12118</v>
      </c>
      <c r="C910" s="3" t="s">
        <v>12119</v>
      </c>
      <c r="D910" s="3" t="s">
        <v>12120</v>
      </c>
      <c r="E910" s="3" t="s">
        <v>12121</v>
      </c>
      <c r="F910" s="3" t="s">
        <v>12122</v>
      </c>
      <c r="G910" s="5" t="str">
        <f>F910</f>
        <v>Furtivo</v>
      </c>
      <c r="H910" s="3" t="s">
        <v>12123</v>
      </c>
      <c r="I910" s="3" t="s">
        <v>12124</v>
      </c>
      <c r="J910" s="5" t="str">
        <f>IFERROR(__xludf.DUMMYFUNCTION("GOOGLETRANSLATE(I910, ""zh_HANT"",""zh_HANS"")"),"隐形")</f>
        <v>隐形</v>
      </c>
    </row>
    <row r="911">
      <c r="A911" s="5" t="str">
        <f>CONCATENATE("CATEGORY_",UPPER(Pokemon!B889))</f>
        <v>CATEGORY_ZACIAN</v>
      </c>
      <c r="B911" s="3" t="s">
        <v>12125</v>
      </c>
      <c r="C911" s="3" t="s">
        <v>12126</v>
      </c>
      <c r="D911" s="3" t="s">
        <v>12127</v>
      </c>
      <c r="E911" s="3" t="s">
        <v>12128</v>
      </c>
      <c r="F911" s="3" t="s">
        <v>12129</v>
      </c>
      <c r="G911" s="3" t="s">
        <v>12130</v>
      </c>
      <c r="H911" s="3" t="s">
        <v>12131</v>
      </c>
      <c r="I911" s="3" t="s">
        <v>12132</v>
      </c>
      <c r="J911" s="5" t="str">
        <f>IFERROR(__xludf.DUMMYFUNCTION("GOOGLETRANSLATE(I911, ""zh_HANT"",""zh_HANS"")"),"强者")</f>
        <v>强者</v>
      </c>
    </row>
    <row r="912">
      <c r="A912" s="5" t="str">
        <f>CONCATENATE("CATEGORY_",UPPER(Pokemon!B890))</f>
        <v>CATEGORY_ZAMAZANTA</v>
      </c>
      <c r="B912" s="5" t="str">
        <f t="shared" ref="B912:J912" si="324">B911</f>
        <v>Warrior</v>
      </c>
      <c r="C912" s="5" t="str">
        <f t="shared" si="324"/>
        <v>つわもの</v>
      </c>
      <c r="D912" s="5" t="str">
        <f t="shared" si="324"/>
        <v>Valeureux</v>
      </c>
      <c r="E912" s="5" t="str">
        <f t="shared" si="324"/>
        <v>Krieger</v>
      </c>
      <c r="F912" s="5" t="str">
        <f t="shared" si="324"/>
        <v>Guerrero</v>
      </c>
      <c r="G912" s="5" t="str">
        <f t="shared" si="324"/>
        <v>Guerriero</v>
      </c>
      <c r="H912" s="5" t="str">
        <f t="shared" si="324"/>
        <v>강자</v>
      </c>
      <c r="I912" s="5" t="str">
        <f t="shared" si="324"/>
        <v>強者</v>
      </c>
      <c r="J912" s="5" t="str">
        <f t="shared" si="324"/>
        <v>强者</v>
      </c>
    </row>
    <row r="913">
      <c r="A913" s="5" t="str">
        <f>CONCATENATE("CATEGORY_",UPPER(Pokemon!B891))</f>
        <v>CATEGORY_ETERNATUS</v>
      </c>
      <c r="B913" s="3" t="s">
        <v>12133</v>
      </c>
      <c r="C913" s="3" t="s">
        <v>12134</v>
      </c>
      <c r="D913" s="3" t="s">
        <v>12135</v>
      </c>
      <c r="E913" s="3" t="s">
        <v>12136</v>
      </c>
      <c r="F913" s="3" t="s">
        <v>12137</v>
      </c>
      <c r="G913" s="3" t="s">
        <v>12138</v>
      </c>
      <c r="H913" s="3" t="s">
        <v>9936</v>
      </c>
      <c r="I913" s="3" t="s">
        <v>12139</v>
      </c>
      <c r="J913" s="5" t="str">
        <f>IFERROR(__xludf.DUMMYFUNCTION("GOOGLETRANSLATE(I913, ""zh_HANT"",""zh_HANS"")"),"超极巨")</f>
        <v>超极巨</v>
      </c>
    </row>
    <row r="914">
      <c r="A914" s="5" t="str">
        <f>CONCATENATE("CATEGORY_",UPPER(Pokemon!B892))</f>
        <v>CATEGORY_KUBFU</v>
      </c>
      <c r="B914" s="3" t="s">
        <v>12140</v>
      </c>
      <c r="C914" s="3" t="s">
        <v>12141</v>
      </c>
      <c r="D914" s="3" t="s">
        <v>12142</v>
      </c>
      <c r="E914" s="5" t="str">
        <f>D914</f>
        <v>Kung-Fu</v>
      </c>
      <c r="F914" s="3" t="s">
        <v>12143</v>
      </c>
      <c r="G914" s="3" t="s">
        <v>12144</v>
      </c>
      <c r="H914" s="3" t="s">
        <v>12145</v>
      </c>
      <c r="I914" s="5" t="str">
        <f>J914</f>
        <v>拳法</v>
      </c>
      <c r="J914" s="3" t="s">
        <v>12146</v>
      </c>
    </row>
    <row r="915">
      <c r="A915" s="5" t="str">
        <f>CONCATENATE("CATEGORY_",UPPER(Pokemon!B893))</f>
        <v>CATEGORY_URSHIFU</v>
      </c>
      <c r="B915" s="5" t="str">
        <f t="shared" ref="B915:J915" si="325">B914</f>
        <v>Wushu</v>
      </c>
      <c r="C915" s="5" t="str">
        <f t="shared" si="325"/>
        <v>けんぽう</v>
      </c>
      <c r="D915" s="5" t="str">
        <f t="shared" si="325"/>
        <v>Kung-Fu</v>
      </c>
      <c r="E915" s="5" t="str">
        <f t="shared" si="325"/>
        <v>Kung-Fu</v>
      </c>
      <c r="F915" s="5" t="str">
        <f t="shared" si="325"/>
        <v>Kung-fu</v>
      </c>
      <c r="G915" s="5" t="str">
        <f t="shared" si="325"/>
        <v>Kung Fu</v>
      </c>
      <c r="H915" s="5" t="str">
        <f t="shared" si="325"/>
        <v>권법</v>
      </c>
      <c r="I915" s="5" t="str">
        <f t="shared" si="325"/>
        <v>拳法</v>
      </c>
      <c r="J915" s="5" t="str">
        <f t="shared" si="325"/>
        <v>拳法</v>
      </c>
    </row>
    <row r="916">
      <c r="A916" s="5" t="str">
        <f>CONCATENATE("CATEGORY_",UPPER(Pokemon!B894))</f>
        <v>CATEGORY_ZARUDE</v>
      </c>
      <c r="B916" s="3" t="s">
        <v>12147</v>
      </c>
      <c r="C916" s="3" t="s">
        <v>12148</v>
      </c>
      <c r="D916" s="3" t="s">
        <v>12149</v>
      </c>
      <c r="E916" s="3" t="s">
        <v>12150</v>
      </c>
      <c r="F916" s="3" t="s">
        <v>12151</v>
      </c>
      <c r="G916" s="3" t="s">
        <v>12152</v>
      </c>
      <c r="H916" s="3" t="s">
        <v>12153</v>
      </c>
      <c r="I916" s="5" t="str">
        <f>IFERROR(__xludf.DUMMYFUNCTION("GOOGLETRANSLATE(J916,""zh_HANS"",""zh_HANT"")"),"惡猿")</f>
        <v>惡猿</v>
      </c>
      <c r="J916" s="3" t="s">
        <v>12154</v>
      </c>
    </row>
    <row r="917">
      <c r="A917" s="5" t="str">
        <f>CONCATENATE("CATEGORY_",UPPER(Pokemon!B895))</f>
        <v>CATEGORY_REGIELEKI</v>
      </c>
      <c r="B917" s="3" t="s">
        <v>12155</v>
      </c>
      <c r="C917" s="3" t="s">
        <v>12156</v>
      </c>
      <c r="D917" s="3" t="s">
        <v>12157</v>
      </c>
      <c r="E917" s="3" t="s">
        <v>12158</v>
      </c>
      <c r="F917" s="3" t="s">
        <v>12159</v>
      </c>
      <c r="G917" s="3" t="s">
        <v>12160</v>
      </c>
      <c r="H917" s="3" t="s">
        <v>12161</v>
      </c>
      <c r="I917" s="5" t="str">
        <f>IFERROR(__xludf.DUMMYFUNCTION("GOOGLETRANSLATE(J917,""zh_HANS"",""zh_HANT"")"),"電子")</f>
        <v>電子</v>
      </c>
      <c r="J917" s="3" t="s">
        <v>12162</v>
      </c>
    </row>
    <row r="918">
      <c r="A918" s="5" t="str">
        <f>CONCATENATE("CATEGORY_",UPPER(Pokemon!B896))</f>
        <v>CATEGORY_REGIDRAGO</v>
      </c>
      <c r="B918" s="3" t="s">
        <v>12163</v>
      </c>
      <c r="C918" s="3" t="s">
        <v>12164</v>
      </c>
      <c r="D918" s="3" t="s">
        <v>12165</v>
      </c>
      <c r="E918" s="3" t="s">
        <v>12166</v>
      </c>
      <c r="F918" s="3" t="s">
        <v>12167</v>
      </c>
      <c r="G918" s="3" t="s">
        <v>12168</v>
      </c>
      <c r="H918" s="3" t="s">
        <v>12169</v>
      </c>
      <c r="I918" s="5" t="str">
        <f>IFERROR(__xludf.DUMMYFUNCTION("GOOGLETRANSLATE(J918,""zh_HANS"",""zh_HANT"")"),"龍玉")</f>
        <v>龍玉</v>
      </c>
      <c r="J918" s="3" t="s">
        <v>12170</v>
      </c>
    </row>
    <row r="919">
      <c r="A919" s="5" t="str">
        <f>CONCATENATE("CATEGORY_",UPPER(Pokemon!B897))</f>
        <v>CATEGORY_GLASTRIER</v>
      </c>
      <c r="B919" s="3" t="s">
        <v>12171</v>
      </c>
      <c r="C919" s="3" t="s">
        <v>12172</v>
      </c>
      <c r="D919" s="3" t="s">
        <v>12173</v>
      </c>
      <c r="E919" s="3" t="s">
        <v>12174</v>
      </c>
      <c r="F919" s="3" t="s">
        <v>12175</v>
      </c>
      <c r="G919" s="3" t="s">
        <v>12176</v>
      </c>
      <c r="H919" s="3" t="s">
        <v>12177</v>
      </c>
      <c r="I919" s="5" t="str">
        <f>IFERROR(__xludf.DUMMYFUNCTION("GOOGLETRANSLATE(J919,""zh_HANS"",""zh_HANT"")"),"烈馬")</f>
        <v>烈馬</v>
      </c>
      <c r="J919" s="3" t="s">
        <v>12178</v>
      </c>
    </row>
    <row r="920">
      <c r="A920" s="5" t="str">
        <f>CONCATENATE("CATEGORY_",UPPER(Pokemon!B898))</f>
        <v>CATEGORY_SPECTRIER</v>
      </c>
      <c r="B920" s="3" t="s">
        <v>12179</v>
      </c>
      <c r="C920" s="3" t="s">
        <v>12180</v>
      </c>
      <c r="D920" s="3" t="s">
        <v>12181</v>
      </c>
      <c r="E920" s="3" t="s">
        <v>12182</v>
      </c>
      <c r="F920" s="3" t="s">
        <v>12183</v>
      </c>
      <c r="G920" s="3" t="s">
        <v>12184</v>
      </c>
      <c r="H920" s="3" t="s">
        <v>12185</v>
      </c>
      <c r="I920" s="5" t="str">
        <f>IFERROR(__xludf.DUMMYFUNCTION("GOOGLETRANSLATE(J920,""zh_HANS"",""zh_HANT"")"),"駿馬")</f>
        <v>駿馬</v>
      </c>
      <c r="J920" s="3" t="s">
        <v>12186</v>
      </c>
    </row>
    <row r="921">
      <c r="A921" s="5" t="str">
        <f>CONCATENATE("CATEGORY_",UPPER(Pokemon!B899))</f>
        <v>CATEGORY_CALYREX</v>
      </c>
      <c r="B921" s="3" t="s">
        <v>12187</v>
      </c>
      <c r="C921" s="3" t="s">
        <v>12188</v>
      </c>
      <c r="D921" s="3" t="s">
        <v>12189</v>
      </c>
      <c r="E921" s="3" t="s">
        <v>12190</v>
      </c>
      <c r="F921" s="3" t="s">
        <v>12191</v>
      </c>
      <c r="G921" s="3" t="s">
        <v>12192</v>
      </c>
      <c r="H921" s="3" t="s">
        <v>12193</v>
      </c>
      <c r="I921" s="5" t="str">
        <f>IFERROR(__xludf.DUMMYFUNCTION("GOOGLETRANSLATE(J921,""zh_HANS"",""zh_HANT"")"),"國王")</f>
        <v>國王</v>
      </c>
      <c r="J921" s="3" t="s">
        <v>12194</v>
      </c>
    </row>
    <row r="922">
      <c r="A922" s="5" t="str">
        <f>CONCATENATE(A921,"-I")</f>
        <v>CATEGORY_CALYREX-I</v>
      </c>
      <c r="B922" s="3" t="s">
        <v>12195</v>
      </c>
      <c r="C922" s="3" t="s">
        <v>12196</v>
      </c>
      <c r="D922" s="3" t="s">
        <v>9425</v>
      </c>
      <c r="E922" s="3" t="str">
        <f t="shared" ref="E922:F922" si="326">E408</f>
        <v>Kaiser</v>
      </c>
      <c r="F922" s="3" t="str">
        <f t="shared" si="326"/>
        <v>Emperador</v>
      </c>
      <c r="G922" s="3" t="s">
        <v>9428</v>
      </c>
      <c r="H922" s="3" t="s">
        <v>12197</v>
      </c>
      <c r="I922" s="5" t="str">
        <f>J922</f>
        <v>帝皇</v>
      </c>
      <c r="J922" s="3" t="s">
        <v>12198</v>
      </c>
    </row>
    <row r="923">
      <c r="A923" s="5" t="str">
        <f>CONCATENATE(A921,"-S")</f>
        <v>CATEGORY_CALYREX-S</v>
      </c>
      <c r="B923" s="5" t="str">
        <f t="shared" ref="B923:D923" si="327">B922</f>
        <v>High King</v>
      </c>
      <c r="C923" s="5" t="str">
        <f t="shared" si="327"/>
        <v>エンペラー</v>
      </c>
      <c r="D923" s="5" t="str">
        <f t="shared" si="327"/>
        <v>Empereur</v>
      </c>
      <c r="E923" s="5" t="str">
        <f t="shared" ref="E923:F923" si="328">E408</f>
        <v>Kaiser</v>
      </c>
      <c r="F923" s="5" t="str">
        <f t="shared" si="328"/>
        <v>Emperador</v>
      </c>
      <c r="G923" s="5" t="str">
        <f t="shared" ref="G923:J923" si="329">G922</f>
        <v>Imperatore</v>
      </c>
      <c r="H923" s="5" t="str">
        <f t="shared" si="329"/>
        <v>엠페러</v>
      </c>
      <c r="I923" s="5" t="str">
        <f t="shared" si="329"/>
        <v>帝皇</v>
      </c>
      <c r="J923" s="5" t="str">
        <f t="shared" si="329"/>
        <v>帝皇</v>
      </c>
    </row>
    <row r="924">
      <c r="A924" s="5" t="str">
        <f>CONCATENATE("CATEGORY_",UPPER(Pokemon!B900))</f>
        <v>CATEGORY_WYRDEER</v>
      </c>
      <c r="B924" s="5" t="str">
        <f t="shared" ref="B924:J924" si="330">B247</f>
        <v>Big Horn</v>
      </c>
      <c r="C924" s="5" t="str">
        <f t="shared" si="330"/>
        <v>おおツノ</v>
      </c>
      <c r="D924" s="5" t="str">
        <f t="shared" si="330"/>
        <v>Maxi Corne</v>
      </c>
      <c r="E924" s="5" t="str">
        <f t="shared" si="330"/>
        <v>Vielender</v>
      </c>
      <c r="F924" s="5" t="str">
        <f t="shared" si="330"/>
        <v>Chifrudo</v>
      </c>
      <c r="G924" s="5" t="str">
        <f t="shared" si="330"/>
        <v>Grancorno</v>
      </c>
      <c r="H924" s="5" t="str">
        <f t="shared" si="330"/>
        <v>큰뿔</v>
      </c>
      <c r="I924" s="5" t="str">
        <f t="shared" si="330"/>
        <v>大角</v>
      </c>
      <c r="J924" s="5" t="str">
        <f t="shared" si="330"/>
        <v>大角</v>
      </c>
    </row>
    <row r="925">
      <c r="A925" s="5" t="str">
        <f>CONCATENATE("CATEGORY_",UPPER(Pokemon!B901))</f>
        <v>CATEGORY_KLEAVOR</v>
      </c>
      <c r="B925" s="3" t="s">
        <v>12199</v>
      </c>
      <c r="C925" s="3" t="s">
        <v>12200</v>
      </c>
      <c r="D925" s="3" t="s">
        <v>12201</v>
      </c>
      <c r="E925" s="3" t="s">
        <v>12202</v>
      </c>
      <c r="F925" s="3" t="s">
        <v>12203</v>
      </c>
      <c r="G925" s="3" t="s">
        <v>12204</v>
      </c>
      <c r="H925" s="7" t="s">
        <v>12205</v>
      </c>
      <c r="I925" s="5" t="str">
        <f>IFERROR(__xludf.DUMMYFUNCTION("GOOGLETRANSLATE(J925,""zh_HANS"",""zh_HANT"")"),"斧鈸")</f>
        <v>斧鈸</v>
      </c>
      <c r="J925" s="3" t="s">
        <v>12206</v>
      </c>
    </row>
    <row r="926">
      <c r="A926" s="5" t="str">
        <f>CONCATENATE("CATEGORY_",UPPER(Pokemon!B902))</f>
        <v>CATEGORY_URSALUNA</v>
      </c>
      <c r="B926" s="3" t="s">
        <v>12207</v>
      </c>
      <c r="C926" s="3" t="s">
        <v>12208</v>
      </c>
      <c r="D926" s="3" t="s">
        <v>12209</v>
      </c>
      <c r="E926" s="3" t="s">
        <v>12210</v>
      </c>
      <c r="F926" s="3" t="s">
        <v>12211</v>
      </c>
      <c r="G926" s="3" t="s">
        <v>12212</v>
      </c>
      <c r="H926" s="6" t="s">
        <v>12213</v>
      </c>
      <c r="I926" s="5" t="str">
        <f>J926</f>
        <v>泥炭</v>
      </c>
      <c r="J926" s="7" t="s">
        <v>12214</v>
      </c>
    </row>
    <row r="927">
      <c r="A927" s="5" t="str">
        <f>CONCATENATE("CATEGORY_",UPPER(Pokemon!B903))</f>
        <v>CATEGORY_BASCULEGION</v>
      </c>
      <c r="B927" s="3" t="s">
        <v>12215</v>
      </c>
      <c r="C927" s="3" t="s">
        <v>12216</v>
      </c>
      <c r="D927" s="3" t="s">
        <v>12217</v>
      </c>
      <c r="E927" s="3" t="s">
        <v>12218</v>
      </c>
      <c r="F927" s="3" t="s">
        <v>12219</v>
      </c>
      <c r="G927" s="3" t="s">
        <v>12220</v>
      </c>
      <c r="H927" s="7" t="s">
        <v>12221</v>
      </c>
      <c r="I927" s="5" t="str">
        <f>IFERROR(__xludf.DUMMYFUNCTION("GOOGLETRANSLATE(J927,""zh_HANS"",""zh_HANT"")"),"大魚")</f>
        <v>大魚</v>
      </c>
      <c r="J927" s="3" t="s">
        <v>12222</v>
      </c>
    </row>
    <row r="928">
      <c r="A928" s="5" t="str">
        <f>CONCATENATE("CATEGORY_",UPPER(Pokemon!B904))</f>
        <v>CATEGORY_SNEASLER</v>
      </c>
      <c r="B928" s="3" t="s">
        <v>12223</v>
      </c>
      <c r="C928" s="3" t="s">
        <v>12224</v>
      </c>
      <c r="D928" s="3" t="s">
        <v>12225</v>
      </c>
      <c r="E928" s="3" t="s">
        <v>12226</v>
      </c>
      <c r="F928" s="3" t="s">
        <v>12227</v>
      </c>
      <c r="G928" s="3" t="s">
        <v>12228</v>
      </c>
      <c r="H928" s="7" t="s">
        <v>12229</v>
      </c>
      <c r="I928" s="5" t="str">
        <f>J928</f>
        <v>攀崖</v>
      </c>
      <c r="J928" s="7" t="s">
        <v>12230</v>
      </c>
    </row>
    <row r="929">
      <c r="A929" s="5" t="str">
        <f>CONCATENATE("CATEGORY_",UPPER(Pokemon!B905))</f>
        <v>CATEGORY_OVERQWIL</v>
      </c>
      <c r="B929" s="3" t="s">
        <v>12231</v>
      </c>
      <c r="C929" s="3" t="s">
        <v>12232</v>
      </c>
      <c r="D929" s="3" t="s">
        <v>12233</v>
      </c>
      <c r="E929" s="3" t="s">
        <v>12234</v>
      </c>
      <c r="F929" s="3" t="s">
        <v>12235</v>
      </c>
      <c r="G929" s="3" t="s">
        <v>12236</v>
      </c>
      <c r="H929" s="7" t="s">
        <v>12237</v>
      </c>
      <c r="I929" s="5" t="str">
        <f>IFERROR(__xludf.DUMMYFUNCTION("GOOGLETRANSLATE(J929,""zh_HANS"",""zh_HANT"")"),"劍山")</f>
        <v>劍山</v>
      </c>
      <c r="J929" s="7" t="s">
        <v>12238</v>
      </c>
    </row>
    <row r="930">
      <c r="A930" s="5" t="str">
        <f>CONCATENATE("CATEGORY_",UPPER(Pokemon!B906))</f>
        <v>CATEGORY_ENAMORUS</v>
      </c>
      <c r="B930" s="3" t="s">
        <v>12239</v>
      </c>
      <c r="C930" s="3" t="s">
        <v>12240</v>
      </c>
      <c r="D930" s="3" t="s">
        <v>12241</v>
      </c>
      <c r="E930" s="3" t="s">
        <v>12242</v>
      </c>
      <c r="F930" s="3" t="s">
        <v>12243</v>
      </c>
      <c r="G930" s="3" t="s">
        <v>12244</v>
      </c>
      <c r="H930" s="7" t="s">
        <v>12245</v>
      </c>
      <c r="I930" s="5" t="str">
        <f>IFERROR(__xludf.DUMMYFUNCTION("GOOGLETRANSLATE(J930,""zh_HANS"",""zh_HANT"")"),"愛憎")</f>
        <v>愛憎</v>
      </c>
      <c r="J930" s="7" t="s">
        <v>12246</v>
      </c>
    </row>
    <row r="931">
      <c r="A931" s="5" t="str">
        <f>CONCATENATE("CATEGORY_",UPPER(Pokemon!B907))</f>
        <v>CATEGORY_SPRIGATITO</v>
      </c>
      <c r="B931" s="3" t="s">
        <v>12247</v>
      </c>
      <c r="C931" s="3" t="s">
        <v>12248</v>
      </c>
      <c r="D931" s="3" t="s">
        <v>12249</v>
      </c>
      <c r="E931" s="3" t="s">
        <v>12250</v>
      </c>
      <c r="F931" s="3" t="s">
        <v>12251</v>
      </c>
      <c r="G931" s="3" t="s">
        <v>12252</v>
      </c>
      <c r="H931" s="3" t="s">
        <v>12253</v>
      </c>
      <c r="I931" s="5" t="str">
        <f>IFERROR(__xludf.DUMMYFUNCTION("GOOGLETRANSLATE(J931,""zh_HANS"",""zh_HANT"")"),"草貓")</f>
        <v>草貓</v>
      </c>
      <c r="J931" s="3" t="s">
        <v>12254</v>
      </c>
    </row>
    <row r="932">
      <c r="A932" s="5" t="str">
        <f>CONCATENATE("CATEGORY_",UPPER(Pokemon!B908))</f>
        <v>CATEGORY_FLORAGATO</v>
      </c>
      <c r="B932" s="3" t="str">
        <f t="shared" ref="B932:J932" si="331">B931</f>
        <v>Grass Cat</v>
      </c>
      <c r="C932" s="3" t="str">
        <f t="shared" si="331"/>
        <v>くさねこ</v>
      </c>
      <c r="D932" s="3" t="str">
        <f t="shared" si="331"/>
        <v>Chat Plante</v>
      </c>
      <c r="E932" s="3" t="str">
        <f t="shared" si="331"/>
        <v>Florakatzen</v>
      </c>
      <c r="F932" s="3" t="str">
        <f t="shared" si="331"/>
        <v>Gato Planta</v>
      </c>
      <c r="G932" s="3" t="str">
        <f t="shared" si="331"/>
        <v>Erbagatto</v>
      </c>
      <c r="H932" s="3" t="str">
        <f t="shared" si="331"/>
        <v>풀고양이</v>
      </c>
      <c r="I932" s="3" t="str">
        <f t="shared" si="331"/>
        <v>草貓</v>
      </c>
      <c r="J932" s="3" t="str">
        <f t="shared" si="331"/>
        <v>草猫</v>
      </c>
    </row>
    <row r="933">
      <c r="A933" s="5" t="str">
        <f>CONCATENATE("CATEGORY_",UPPER(Pokemon!B909))</f>
        <v>CATEGORY_MEOWSCARDA</v>
      </c>
      <c r="B933" s="3" t="str">
        <f>Abilities!B171</f>
        <v>Magician</v>
      </c>
      <c r="C933" s="3" t="str">
        <f>Abilities!C171</f>
        <v>マジシャン</v>
      </c>
      <c r="D933" s="3" t="str">
        <f>Abilities!D171</f>
        <v>Magicien</v>
      </c>
      <c r="E933" s="3" t="s">
        <v>12255</v>
      </c>
      <c r="F933" s="3" t="s">
        <v>12256</v>
      </c>
      <c r="G933" s="3" t="s">
        <v>12257</v>
      </c>
      <c r="H933" s="3" t="str">
        <f>Abilities!H171</f>
        <v>매지션</v>
      </c>
      <c r="I933" s="3" t="str">
        <f>Abilities!I171</f>
        <v>魔術師</v>
      </c>
      <c r="J933" s="3" t="str">
        <f>Abilities!J171</f>
        <v>魔术师</v>
      </c>
    </row>
    <row r="934">
      <c r="A934" s="5" t="str">
        <f>CONCATENATE("CATEGORY_",UPPER(Pokemon!B910))</f>
        <v>CATEGORY_FUECOCO</v>
      </c>
      <c r="B934" s="3" t="s">
        <v>12258</v>
      </c>
      <c r="C934" s="3" t="s">
        <v>12259</v>
      </c>
      <c r="D934" s="3" t="s">
        <v>12260</v>
      </c>
      <c r="E934" s="3" t="s">
        <v>12261</v>
      </c>
      <c r="F934" s="3" t="s">
        <v>12262</v>
      </c>
      <c r="G934" s="3" t="s">
        <v>12263</v>
      </c>
      <c r="H934" s="3" t="s">
        <v>12264</v>
      </c>
      <c r="I934" s="3" t="s">
        <v>12265</v>
      </c>
      <c r="J934" s="3" t="str">
        <f>IFERROR(__xludf.DUMMYFUNCTION("GOOGLETRANSLATE(I934, ""zh_HANT"",""zh_HANS"")"),"火鳄")</f>
        <v>火鳄</v>
      </c>
    </row>
    <row r="935">
      <c r="A935" s="5" t="str">
        <f>CONCATENATE("CATEGORY_",UPPER(Pokemon!B911))</f>
        <v>CATEGORY_CROCALOR</v>
      </c>
      <c r="B935" s="3" t="str">
        <f t="shared" ref="B935:J935" si="332">B934</f>
        <v>Fire Croc</v>
      </c>
      <c r="C935" s="3" t="str">
        <f t="shared" si="332"/>
        <v>ほのおワニ</v>
      </c>
      <c r="D935" s="3" t="str">
        <f t="shared" si="332"/>
        <v>Croco Feu</v>
      </c>
      <c r="E935" s="3" t="str">
        <f t="shared" si="332"/>
        <v>Feuerkroko</v>
      </c>
      <c r="F935" s="3" t="str">
        <f t="shared" si="332"/>
        <v>Fuegodrilo</v>
      </c>
      <c r="G935" s="3" t="str">
        <f t="shared" si="332"/>
        <v>Fucoodrillo</v>
      </c>
      <c r="H935" s="3" t="str">
        <f t="shared" si="332"/>
        <v>불꽃악어</v>
      </c>
      <c r="I935" s="3" t="str">
        <f t="shared" si="332"/>
        <v>火鱷</v>
      </c>
      <c r="J935" s="3" t="str">
        <f t="shared" si="332"/>
        <v>火鳄</v>
      </c>
    </row>
    <row r="936">
      <c r="A936" s="5" t="str">
        <f>CONCATENATE("CATEGORY_",UPPER(Pokemon!B912))</f>
        <v>CATEGORY_SKELEDIRGE</v>
      </c>
      <c r="B936" s="3" t="s">
        <v>12266</v>
      </c>
      <c r="C936" s="3" t="s">
        <v>12267</v>
      </c>
      <c r="D936" s="3" t="s">
        <v>12268</v>
      </c>
      <c r="E936" s="3" t="s">
        <v>12269</v>
      </c>
      <c r="F936" s="3" t="s">
        <v>12270</v>
      </c>
      <c r="G936" s="3" t="s">
        <v>12270</v>
      </c>
      <c r="H936" s="3" t="s">
        <v>12271</v>
      </c>
      <c r="I936" s="5" t="str">
        <f>J936</f>
        <v>歌手</v>
      </c>
      <c r="J936" s="3" t="s">
        <v>12272</v>
      </c>
    </row>
    <row r="937">
      <c r="A937" s="5" t="str">
        <f>CONCATENATE("CATEGORY_",UPPER(Pokemon!B913))</f>
        <v>CATEGORY_QUAXLY</v>
      </c>
      <c r="B937" s="3" t="s">
        <v>12273</v>
      </c>
      <c r="C937" s="3" t="s">
        <v>12274</v>
      </c>
      <c r="D937" s="3" t="s">
        <v>12275</v>
      </c>
      <c r="E937" s="3" t="s">
        <v>12276</v>
      </c>
      <c r="F937" s="3" t="s">
        <v>12277</v>
      </c>
      <c r="G937" s="3" t="s">
        <v>12278</v>
      </c>
      <c r="H937" s="3" t="s">
        <v>12279</v>
      </c>
      <c r="I937" s="3" t="s">
        <v>12280</v>
      </c>
      <c r="J937" s="3" t="str">
        <f>IFERROR(__xludf.DUMMYFUNCTION("GOOGLETRANSLATE(I937, ""zh_HANT"",""zh_HANS"")"),"小鸭")</f>
        <v>小鸭</v>
      </c>
    </row>
    <row r="938">
      <c r="A938" s="5" t="str">
        <f>CONCATENATE("CATEGORY_",UPPER(Pokemon!B914))</f>
        <v>CATEGORY_QUAXWELL</v>
      </c>
      <c r="B938" s="3" t="s">
        <v>12281</v>
      </c>
      <c r="C938" s="3" t="s">
        <v>12282</v>
      </c>
      <c r="D938" s="3" t="s">
        <v>12283</v>
      </c>
      <c r="E938" s="3" t="s">
        <v>12284</v>
      </c>
      <c r="F938" s="3" t="s">
        <v>12285</v>
      </c>
      <c r="G938" s="3" t="s">
        <v>12286</v>
      </c>
      <c r="H938" s="3" t="s">
        <v>12287</v>
      </c>
      <c r="I938" s="5" t="str">
        <f>IFERROR(__xludf.DUMMYFUNCTION("GOOGLETRANSLATE(J938,""zh_HANS"",""zh_HANT"")"),"習藝")</f>
        <v>習藝</v>
      </c>
      <c r="J938" s="3" t="s">
        <v>12288</v>
      </c>
    </row>
    <row r="939">
      <c r="A939" s="5" t="str">
        <f>CONCATENATE("CATEGORY_",UPPER(Pokemon!B915))</f>
        <v>CATEGORY_QUAQUAVEL</v>
      </c>
      <c r="B939" s="3" t="str">
        <f>Abilities!B217</f>
        <v>Dancer</v>
      </c>
      <c r="C939" s="3" t="str">
        <f>Abilities!C217</f>
        <v>おどりこ</v>
      </c>
      <c r="D939" s="3" t="s">
        <v>12289</v>
      </c>
      <c r="E939" s="3" t="str">
        <f>Abilities!E217</f>
        <v>Tänzer</v>
      </c>
      <c r="F939" s="3" t="s">
        <v>12290</v>
      </c>
      <c r="G939" s="3" t="s">
        <v>12291</v>
      </c>
      <c r="H939" s="3" t="s">
        <v>12292</v>
      </c>
      <c r="I939" s="3" t="str">
        <f>Abilities!I217</f>
        <v>舞者</v>
      </c>
      <c r="J939" s="3" t="str">
        <f>Abilities!J217</f>
        <v>舞者</v>
      </c>
    </row>
    <row r="940">
      <c r="A940" s="5" t="str">
        <f>CONCATENATE("CATEGORY_",UPPER(Pokemon!B916))</f>
        <v>CATEGORY_LECHONK</v>
      </c>
      <c r="B940" s="3" t="s">
        <v>12293</v>
      </c>
      <c r="C940" s="3" t="s">
        <v>12294</v>
      </c>
      <c r="D940" s="3" t="s">
        <v>12295</v>
      </c>
      <c r="E940" s="3" t="str">
        <f>E234</f>
        <v>Schwein</v>
      </c>
      <c r="F940" s="3" t="s">
        <v>12296</v>
      </c>
      <c r="G940" s="3" t="s">
        <v>12297</v>
      </c>
      <c r="H940" s="3" t="s">
        <v>12298</v>
      </c>
      <c r="I940" s="3" t="s">
        <v>12299</v>
      </c>
      <c r="J940" s="3" t="str">
        <f>IFERROR(__xludf.DUMMYFUNCTION("GOOGLETRANSLATE(I940, ""zh_HANT"",""zh_HANS"")"),"猪")</f>
        <v>猪</v>
      </c>
    </row>
    <row r="941">
      <c r="A941" s="5" t="str">
        <f>CONCATENATE("CATEGORY_",UPPER(Pokemon!B917))</f>
        <v>CATEGORY_OINKOLOGNE</v>
      </c>
      <c r="B941" s="3" t="str">
        <f t="shared" ref="B941:J941" si="333">B940</f>
        <v>Hog</v>
      </c>
      <c r="C941" s="3" t="str">
        <f t="shared" si="333"/>
        <v>ぶた</v>
      </c>
      <c r="D941" s="3" t="str">
        <f t="shared" si="333"/>
        <v>Pourceau</v>
      </c>
      <c r="E941" s="3" t="str">
        <f t="shared" si="333"/>
        <v>Schwein</v>
      </c>
      <c r="F941" s="3" t="str">
        <f t="shared" si="333"/>
        <v>Gorrino</v>
      </c>
      <c r="G941" s="3" t="str">
        <f t="shared" si="333"/>
        <v>Porcellino</v>
      </c>
      <c r="H941" s="3" t="str">
        <f t="shared" si="333"/>
        <v>돼지</v>
      </c>
      <c r="I941" s="3" t="str">
        <f t="shared" si="333"/>
        <v>豬</v>
      </c>
      <c r="J941" s="3" t="str">
        <f t="shared" si="333"/>
        <v>猪</v>
      </c>
    </row>
    <row r="942">
      <c r="A942" s="5" t="str">
        <f>CONCATENATE("CATEGORY_",UPPER(Pokemon!B918))</f>
        <v>CATEGORY_TAROUNTULA</v>
      </c>
      <c r="B942" s="3" t="s">
        <v>12300</v>
      </c>
      <c r="C942" s="3" t="s">
        <v>12301</v>
      </c>
      <c r="D942" s="3" t="s">
        <v>12302</v>
      </c>
      <c r="E942" s="3" t="s">
        <v>12303</v>
      </c>
      <c r="F942" s="3" t="s">
        <v>12304</v>
      </c>
      <c r="G942" s="3" t="s">
        <v>12305</v>
      </c>
      <c r="H942" s="3" t="s">
        <v>12306</v>
      </c>
      <c r="I942" s="5" t="str">
        <f>IFERROR(__xludf.DUMMYFUNCTION("GOOGLETRANSLATE(J942,""zh_HANS"",""zh_HANT"")"),"線球")</f>
        <v>線球</v>
      </c>
      <c r="J942" s="3" t="s">
        <v>12307</v>
      </c>
    </row>
    <row r="943">
      <c r="A943" s="5" t="str">
        <f>CONCATENATE("CATEGORY_",UPPER(Pokemon!B919))</f>
        <v>CATEGORY_SPIDOPS</v>
      </c>
      <c r="B943" s="3" t="str">
        <f t="shared" ref="B943:J943" si="334">B637</f>
        <v>Trap</v>
      </c>
      <c r="C943" s="3" t="str">
        <f t="shared" si="334"/>
        <v>トラップ</v>
      </c>
      <c r="D943" s="3" t="str">
        <f t="shared" si="334"/>
        <v>Piège</v>
      </c>
      <c r="E943" s="3" t="str">
        <f t="shared" si="334"/>
        <v>Falle</v>
      </c>
      <c r="F943" s="3" t="str">
        <f t="shared" si="334"/>
        <v>Trampa</v>
      </c>
      <c r="G943" s="3" t="str">
        <f t="shared" si="334"/>
        <v>Trappola</v>
      </c>
      <c r="H943" s="3" t="str">
        <f t="shared" si="334"/>
        <v>트랩</v>
      </c>
      <c r="I943" s="3" t="str">
        <f t="shared" si="334"/>
        <v>陷阱</v>
      </c>
      <c r="J943" s="3" t="str">
        <f t="shared" si="334"/>
        <v>陷阱</v>
      </c>
    </row>
    <row r="944">
      <c r="A944" s="5" t="str">
        <f>CONCATENATE("CATEGORY_",UPPER(Pokemon!B920))</f>
        <v>CATEGORY_NYMBLE</v>
      </c>
      <c r="B944" s="3" t="s">
        <v>12308</v>
      </c>
      <c r="C944" s="3" t="s">
        <v>12309</v>
      </c>
      <c r="D944" s="3" t="s">
        <v>12310</v>
      </c>
      <c r="E944" s="3" t="s">
        <v>12311</v>
      </c>
      <c r="F944" s="3" t="s">
        <v>12312</v>
      </c>
      <c r="G944" s="3" t="s">
        <v>12313</v>
      </c>
      <c r="H944" s="3" t="s">
        <v>12314</v>
      </c>
      <c r="I944" s="5" t="str">
        <f>IFERROR(__xludf.DUMMYFUNCTION("GOOGLETRANSLATE(J944,""zh_HANS"",""zh_HANT"")"),"蝗蟲")</f>
        <v>蝗蟲</v>
      </c>
      <c r="J944" s="3" t="s">
        <v>12315</v>
      </c>
    </row>
    <row r="945">
      <c r="A945" s="5" t="str">
        <f>CONCATENATE("CATEGORY_",UPPER(Pokemon!B921))</f>
        <v>CATEGORY_LOKIX</v>
      </c>
      <c r="B945" s="3" t="str">
        <f t="shared" ref="B945:J945" si="335">B944</f>
        <v>Grasshopper</v>
      </c>
      <c r="C945" s="3" t="str">
        <f t="shared" si="335"/>
        <v>バッタ</v>
      </c>
      <c r="D945" s="3" t="str">
        <f t="shared" si="335"/>
        <v>Sauterelle</v>
      </c>
      <c r="E945" s="3" t="str">
        <f t="shared" si="335"/>
        <v>Heuschrecken</v>
      </c>
      <c r="F945" s="3" t="str">
        <f t="shared" si="335"/>
        <v>Saltamontes</v>
      </c>
      <c r="G945" s="3" t="str">
        <f t="shared" si="335"/>
        <v>Cavalletta</v>
      </c>
      <c r="H945" s="3" t="str">
        <f t="shared" si="335"/>
        <v>메뚜기</v>
      </c>
      <c r="I945" s="3" t="str">
        <f t="shared" si="335"/>
        <v>蝗蟲</v>
      </c>
      <c r="J945" s="3" t="str">
        <f t="shared" si="335"/>
        <v>蝗虫</v>
      </c>
    </row>
    <row r="946">
      <c r="A946" s="5" t="str">
        <f>CONCATENATE("CATEGORY_",UPPER(Pokemon!B922))</f>
        <v>CATEGORY_PAWMI</v>
      </c>
      <c r="B946" s="3" t="str">
        <f t="shared" ref="B946:J946" si="336">B20</f>
        <v>Mouse</v>
      </c>
      <c r="C946" s="3" t="str">
        <f t="shared" si="336"/>
        <v>ねずみ</v>
      </c>
      <c r="D946" s="3" t="str">
        <f t="shared" si="336"/>
        <v>Souris</v>
      </c>
      <c r="E946" s="3" t="str">
        <f t="shared" si="336"/>
        <v>Maus</v>
      </c>
      <c r="F946" s="3" t="str">
        <f t="shared" si="336"/>
        <v>Ratón</v>
      </c>
      <c r="G946" s="3" t="str">
        <f t="shared" si="336"/>
        <v>Topo</v>
      </c>
      <c r="H946" s="3" t="str">
        <f t="shared" si="336"/>
        <v>쥐</v>
      </c>
      <c r="I946" s="3" t="str">
        <f t="shared" si="336"/>
        <v>鼠</v>
      </c>
      <c r="J946" s="3" t="str">
        <f t="shared" si="336"/>
        <v>鼠</v>
      </c>
    </row>
    <row r="947">
      <c r="A947" s="5" t="str">
        <f>CONCATENATE("CATEGORY_",UPPER(Pokemon!B923))</f>
        <v>CATEGORY_PAWMO</v>
      </c>
      <c r="B947" s="5" t="str">
        <f t="shared" ref="B947:J947" si="337">B20</f>
        <v>Mouse</v>
      </c>
      <c r="C947" s="5" t="str">
        <f t="shared" si="337"/>
        <v>ねずみ</v>
      </c>
      <c r="D947" s="5" t="str">
        <f t="shared" si="337"/>
        <v>Souris</v>
      </c>
      <c r="E947" s="5" t="str">
        <f t="shared" si="337"/>
        <v>Maus</v>
      </c>
      <c r="F947" s="5" t="str">
        <f t="shared" si="337"/>
        <v>Ratón</v>
      </c>
      <c r="G947" s="5" t="str">
        <f t="shared" si="337"/>
        <v>Topo</v>
      </c>
      <c r="H947" s="5" t="str">
        <f t="shared" si="337"/>
        <v>쥐</v>
      </c>
      <c r="I947" s="5" t="str">
        <f t="shared" si="337"/>
        <v>鼠</v>
      </c>
      <c r="J947" s="5" t="str">
        <f t="shared" si="337"/>
        <v>鼠</v>
      </c>
    </row>
    <row r="948">
      <c r="A948" s="5" t="str">
        <f>CONCATENATE("CATEGORY_",UPPER(Pokemon!B924))</f>
        <v>CATEGORY_PAWMOT</v>
      </c>
      <c r="B948" s="3" t="s">
        <v>12316</v>
      </c>
      <c r="C948" s="3" t="s">
        <v>12317</v>
      </c>
      <c r="D948" s="3" t="s">
        <v>12318</v>
      </c>
      <c r="E948" s="3" t="s">
        <v>12319</v>
      </c>
      <c r="F948" s="3" t="s">
        <v>12320</v>
      </c>
      <c r="G948" s="3" t="s">
        <v>12321</v>
      </c>
      <c r="H948" s="3" t="s">
        <v>12322</v>
      </c>
      <c r="I948" s="5" t="str">
        <f>J948</f>
        <v>押掌</v>
      </c>
      <c r="J948" s="3" t="s">
        <v>12323</v>
      </c>
    </row>
    <row r="949">
      <c r="A949" s="5" t="str">
        <f>CONCATENATE("CATEGORY_",UPPER(Pokemon!B981))</f>
        <v>CATEGORY_CLODSIRE</v>
      </c>
      <c r="B949" s="3" t="s">
        <v>12324</v>
      </c>
      <c r="C949" s="3" t="s">
        <v>12325</v>
      </c>
      <c r="D949" s="3" t="s">
        <v>12326</v>
      </c>
      <c r="E949" s="3" t="s">
        <v>12327</v>
      </c>
      <c r="F949" s="3" t="s">
        <v>12328</v>
      </c>
      <c r="G949" s="3" t="s">
        <v>12329</v>
      </c>
      <c r="H949" s="3" t="s">
        <v>12330</v>
      </c>
      <c r="I949" s="5" t="str">
        <f>IFERROR(__xludf.DUMMYFUNCTION("GOOGLETRANSLATE(J949,""zh_HANS"",""zh_HANT"")"),"刺魚")</f>
        <v>刺魚</v>
      </c>
      <c r="J949" s="3" t="s">
        <v>12331</v>
      </c>
    </row>
    <row r="950">
      <c r="A950" s="5" t="str">
        <f>CONCATENATE("CATEGORY_",UPPER(Pokemon!B925))</f>
        <v>CATEGORY_TANDEMAUS</v>
      </c>
      <c r="B950" s="3" t="s">
        <v>12332</v>
      </c>
      <c r="C950" s="3" t="s">
        <v>12333</v>
      </c>
      <c r="D950" s="3" t="str">
        <f>B950</f>
        <v>Couple</v>
      </c>
      <c r="E950" s="3" t="s">
        <v>12334</v>
      </c>
      <c r="F950" s="3" t="s">
        <v>12335</v>
      </c>
      <c r="G950" s="3" t="s">
        <v>12336</v>
      </c>
      <c r="H950" s="3" t="s">
        <v>12337</v>
      </c>
      <c r="I950" s="5" t="str">
        <f>IFERROR(__xludf.DUMMYFUNCTION("GOOGLETRANSLATE(J950,""zh_HANS"",""zh_HANT"")"),"成對")</f>
        <v>成對</v>
      </c>
      <c r="J950" s="3" t="s">
        <v>12338</v>
      </c>
    </row>
    <row r="951">
      <c r="A951" s="5" t="str">
        <f>CONCATENATE("CATEGORY_",UPPER(Pokemon!B926))</f>
        <v>CATEGORY_MAUSHOLD</v>
      </c>
      <c r="B951" s="3" t="s">
        <v>12339</v>
      </c>
      <c r="C951" s="3" t="s">
        <v>12340</v>
      </c>
      <c r="D951" s="3" t="s">
        <v>12341</v>
      </c>
      <c r="E951" s="3" t="s">
        <v>12342</v>
      </c>
      <c r="F951" s="3" t="s">
        <v>12343</v>
      </c>
      <c r="G951" s="3" t="s">
        <v>12344</v>
      </c>
      <c r="H951" s="3" t="s">
        <v>12345</v>
      </c>
      <c r="I951" s="5" t="str">
        <f>J951</f>
        <v>家族</v>
      </c>
      <c r="J951" s="3" t="s">
        <v>12346</v>
      </c>
    </row>
    <row r="952">
      <c r="A952" s="5" t="str">
        <f>CONCATENATE("CATEGORY_",UPPER(Pokemon!B927))</f>
        <v>CATEGORY_FIDOUGH</v>
      </c>
      <c r="B952" s="3" t="str">
        <f t="shared" ref="B952:J952" si="338">B59</f>
        <v>Puppy</v>
      </c>
      <c r="C952" s="3" t="str">
        <f t="shared" si="338"/>
        <v>こいぬ</v>
      </c>
      <c r="D952" s="3" t="str">
        <f t="shared" si="338"/>
        <v>Chiot</v>
      </c>
      <c r="E952" s="3" t="str">
        <f t="shared" si="338"/>
        <v>Welpen</v>
      </c>
      <c r="F952" s="3" t="str">
        <f t="shared" si="338"/>
        <v>Perrito</v>
      </c>
      <c r="G952" s="3" t="str">
        <f t="shared" si="338"/>
        <v>Cagnolino</v>
      </c>
      <c r="H952" s="3" t="str">
        <f t="shared" si="338"/>
        <v>강아지</v>
      </c>
      <c r="I952" s="3" t="str">
        <f t="shared" si="338"/>
        <v>小狗</v>
      </c>
      <c r="J952" s="3" t="str">
        <f t="shared" si="338"/>
        <v>小狗</v>
      </c>
    </row>
    <row r="953">
      <c r="A953" s="5" t="str">
        <f>CONCATENATE("CATEGORY_",UPPER(Pokemon!B928))</f>
        <v>CATEGORY_DACHSBUN</v>
      </c>
      <c r="B953" s="5" t="str">
        <f t="shared" ref="B953:J953" si="339">B859</f>
        <v>Dog</v>
      </c>
      <c r="C953" s="5" t="str">
        <f t="shared" si="339"/>
        <v>いぬ</v>
      </c>
      <c r="D953" s="5" t="str">
        <f t="shared" si="339"/>
        <v>Chien</v>
      </c>
      <c r="E953" s="5" t="str">
        <f t="shared" si="339"/>
        <v>Welpene</v>
      </c>
      <c r="F953" s="5" t="str">
        <f t="shared" si="339"/>
        <v>Perro</v>
      </c>
      <c r="G953" s="5" t="str">
        <f t="shared" si="339"/>
        <v>Cane</v>
      </c>
      <c r="H953" s="5" t="str">
        <f t="shared" si="339"/>
        <v>개</v>
      </c>
      <c r="I953" s="5" t="str">
        <f t="shared" si="339"/>
        <v>狗</v>
      </c>
      <c r="J953" s="5" t="str">
        <f t="shared" si="339"/>
        <v>狗</v>
      </c>
    </row>
    <row r="954">
      <c r="A954" s="5" t="str">
        <f>CONCATENATE("CATEGORY_",UPPER(Pokemon!B929))</f>
        <v>CATEGORY_SMOLIV</v>
      </c>
      <c r="B954" s="3" t="s">
        <v>12347</v>
      </c>
      <c r="C954" s="3" t="s">
        <v>12348</v>
      </c>
      <c r="D954" s="3" t="str">
        <f>B954</f>
        <v>Olive</v>
      </c>
      <c r="E954" s="3" t="str">
        <f>CONCATENATE(B954,"n")</f>
        <v>Oliven</v>
      </c>
      <c r="F954" s="3" t="s">
        <v>12349</v>
      </c>
      <c r="G954" s="3" t="s">
        <v>12350</v>
      </c>
      <c r="H954" s="3" t="s">
        <v>12351</v>
      </c>
      <c r="I954" s="3" t="s">
        <v>12352</v>
      </c>
      <c r="J954" s="3" t="str">
        <f>IFERROR(__xludf.DUMMYFUNCTION("GOOGLETRANSLATE(I954, ""zh_HANT"",""zh_HANS"")"),"橄榄")</f>
        <v>橄榄</v>
      </c>
    </row>
    <row r="955">
      <c r="A955" s="5" t="str">
        <f>CONCATENATE("CATEGORY_",UPPER(Pokemon!B930))</f>
        <v>CATEGORY_DOLLIV</v>
      </c>
      <c r="B955" s="3" t="str">
        <f t="shared" ref="B955:J955" si="340">B954</f>
        <v>Olive</v>
      </c>
      <c r="C955" s="3" t="str">
        <f t="shared" si="340"/>
        <v>オリーブ</v>
      </c>
      <c r="D955" s="3" t="str">
        <f t="shared" si="340"/>
        <v>Olive</v>
      </c>
      <c r="E955" s="3" t="str">
        <f t="shared" si="340"/>
        <v>Oliven</v>
      </c>
      <c r="F955" s="3" t="str">
        <f t="shared" si="340"/>
        <v>Aceituna</v>
      </c>
      <c r="G955" s="3" t="str">
        <f t="shared" si="340"/>
        <v>Oliva</v>
      </c>
      <c r="H955" s="3" t="str">
        <f t="shared" si="340"/>
        <v>올리브</v>
      </c>
      <c r="I955" s="3" t="str">
        <f t="shared" si="340"/>
        <v>橄欖</v>
      </c>
      <c r="J955" s="3" t="str">
        <f t="shared" si="340"/>
        <v>橄榄</v>
      </c>
    </row>
    <row r="956">
      <c r="A956" s="5" t="str">
        <f>CONCATENATE("CATEGORY_",UPPER(Pokemon!B931))</f>
        <v>CATEGORY_ARBOLIVA</v>
      </c>
      <c r="B956" s="3" t="str">
        <f t="shared" ref="B956:J956" si="341">B954</f>
        <v>Olive</v>
      </c>
      <c r="C956" s="3" t="str">
        <f t="shared" si="341"/>
        <v>オリーブ</v>
      </c>
      <c r="D956" s="3" t="str">
        <f t="shared" si="341"/>
        <v>Olive</v>
      </c>
      <c r="E956" s="3" t="str">
        <f t="shared" si="341"/>
        <v>Oliven</v>
      </c>
      <c r="F956" s="3" t="str">
        <f t="shared" si="341"/>
        <v>Aceituna</v>
      </c>
      <c r="G956" s="3" t="str">
        <f t="shared" si="341"/>
        <v>Oliva</v>
      </c>
      <c r="H956" s="3" t="str">
        <f t="shared" si="341"/>
        <v>올리브</v>
      </c>
      <c r="I956" s="3" t="str">
        <f t="shared" si="341"/>
        <v>橄欖</v>
      </c>
      <c r="J956" s="3" t="str">
        <f t="shared" si="341"/>
        <v>橄榄</v>
      </c>
    </row>
    <row r="957">
      <c r="A957" s="5" t="str">
        <f>CONCATENATE("CATEGORY_",UPPER(Pokemon!B932))</f>
        <v>CATEGORY_SQUAWKABILLY</v>
      </c>
      <c r="B957" s="3" t="s">
        <v>12353</v>
      </c>
      <c r="C957" s="3" t="s">
        <v>12354</v>
      </c>
      <c r="D957" s="3" t="s">
        <v>12355</v>
      </c>
      <c r="E957" s="3" t="s">
        <v>12356</v>
      </c>
      <c r="F957" s="3" t="s">
        <v>12357</v>
      </c>
      <c r="G957" s="3" t="s">
        <v>12358</v>
      </c>
      <c r="H957" s="3" t="s">
        <v>12359</v>
      </c>
      <c r="I957" s="5" t="str">
        <f>IFERROR(__xludf.DUMMYFUNCTION("GOOGLETRANSLATE(J957,""zh_HANS"",""zh_HANT"")"),"鸚鵡")</f>
        <v>鸚鵡</v>
      </c>
      <c r="J957" s="3" t="s">
        <v>12360</v>
      </c>
    </row>
    <row r="958">
      <c r="A958" s="5" t="str">
        <f>CONCATENATE("CATEGORY_",UPPER(Pokemon!B933))</f>
        <v>CATEGORY_NACLI</v>
      </c>
      <c r="B958" s="3" t="s">
        <v>12361</v>
      </c>
      <c r="C958" s="3" t="s">
        <v>12362</v>
      </c>
      <c r="D958" s="3" t="s">
        <v>12363</v>
      </c>
      <c r="E958" s="3" t="s">
        <v>12364</v>
      </c>
      <c r="F958" s="3" t="s">
        <v>12365</v>
      </c>
      <c r="G958" s="3" t="s">
        <v>12366</v>
      </c>
      <c r="H958" s="3" t="s">
        <v>12367</v>
      </c>
      <c r="I958" s="5" t="str">
        <f>IFERROR(__xludf.DUMMYFUNCTION("GOOGLETRANSLATE(J958,""zh_HANS"",""zh_HANT"")"),"岩鹽")</f>
        <v>岩鹽</v>
      </c>
      <c r="J958" s="3" t="s">
        <v>12368</v>
      </c>
    </row>
    <row r="959">
      <c r="A959" s="5" t="str">
        <f>CONCATENATE("CATEGORY_",UPPER(Pokemon!B934))</f>
        <v>CATEGORY_NACLSTACK</v>
      </c>
      <c r="B959" s="3" t="str">
        <f t="shared" ref="B959:J959" si="342">B958</f>
        <v>Rock Salt</v>
      </c>
      <c r="C959" s="3" t="str">
        <f t="shared" si="342"/>
        <v>がんえん</v>
      </c>
      <c r="D959" s="3" t="str">
        <f t="shared" si="342"/>
        <v>Halite</v>
      </c>
      <c r="E959" s="3" t="str">
        <f t="shared" si="342"/>
        <v>Steinsalz</v>
      </c>
      <c r="F959" s="3" t="str">
        <f t="shared" si="342"/>
        <v>Halita</v>
      </c>
      <c r="G959" s="3" t="str">
        <f t="shared" si="342"/>
        <v>Salgemma</v>
      </c>
      <c r="H959" s="3" t="str">
        <f t="shared" si="342"/>
        <v>암염</v>
      </c>
      <c r="I959" s="3" t="str">
        <f t="shared" si="342"/>
        <v>岩鹽</v>
      </c>
      <c r="J959" s="3" t="str">
        <f t="shared" si="342"/>
        <v>岩盐</v>
      </c>
    </row>
    <row r="960">
      <c r="A960" s="5" t="str">
        <f>CONCATENATE("CATEGORY_",UPPER(Pokemon!B935))</f>
        <v>CATEGORY_GARGANACL</v>
      </c>
      <c r="B960" s="3" t="str">
        <f t="shared" ref="B960:J960" si="343">B958</f>
        <v>Rock Salt</v>
      </c>
      <c r="C960" s="3" t="str">
        <f t="shared" si="343"/>
        <v>がんえん</v>
      </c>
      <c r="D960" s="3" t="str">
        <f t="shared" si="343"/>
        <v>Halite</v>
      </c>
      <c r="E960" s="3" t="str">
        <f t="shared" si="343"/>
        <v>Steinsalz</v>
      </c>
      <c r="F960" s="3" t="str">
        <f t="shared" si="343"/>
        <v>Halita</v>
      </c>
      <c r="G960" s="3" t="str">
        <f t="shared" si="343"/>
        <v>Salgemma</v>
      </c>
      <c r="H960" s="3" t="str">
        <f t="shared" si="343"/>
        <v>암염</v>
      </c>
      <c r="I960" s="3" t="str">
        <f t="shared" si="343"/>
        <v>岩鹽</v>
      </c>
      <c r="J960" s="3" t="str">
        <f t="shared" si="343"/>
        <v>岩盐</v>
      </c>
    </row>
    <row r="961">
      <c r="A961" s="5" t="str">
        <f>CONCATENATE("CATEGORY_",UPPER(Pokemon!B980))</f>
        <v>CATEGORY_ANNIHILAPE</v>
      </c>
      <c r="B961" s="3" t="s">
        <v>12369</v>
      </c>
      <c r="C961" s="3" t="s">
        <v>12370</v>
      </c>
      <c r="D961" s="3" t="s">
        <v>12371</v>
      </c>
      <c r="E961" s="3" t="s">
        <v>12372</v>
      </c>
      <c r="F961" s="3" t="s">
        <v>12373</v>
      </c>
      <c r="G961" s="3" t="s">
        <v>12374</v>
      </c>
      <c r="H961" s="3" t="s">
        <v>12375</v>
      </c>
      <c r="I961" s="5" t="str">
        <f>IFERROR(__xludf.DUMMYFUNCTION("GOOGLETRANSLATE(J961,""zh_HANS"",""zh_HANT"")"),"憤怒猴")</f>
        <v>憤怒猴</v>
      </c>
      <c r="J961" s="3" t="s">
        <v>12376</v>
      </c>
    </row>
    <row r="962">
      <c r="A962" s="5" t="str">
        <f>CONCATENATE("CATEGORY_",UPPER(Pokemon!B936))</f>
        <v>CATEGORY_CHARCADET</v>
      </c>
      <c r="B962" s="3" t="s">
        <v>12377</v>
      </c>
      <c r="C962" s="3" t="s">
        <v>12378</v>
      </c>
      <c r="D962" s="3" t="s">
        <v>12379</v>
      </c>
      <c r="E962" s="3" t="s">
        <v>12380</v>
      </c>
      <c r="F962" s="3" t="s">
        <v>12381</v>
      </c>
      <c r="G962" s="3" t="s">
        <v>12382</v>
      </c>
      <c r="H962" s="3" t="s">
        <v>12383</v>
      </c>
      <c r="I962" s="5" t="str">
        <f>J962</f>
        <v>小火星</v>
      </c>
      <c r="J962" s="3" t="s">
        <v>12384</v>
      </c>
    </row>
    <row r="963">
      <c r="A963" s="5" t="str">
        <f>CONCATENATE("CATEGORY_",UPPER(Pokemon!B937))</f>
        <v>CATEGORY_ARMAROUGE</v>
      </c>
      <c r="B963" s="3" t="s">
        <v>12385</v>
      </c>
      <c r="C963" s="3" t="s">
        <v>12386</v>
      </c>
      <c r="D963" s="3" t="s">
        <v>12387</v>
      </c>
      <c r="E963" s="3" t="s">
        <v>12388</v>
      </c>
      <c r="F963" s="3" t="s">
        <v>12389</v>
      </c>
      <c r="G963" s="3" t="s">
        <v>12390</v>
      </c>
      <c r="H963" s="3" t="s">
        <v>12391</v>
      </c>
      <c r="I963" s="3" t="str">
        <f>IFERROR(__xludf.DUMMYFUNCTION("GOOGLETRANSLATE(J963,""zh_HANS"",""zh_HANT"")"),"火戰士")</f>
        <v>火戰士</v>
      </c>
      <c r="J963" s="3" t="s">
        <v>12392</v>
      </c>
    </row>
    <row r="964">
      <c r="A964" s="5" t="str">
        <f>CONCATENATE("CATEGORY_",UPPER(Pokemon!B938))</f>
        <v>CATEGORY_CERULEDGE</v>
      </c>
      <c r="B964" s="3" t="s">
        <v>12393</v>
      </c>
      <c r="C964" s="3" t="s">
        <v>12394</v>
      </c>
      <c r="D964" s="3" t="s">
        <v>12395</v>
      </c>
      <c r="E964" s="3" t="s">
        <v>12396</v>
      </c>
      <c r="F964" s="3" t="s">
        <v>12397</v>
      </c>
      <c r="G964" s="3" t="s">
        <v>12398</v>
      </c>
      <c r="H964" s="3" t="s">
        <v>12399</v>
      </c>
      <c r="I964" s="3" t="str">
        <f>IFERROR(__xludf.DUMMYFUNCTION("GOOGLETRANSLATE(J964,""zh_HANS"",""zh_HANT"")"),"火劍士")</f>
        <v>火劍士</v>
      </c>
      <c r="J964" s="3" t="s">
        <v>12400</v>
      </c>
    </row>
    <row r="965">
      <c r="A965" s="5" t="str">
        <f>CONCATENATE("CATEGORY_",UPPER(Pokemon!B939))</f>
        <v>CATEGORY_TADBULB</v>
      </c>
      <c r="B965" s="3" t="s">
        <v>12401</v>
      </c>
      <c r="C965" s="3" t="str">
        <f>CONCATENATE("でんき",C62)</f>
        <v>でんきおたま</v>
      </c>
      <c r="D965" s="3" t="s">
        <v>12402</v>
      </c>
      <c r="E965" s="3" t="s">
        <v>12403</v>
      </c>
      <c r="F965" s="3" t="s">
        <v>12404</v>
      </c>
      <c r="G965" s="3" t="s">
        <v>12405</v>
      </c>
      <c r="H965" s="3" t="s">
        <v>12406</v>
      </c>
      <c r="I965" s="3" t="str">
        <f>IFERROR(__xludf.DUMMYFUNCTION("GOOGLETRANSLATE(J965,""zh_HANS"",""zh_HANT"")"),"電蝌蚪")</f>
        <v>電蝌蚪</v>
      </c>
      <c r="J965" s="3" t="str">
        <f>CONCATENATE("电",J62)</f>
        <v>电蝌蚪</v>
      </c>
    </row>
    <row r="966">
      <c r="A966" s="5" t="str">
        <f>CONCATENATE("CATEGORY_",UPPER(Pokemon!B940))</f>
        <v>CATEGORY_BELLIBOLT</v>
      </c>
      <c r="B966" s="3" t="s">
        <v>12407</v>
      </c>
      <c r="C966" s="3" t="s">
        <v>12408</v>
      </c>
      <c r="D966" s="3" t="s">
        <v>12409</v>
      </c>
      <c r="E966" s="3" t="s">
        <v>12410</v>
      </c>
      <c r="F966" s="3" t="s">
        <v>12411</v>
      </c>
      <c r="G966" s="3" t="s">
        <v>12412</v>
      </c>
      <c r="H966" s="3" t="s">
        <v>12413</v>
      </c>
      <c r="I966" s="3" t="str">
        <f>IFERROR(__xludf.DUMMYFUNCTION("GOOGLETRANSLATE(J966,""zh_HANS"",""zh_HANT"")"),"電蛙")</f>
        <v>電蛙</v>
      </c>
      <c r="J966" s="3" t="s">
        <v>12414</v>
      </c>
    </row>
    <row r="967">
      <c r="A967" s="5" t="str">
        <f>CONCATENATE("CATEGORY_",UPPER(Pokemon!B941))</f>
        <v>CATEGORY_WATTREL</v>
      </c>
      <c r="B967" s="3" t="s">
        <v>12415</v>
      </c>
      <c r="C967" s="3" t="s">
        <v>12416</v>
      </c>
      <c r="D967" s="3" t="s">
        <v>12417</v>
      </c>
      <c r="E967" s="3" t="s">
        <v>12418</v>
      </c>
      <c r="F967" s="3" t="s">
        <v>12419</v>
      </c>
      <c r="G967" s="3" t="s">
        <v>12420</v>
      </c>
      <c r="H967" s="3" t="s">
        <v>12421</v>
      </c>
      <c r="I967" s="5" t="str">
        <f>J967</f>
        <v>海燕</v>
      </c>
      <c r="J967" s="3" t="s">
        <v>12422</v>
      </c>
    </row>
    <row r="968">
      <c r="A968" s="5" t="str">
        <f>CONCATENATE("CATEGORY_",UPPER(Pokemon!B942))</f>
        <v>CATEGORY_KILOWATTREL</v>
      </c>
      <c r="B968" s="3" t="s">
        <v>12423</v>
      </c>
      <c r="C968" s="3" t="s">
        <v>12424</v>
      </c>
      <c r="D968" s="3" t="s">
        <v>12425</v>
      </c>
      <c r="E968" s="3" t="s">
        <v>12426</v>
      </c>
      <c r="F968" s="3" t="s">
        <v>12427</v>
      </c>
      <c r="G968" s="5" t="str">
        <f>F968</f>
        <v>Fregata</v>
      </c>
      <c r="H968" s="3" t="s">
        <v>12428</v>
      </c>
      <c r="I968" s="5" t="str">
        <f>IFERROR(__xludf.DUMMYFUNCTION("GOOGLETRANSLATE(J968,""zh_HANS"",""zh_HANT"")"),"軍艦鳥")</f>
        <v>軍艦鳥</v>
      </c>
      <c r="J968" s="3" t="s">
        <v>12429</v>
      </c>
    </row>
    <row r="969">
      <c r="A969" s="5" t="str">
        <f>CONCATENATE("CATEGORY_",UPPER(Pokemon!B983))</f>
        <v>CATEGORY_DUDUNSPARCE</v>
      </c>
      <c r="B969" s="5" t="str">
        <f t="shared" ref="B969:J969" si="344">B219</f>
        <v>Land Snake</v>
      </c>
      <c r="C969" s="5" t="str">
        <f t="shared" si="344"/>
        <v>つちへび</v>
      </c>
      <c r="D969" s="5" t="str">
        <f t="shared" si="344"/>
        <v>Serpent</v>
      </c>
      <c r="E969" s="5" t="str">
        <f t="shared" si="344"/>
        <v>Schlange</v>
      </c>
      <c r="F969" s="5" t="str">
        <f t="shared" si="344"/>
        <v>Serptierra</v>
      </c>
      <c r="G969" s="5" t="str">
        <f t="shared" si="344"/>
        <v>Terraserpe</v>
      </c>
      <c r="H969" s="5" t="str">
        <f t="shared" si="344"/>
        <v>땅뱀</v>
      </c>
      <c r="I969" s="5" t="str">
        <f t="shared" si="344"/>
        <v>地蛇</v>
      </c>
      <c r="J969" s="5" t="str">
        <f t="shared" si="344"/>
        <v>地蛇</v>
      </c>
    </row>
    <row r="970">
      <c r="A970" s="5" t="str">
        <f>CONCATENATE("CATEGORY_",UPPER(Pokemon!B982))</f>
        <v>CATEGORY_FARIGIRAF</v>
      </c>
      <c r="B970" s="3" t="str">
        <f t="shared" ref="B970:J970" si="345">B216</f>
        <v>Long Neck</v>
      </c>
      <c r="C970" s="3" t="str">
        <f t="shared" si="345"/>
        <v>くびなが</v>
      </c>
      <c r="D970" s="3" t="str">
        <f t="shared" si="345"/>
        <v>Long-Cou</v>
      </c>
      <c r="E970" s="3" t="str">
        <f t="shared" si="345"/>
        <v>Langhals</v>
      </c>
      <c r="F970" s="3" t="str">
        <f t="shared" si="345"/>
        <v>Gran Cuello</v>
      </c>
      <c r="G970" s="3" t="str">
        <f t="shared" si="345"/>
        <v>Lungocollo</v>
      </c>
      <c r="H970" s="3" t="str">
        <f t="shared" si="345"/>
        <v>긴목</v>
      </c>
      <c r="I970" s="3" t="str">
        <f t="shared" si="345"/>
        <v>長頸</v>
      </c>
      <c r="J970" s="3" t="str">
        <f t="shared" si="345"/>
        <v>长颈</v>
      </c>
    </row>
    <row r="971">
      <c r="A971" s="5" t="str">
        <f>CONCATENATE("CATEGORY_",UPPER(Pokemon!B943))</f>
        <v>CATEGORY_MASCHIFF</v>
      </c>
      <c r="B971" s="3" t="s">
        <v>12430</v>
      </c>
      <c r="C971" s="3" t="s">
        <v>12431</v>
      </c>
      <c r="D971" s="3" t="s">
        <v>12432</v>
      </c>
      <c r="E971" s="3" t="s">
        <v>12433</v>
      </c>
      <c r="F971" s="3" t="s">
        <v>12434</v>
      </c>
      <c r="G971" s="3" t="s">
        <v>12435</v>
      </c>
      <c r="H971" s="3" t="s">
        <v>12436</v>
      </c>
      <c r="I971" s="5" t="str">
        <f>IFERROR(__xludf.DUMMYFUNCTION("GOOGLETRANSLATE(J971,""zh_HANS"",""zh_HANT"")"),"小輩")</f>
        <v>小輩</v>
      </c>
      <c r="J971" s="3" t="s">
        <v>12437</v>
      </c>
    </row>
    <row r="972">
      <c r="A972" s="5" t="str">
        <f>CONCATENATE("CATEGORY_",UPPER(Pokemon!B944))</f>
        <v>CATEGORY_MABOSSTIFF</v>
      </c>
      <c r="B972" s="3" t="s">
        <v>12438</v>
      </c>
      <c r="C972" s="3" t="s">
        <v>12439</v>
      </c>
      <c r="D972" s="3" t="s">
        <v>12440</v>
      </c>
      <c r="E972" s="3" t="s">
        <v>12441</v>
      </c>
      <c r="F972" s="3" t="s">
        <v>12442</v>
      </c>
      <c r="G972" s="3" t="str">
        <f>B972</f>
        <v>Boss</v>
      </c>
      <c r="H972" s="3" t="s">
        <v>12443</v>
      </c>
      <c r="I972" s="5" t="str">
        <f t="shared" ref="I972:I973" si="346">J972</f>
        <v>大佬</v>
      </c>
      <c r="J972" s="3" t="s">
        <v>12444</v>
      </c>
    </row>
    <row r="973">
      <c r="A973" s="5" t="str">
        <f>CONCATENATE("CATEGORY_",UPPER(Pokemon!B945))</f>
        <v>CATEGORY_SHROODLE</v>
      </c>
      <c r="B973" s="3" t="s">
        <v>12445</v>
      </c>
      <c r="C973" s="3" t="s">
        <v>12446</v>
      </c>
      <c r="D973" s="3" t="s">
        <v>12447</v>
      </c>
      <c r="E973" s="3" t="s">
        <v>12448</v>
      </c>
      <c r="F973" s="5" t="str">
        <f>CONCATENATE(F20," Veneno")</f>
        <v>Ratón Veneno</v>
      </c>
      <c r="G973" s="3" t="s">
        <v>12449</v>
      </c>
      <c r="H973" s="3" t="s">
        <v>12450</v>
      </c>
      <c r="I973" s="5" t="str">
        <f t="shared" si="346"/>
        <v>毒鼠</v>
      </c>
      <c r="J973" s="3" t="s">
        <v>12451</v>
      </c>
    </row>
    <row r="974">
      <c r="A974" s="5" t="str">
        <f>CONCATENATE("CATEGORY_",UPPER(Pokemon!B946))</f>
        <v>CATEGORY_GRAFAIAI</v>
      </c>
      <c r="B974" s="3" t="s">
        <v>12452</v>
      </c>
      <c r="C974" s="3" t="s">
        <v>12453</v>
      </c>
      <c r="D974" s="3" t="s">
        <v>12454</v>
      </c>
      <c r="E974" s="3" t="s">
        <v>12455</v>
      </c>
      <c r="F974" s="3" t="s">
        <v>12456</v>
      </c>
      <c r="G974" s="3" t="s">
        <v>12457</v>
      </c>
      <c r="H974" s="3" t="s">
        <v>12458</v>
      </c>
      <c r="I974" s="3" t="s">
        <v>12459</v>
      </c>
      <c r="J974" s="5" t="str">
        <f>I974</f>
        <v>毒猴</v>
      </c>
    </row>
    <row r="975">
      <c r="A975" s="5" t="str">
        <f>CONCATENATE("CATEGORY_",UPPER(Pokemon!B947))</f>
        <v>CATEGORY_BRAMBLIN</v>
      </c>
      <c r="B975" s="3" t="s">
        <v>12460</v>
      </c>
      <c r="C975" s="3" t="s">
        <v>12461</v>
      </c>
      <c r="D975" s="3" t="s">
        <v>12462</v>
      </c>
      <c r="E975" s="3" t="s">
        <v>12463</v>
      </c>
      <c r="F975" s="3" t="s">
        <v>12464</v>
      </c>
      <c r="G975" s="3" t="s">
        <v>12465</v>
      </c>
      <c r="H975" s="3" t="s">
        <v>12466</v>
      </c>
      <c r="I975" s="5" t="str">
        <f>IFERROR(__xludf.DUMMYFUNCTION("GOOGLETRANSLATE(J975,""zh_HANS"",""zh_HANT"")"),"滾草")</f>
        <v>滾草</v>
      </c>
      <c r="J975" s="3" t="s">
        <v>12467</v>
      </c>
    </row>
    <row r="976">
      <c r="A976" s="5" t="str">
        <f>CONCATENATE("CATEGORY_",UPPER(Pokemon!B948))</f>
        <v>CATEGORY_BRAMBLEGHAST</v>
      </c>
      <c r="B976" s="5" t="str">
        <f t="shared" ref="B976:J976" si="347">B975</f>
        <v>Tumbleweed</v>
      </c>
      <c r="C976" s="5" t="str">
        <f t="shared" si="347"/>
        <v>ころがりぐさ</v>
      </c>
      <c r="D976" s="5" t="str">
        <f t="shared" si="347"/>
        <v>Virevoltant</v>
      </c>
      <c r="E976" s="5" t="str">
        <f t="shared" si="347"/>
        <v>Rollgras</v>
      </c>
      <c r="F976" s="5" t="str">
        <f t="shared" si="347"/>
        <v>Estepicursor</v>
      </c>
      <c r="G976" s="5" t="str">
        <f t="shared" si="347"/>
        <v>Rotolerba</v>
      </c>
      <c r="H976" s="5" t="str">
        <f t="shared" si="347"/>
        <v>회전초</v>
      </c>
      <c r="I976" s="5" t="str">
        <f t="shared" si="347"/>
        <v>滾草</v>
      </c>
      <c r="J976" s="5" t="str">
        <f t="shared" si="347"/>
        <v>滚草</v>
      </c>
    </row>
    <row r="977">
      <c r="A977" s="5" t="str">
        <f>CONCATENATE("CATEGORY_",UPPER(Pokemon!B949))</f>
        <v>CATEGORY_TOEDSCOOL</v>
      </c>
      <c r="B977" s="3" t="s">
        <v>12468</v>
      </c>
      <c r="C977" s="3" t="s">
        <v>12469</v>
      </c>
      <c r="D977" s="3" t="s">
        <v>12470</v>
      </c>
      <c r="E977" s="3" t="s">
        <v>12471</v>
      </c>
      <c r="F977" s="3" t="s">
        <v>12472</v>
      </c>
      <c r="G977" s="5" t="str">
        <f>F977</f>
        <v>Auricularia</v>
      </c>
      <c r="H977" s="3" t="s">
        <v>12473</v>
      </c>
      <c r="I977" s="5" t="str">
        <f>J977</f>
        <v>木耳</v>
      </c>
      <c r="J977" s="3" t="s">
        <v>12474</v>
      </c>
    </row>
    <row r="978">
      <c r="A978" s="5" t="str">
        <f>CONCATENATE("CATEGORY_",UPPER(Pokemon!B950))</f>
        <v>CATEGORY_TOADSCRUEL</v>
      </c>
      <c r="B978" s="5" t="str">
        <f t="shared" ref="B978:F978" si="348">B977</f>
        <v>Woodear</v>
      </c>
      <c r="C978" s="5" t="str">
        <f t="shared" si="348"/>
        <v>きくらげ</v>
      </c>
      <c r="D978" s="5" t="str">
        <f t="shared" si="348"/>
        <v>Champiméduse</v>
      </c>
      <c r="E978" s="5" t="str">
        <f t="shared" si="348"/>
        <v>Quallenpilz</v>
      </c>
      <c r="F978" s="5" t="str">
        <f t="shared" si="348"/>
        <v>Auricularia</v>
      </c>
      <c r="G978" s="5" t="str">
        <f>F977</f>
        <v>Auricularia</v>
      </c>
      <c r="H978" s="5" t="str">
        <f t="shared" ref="H978:J978" si="349">H977</f>
        <v>목이버섯</v>
      </c>
      <c r="I978" s="5" t="str">
        <f t="shared" si="349"/>
        <v>木耳</v>
      </c>
      <c r="J978" s="5" t="str">
        <f t="shared" si="349"/>
        <v>木耳</v>
      </c>
    </row>
    <row r="979">
      <c r="A979" s="5" t="str">
        <f>CONCATENATE("CATEGORY_",UPPER(Pokemon!B951))</f>
        <v>CATEGORY_KLAWF</v>
      </c>
      <c r="B979" s="3" t="s">
        <v>12475</v>
      </c>
      <c r="C979" s="3" t="s">
        <v>12476</v>
      </c>
      <c r="D979" s="3" t="s">
        <v>12477</v>
      </c>
      <c r="E979" s="3" t="s">
        <v>12478</v>
      </c>
      <c r="F979" s="3" t="s">
        <v>12479</v>
      </c>
      <c r="G979" s="3" t="s">
        <v>12480</v>
      </c>
      <c r="H979" s="3" t="s">
        <v>12481</v>
      </c>
      <c r="I979" s="3" t="s">
        <v>12482</v>
      </c>
      <c r="J979" s="5" t="str">
        <f>I979</f>
        <v>埋伏</v>
      </c>
    </row>
    <row r="980">
      <c r="A980" s="5" t="str">
        <f>CONCATENATE("CATEGORY_",UPPER(Pokemon!B952))</f>
        <v>CATEGORY_CAPSAKID</v>
      </c>
      <c r="B980" s="3" t="s">
        <v>12483</v>
      </c>
      <c r="C980" s="3" t="s">
        <v>12484</v>
      </c>
      <c r="D980" s="3" t="s">
        <v>12485</v>
      </c>
      <c r="E980" s="5" t="str">
        <f>D980</f>
        <v>Habanero</v>
      </c>
      <c r="F980" s="3" t="str">
        <f>D980</f>
        <v>Habanero</v>
      </c>
      <c r="G980" s="3" t="str">
        <f>D980</f>
        <v>Habanero</v>
      </c>
      <c r="H980" s="3" t="s">
        <v>12486</v>
      </c>
      <c r="I980" s="5" t="str">
        <f>IFERROR(__xludf.DUMMYFUNCTION("GOOGLETRANSLATE(J980,""zh_HANS"",""zh_HANT"")"),"熱辣")</f>
        <v>熱辣</v>
      </c>
      <c r="J980" s="3" t="s">
        <v>12487</v>
      </c>
    </row>
    <row r="981">
      <c r="A981" s="5" t="str">
        <f>CONCATENATE("CATEGORY_",UPPER(Pokemon!B953))</f>
        <v>CATEGORY_SCOVILLAIN</v>
      </c>
      <c r="B981" s="3" t="str">
        <f t="shared" ref="B981:D981" si="350">B980</f>
        <v>Spicy Pepper</v>
      </c>
      <c r="C981" s="3" t="str">
        <f t="shared" si="350"/>
        <v>ハバネロ</v>
      </c>
      <c r="D981" s="3" t="str">
        <f t="shared" si="350"/>
        <v>Habanero</v>
      </c>
      <c r="E981" s="3" t="str">
        <f>D980</f>
        <v>Habanero</v>
      </c>
      <c r="F981" s="3" t="str">
        <f t="shared" ref="F981:J981" si="351">F980</f>
        <v>Habanero</v>
      </c>
      <c r="G981" s="3" t="str">
        <f t="shared" si="351"/>
        <v>Habanero</v>
      </c>
      <c r="H981" s="3" t="str">
        <f t="shared" si="351"/>
        <v>하바네로</v>
      </c>
      <c r="I981" s="3" t="str">
        <f t="shared" si="351"/>
        <v>熱辣</v>
      </c>
      <c r="J981" s="3" t="str">
        <f t="shared" si="351"/>
        <v>热辣</v>
      </c>
    </row>
    <row r="982">
      <c r="A982" s="5" t="str">
        <f>CONCATENATE("CATEGORY_",UPPER(Pokemon!B954))</f>
        <v>CATEGORY_RELLOR</v>
      </c>
      <c r="B982" s="3" t="s">
        <v>12488</v>
      </c>
      <c r="C982" s="3" t="s">
        <v>12489</v>
      </c>
      <c r="D982" s="3" t="s">
        <v>12490</v>
      </c>
      <c r="E982" s="3" t="s">
        <v>12491</v>
      </c>
      <c r="F982" s="3" t="s">
        <v>12492</v>
      </c>
      <c r="G982" s="3" t="s">
        <v>12493</v>
      </c>
      <c r="H982" s="3" t="s">
        <v>12494</v>
      </c>
      <c r="I982" s="5" t="str">
        <f>IFERROR(__xludf.DUMMYFUNCTION("GOOGLETRANSLATE(J982,""zh_HANS"",""zh_HANT"")"),"捲動")</f>
        <v>捲動</v>
      </c>
      <c r="J982" s="3" t="s">
        <v>12495</v>
      </c>
    </row>
    <row r="983">
      <c r="A983" s="5" t="str">
        <f>CONCATENATE("CATEGORY_",UPPER(Pokemon!B955))</f>
        <v>CATEGORY_RABSCA</v>
      </c>
      <c r="B983" s="3" t="str">
        <f t="shared" ref="B983:J983" si="352">B982</f>
        <v>Rolling</v>
      </c>
      <c r="C983" s="3" t="str">
        <f t="shared" si="352"/>
        <v>ころがし</v>
      </c>
      <c r="D983" s="3" t="str">
        <f t="shared" si="352"/>
        <v>Rouleur</v>
      </c>
      <c r="E983" s="3" t="str">
        <f t="shared" si="352"/>
        <v>Wälz</v>
      </c>
      <c r="F983" s="3" t="str">
        <f t="shared" si="352"/>
        <v>Pelotero</v>
      </c>
      <c r="G983" s="3" t="str">
        <f t="shared" si="352"/>
        <v>Rotolatore</v>
      </c>
      <c r="H983" s="3" t="str">
        <f t="shared" si="352"/>
        <v>굴리기</v>
      </c>
      <c r="I983" s="3" t="str">
        <f t="shared" si="352"/>
        <v>捲動</v>
      </c>
      <c r="J983" s="3" t="str">
        <f t="shared" si="352"/>
        <v>滚动</v>
      </c>
    </row>
    <row r="984">
      <c r="A984" s="5" t="str">
        <f>CONCATENATE("CATEGORY_",UPPER(Pokemon!B956))</f>
        <v>CATEGORY_FLITTLE</v>
      </c>
      <c r="B984" s="3" t="s">
        <v>12496</v>
      </c>
      <c r="C984" s="3" t="s">
        <v>12497</v>
      </c>
      <c r="D984" s="3" t="s">
        <v>12498</v>
      </c>
      <c r="E984" s="3" t="s">
        <v>12499</v>
      </c>
      <c r="F984" s="3" t="s">
        <v>12500</v>
      </c>
      <c r="G984" s="3" t="s">
        <v>12501</v>
      </c>
      <c r="H984" s="3" t="s">
        <v>12502</v>
      </c>
      <c r="I984" s="5" t="str">
        <f>IFERROR(__xludf.DUMMYFUNCTION("GOOGLETRANSLATE(J984,""zh_HANS"",""zh_HANT"")"),"褶邊")</f>
        <v>褶邊</v>
      </c>
      <c r="J984" s="3" t="s">
        <v>12503</v>
      </c>
    </row>
    <row r="985">
      <c r="A985" s="5" t="str">
        <f>CONCATENATE("CATEGORY_",UPPER(Pokemon!B957))</f>
        <v>CATEGORY_ESPATHRA</v>
      </c>
      <c r="B985" s="3" t="s">
        <v>12504</v>
      </c>
      <c r="C985" s="3" t="s">
        <v>12505</v>
      </c>
      <c r="D985" s="3" t="s">
        <v>12506</v>
      </c>
      <c r="E985" s="3" t="s">
        <v>12507</v>
      </c>
      <c r="F985" s="3" t="s">
        <v>12508</v>
      </c>
      <c r="G985" s="3" t="s">
        <v>12509</v>
      </c>
      <c r="H985" s="3" t="s">
        <v>12510</v>
      </c>
      <c r="I985" s="5" t="str">
        <f>IFERROR(__xludf.DUMMYFUNCTION("GOOGLETRANSLATE(J985,""zh_HANS"",""zh_HANT"")"),"鴕鳥")</f>
        <v>鴕鳥</v>
      </c>
      <c r="J985" s="3" t="s">
        <v>12511</v>
      </c>
    </row>
    <row r="986">
      <c r="A986" s="5" t="str">
        <f>CONCATENATE("CATEGORY_",UPPER(Pokemon!B958))</f>
        <v>CATEGORY_TINKATINK</v>
      </c>
      <c r="B986" s="3" t="s">
        <v>12512</v>
      </c>
      <c r="C986" s="3" t="s">
        <v>12513</v>
      </c>
      <c r="D986" s="3" t="s">
        <v>12514</v>
      </c>
      <c r="E986" s="3" t="s">
        <v>12515</v>
      </c>
      <c r="F986" s="3" t="s">
        <v>12516</v>
      </c>
      <c r="G986" s="3" t="s">
        <v>12517</v>
      </c>
      <c r="H986" s="3" t="s">
        <v>12518</v>
      </c>
      <c r="I986" s="5" t="str">
        <f>IFERROR(__xludf.DUMMYFUNCTION("GOOGLETRANSLATE(J986,""zh_HANS"",""zh_HANT"")"),"錘煉")</f>
        <v>錘煉</v>
      </c>
      <c r="J986" s="3" t="s">
        <v>12519</v>
      </c>
    </row>
    <row r="987">
      <c r="A987" s="5" t="str">
        <f>CONCATENATE("CATEGORY_",UPPER(Pokemon!B959))</f>
        <v>CATEGORY_TINKATUFF</v>
      </c>
      <c r="B987" s="3" t="s">
        <v>12520</v>
      </c>
      <c r="C987" s="3" t="s">
        <v>12521</v>
      </c>
      <c r="D987" s="3" t="s">
        <v>12522</v>
      </c>
      <c r="E987" s="3" t="str">
        <f>B987</f>
        <v>Hammer</v>
      </c>
      <c r="F987" s="3" t="s">
        <v>12523</v>
      </c>
      <c r="G987" s="3" t="s">
        <v>12524</v>
      </c>
      <c r="H987" s="3" t="s">
        <v>12525</v>
      </c>
      <c r="I987" s="5" t="str">
        <f>IFERROR(__xludf.DUMMYFUNCTION("GOOGLETRANSLATE(J987,""zh_HANS"",""zh_HANT"")"),"錘子")</f>
        <v>錘子</v>
      </c>
      <c r="J987" s="3" t="s">
        <v>12526</v>
      </c>
    </row>
    <row r="988">
      <c r="A988" s="5" t="str">
        <f>CONCATENATE("CATEGORY_",UPPER(Pokemon!B960))</f>
        <v>CATEGORY_TINKATON</v>
      </c>
      <c r="B988" s="5" t="str">
        <f t="shared" ref="B988:J988" si="353">B987</f>
        <v>Hammer</v>
      </c>
      <c r="C988" s="5" t="str">
        <f t="shared" si="353"/>
        <v>ハンマー</v>
      </c>
      <c r="D988" s="5" t="str">
        <f t="shared" si="353"/>
        <v>Marteau</v>
      </c>
      <c r="E988" s="5" t="str">
        <f t="shared" si="353"/>
        <v>Hammer</v>
      </c>
      <c r="F988" s="5" t="str">
        <f t="shared" si="353"/>
        <v>Martillo</v>
      </c>
      <c r="G988" s="5" t="str">
        <f t="shared" si="353"/>
        <v>Martello</v>
      </c>
      <c r="H988" s="5" t="str">
        <f t="shared" si="353"/>
        <v>해머</v>
      </c>
      <c r="I988" s="5" t="str">
        <f t="shared" si="353"/>
        <v>錘子</v>
      </c>
      <c r="J988" s="5" t="str">
        <f t="shared" si="353"/>
        <v>锤子</v>
      </c>
    </row>
    <row r="989">
      <c r="A989" s="5" t="str">
        <f>CONCATENATE("CATEGORY_",UPPER(Pokemon!B961))</f>
        <v>CATEGORY_WIGLETT</v>
      </c>
      <c r="B989" s="3" t="s">
        <v>12527</v>
      </c>
      <c r="C989" s="3" t="s">
        <v>12528</v>
      </c>
      <c r="D989" s="3" t="s">
        <v>12529</v>
      </c>
      <c r="E989" s="3" t="s">
        <v>12530</v>
      </c>
      <c r="F989" s="3" t="s">
        <v>12531</v>
      </c>
      <c r="G989" s="3" t="s">
        <v>12532</v>
      </c>
      <c r="H989" s="3" t="s">
        <v>12533</v>
      </c>
      <c r="I989" s="3" t="str">
        <f>IFERROR(__xludf.DUMMYFUNCTION("GOOGLETRANSLATE(J989,""zh_HANS"",""zh_HANT"")"),"糯鰻")</f>
        <v>糯鰻</v>
      </c>
      <c r="J989" s="3" t="s">
        <v>12534</v>
      </c>
    </row>
    <row r="990">
      <c r="A990" s="5" t="str">
        <f>CONCATENATE("CATEGORY_",UPPER(Pokemon!B962))</f>
        <v>CATEGORY_WUGTRIO</v>
      </c>
      <c r="B990" s="3" t="str">
        <f t="shared" ref="B990:J990" si="354">B989</f>
        <v>Garden Eel</v>
      </c>
      <c r="C990" s="3" t="str">
        <f t="shared" si="354"/>
        <v>あなご</v>
      </c>
      <c r="D990" s="3" t="str">
        <f t="shared" si="354"/>
        <v>Congre</v>
      </c>
      <c r="E990" s="3" t="str">
        <f t="shared" si="354"/>
        <v>Meeraal</v>
      </c>
      <c r="F990" s="3" t="str">
        <f t="shared" si="354"/>
        <v>Cóngrido</v>
      </c>
      <c r="G990" s="3" t="str">
        <f t="shared" si="354"/>
        <v>Grongo</v>
      </c>
      <c r="H990" s="3" t="str">
        <f t="shared" si="354"/>
        <v>정원장어</v>
      </c>
      <c r="I990" s="3" t="str">
        <f t="shared" si="354"/>
        <v>糯鰻</v>
      </c>
      <c r="J990" s="3" t="str">
        <f t="shared" si="354"/>
        <v>糯鳗</v>
      </c>
    </row>
    <row r="991">
      <c r="A991" s="5" t="str">
        <f>CONCATENATE("CATEGORY_",UPPER(Pokemon!B963))</f>
        <v>CATEGORY_BOMBIRDIER</v>
      </c>
      <c r="B991" s="3" t="s">
        <v>12535</v>
      </c>
      <c r="C991" s="3" t="s">
        <v>12536</v>
      </c>
      <c r="D991" s="3" t="s">
        <v>12537</v>
      </c>
      <c r="E991" s="3" t="s">
        <v>12538</v>
      </c>
      <c r="F991" s="3" t="s">
        <v>12539</v>
      </c>
      <c r="G991" s="3" t="s">
        <v>12540</v>
      </c>
      <c r="H991" s="3" t="s">
        <v>12541</v>
      </c>
      <c r="I991" s="5" t="str">
        <f>IFERROR(__xludf.DUMMYFUNCTION("GOOGLETRANSLATE(J991,""zh_HANS"",""zh_HANT"")"),"掉東西")</f>
        <v>掉東西</v>
      </c>
      <c r="J991" s="3" t="s">
        <v>12542</v>
      </c>
    </row>
    <row r="992">
      <c r="A992" s="5" t="str">
        <f>CONCATENATE("CATEGORY_",UPPER(Pokemon!B964))</f>
        <v>CATEGORY_FINIZEN</v>
      </c>
      <c r="B992" s="3" t="s">
        <v>12543</v>
      </c>
      <c r="C992" s="3" t="s">
        <v>12544</v>
      </c>
      <c r="D992" s="3" t="s">
        <v>12545</v>
      </c>
      <c r="E992" s="3" t="s">
        <v>12546</v>
      </c>
      <c r="F992" s="3" t="s">
        <v>12547</v>
      </c>
      <c r="G992" s="3" t="s">
        <v>12548</v>
      </c>
      <c r="H992" s="3" t="s">
        <v>12549</v>
      </c>
      <c r="I992" s="3" t="str">
        <f>J992</f>
        <v>海豚</v>
      </c>
      <c r="J992" s="3" t="s">
        <v>12550</v>
      </c>
    </row>
    <row r="993">
      <c r="A993" s="5" t="str">
        <f>CONCATENATE("CATEGORY_",UPPER(Pokemon!B965))</f>
        <v>CATEGORY_PALAFIN</v>
      </c>
      <c r="B993" s="5" t="str">
        <f t="shared" ref="B993:J993" si="355">B992</f>
        <v>Dolphin</v>
      </c>
      <c r="C993" s="5" t="str">
        <f t="shared" si="355"/>
        <v>イルカ</v>
      </c>
      <c r="D993" s="5" t="str">
        <f t="shared" si="355"/>
        <v>Dauphin</v>
      </c>
      <c r="E993" s="5" t="str">
        <f t="shared" si="355"/>
        <v>Delfin</v>
      </c>
      <c r="F993" s="5" t="str">
        <f t="shared" si="355"/>
        <v>Delfín</v>
      </c>
      <c r="G993" s="5" t="str">
        <f t="shared" si="355"/>
        <v>Delfino</v>
      </c>
      <c r="H993" s="5" t="str">
        <f t="shared" si="355"/>
        <v>돌고래</v>
      </c>
      <c r="I993" s="5" t="str">
        <f t="shared" si="355"/>
        <v>海豚</v>
      </c>
      <c r="J993" s="5" t="str">
        <f t="shared" si="355"/>
        <v>海豚</v>
      </c>
    </row>
    <row r="994">
      <c r="A994" s="5" t="str">
        <f>CONCATENATE(A993,"-H")</f>
        <v>CATEGORY_PALAFIN-H</v>
      </c>
      <c r="B994" s="3" t="s">
        <v>12551</v>
      </c>
      <c r="C994" s="3" t="s">
        <v>12552</v>
      </c>
      <c r="D994" s="3" t="s">
        <v>12553</v>
      </c>
      <c r="E994" s="3" t="s">
        <v>12554</v>
      </c>
      <c r="F994" s="3" t="s">
        <v>12555</v>
      </c>
      <c r="G994" s="3" t="s">
        <v>12556</v>
      </c>
      <c r="H994" s="3" t="s">
        <v>12557</v>
      </c>
      <c r="I994" s="5" t="str">
        <f>J994</f>
        <v>英雄</v>
      </c>
      <c r="J994" s="3" t="s">
        <v>12558</v>
      </c>
    </row>
    <row r="995">
      <c r="A995" s="5" t="str">
        <f>CONCATENATE("CATEGORY_",UPPER(Pokemon!B966))</f>
        <v>CATEGORY_VAROOM</v>
      </c>
      <c r="B995" s="3" t="s">
        <v>12559</v>
      </c>
      <c r="C995" s="3" t="s">
        <v>12560</v>
      </c>
      <c r="D995" s="3" t="s">
        <v>12561</v>
      </c>
      <c r="E995" s="3" t="s">
        <v>12562</v>
      </c>
      <c r="F995" s="3" t="s">
        <v>12563</v>
      </c>
      <c r="G995" s="5" t="str">
        <f t="shared" ref="G995:G996" si="356">F995</f>
        <v>Monocilindro</v>
      </c>
      <c r="H995" s="3" t="s">
        <v>12564</v>
      </c>
      <c r="I995" s="5" t="str">
        <f>IFERROR(__xludf.DUMMYFUNCTION("GOOGLETRANSLATE(J995,""zh_HANS"",""zh_HANT"")"),"單汽缸")</f>
        <v>單汽缸</v>
      </c>
      <c r="J995" s="3" t="s">
        <v>12565</v>
      </c>
    </row>
    <row r="996">
      <c r="A996" s="5" t="str">
        <f>CONCATENATE("CATEGORY_",UPPER(Pokemon!B967))</f>
        <v>CATEGORY_REVAVROOM</v>
      </c>
      <c r="B996" s="3" t="s">
        <v>12566</v>
      </c>
      <c r="C996" s="3" t="s">
        <v>12567</v>
      </c>
      <c r="D996" s="3" t="s">
        <v>12568</v>
      </c>
      <c r="E996" s="3" t="s">
        <v>12569</v>
      </c>
      <c r="F996" s="3" t="s">
        <v>12570</v>
      </c>
      <c r="G996" s="5" t="str">
        <f t="shared" si="356"/>
        <v>Policilindro</v>
      </c>
      <c r="H996" s="3" t="s">
        <v>12571</v>
      </c>
      <c r="I996" s="5" t="str">
        <f>J996</f>
        <v>多汽缸</v>
      </c>
      <c r="J996" s="3" t="s">
        <v>12572</v>
      </c>
    </row>
    <row r="997">
      <c r="A997" s="5" t="str">
        <f>CONCATENATE("CATEGORY_",UPPER(Pokemon!B968))</f>
        <v>CATEGORY_CYCLIZAR</v>
      </c>
      <c r="B997" s="3" t="str">
        <f t="shared" ref="B997:J997" si="357">B693</f>
        <v>Mount</v>
      </c>
      <c r="C997" s="3" t="str">
        <f t="shared" si="357"/>
        <v>ライド</v>
      </c>
      <c r="D997" s="3" t="str">
        <f t="shared" si="357"/>
        <v>Monture</v>
      </c>
      <c r="E997" s="3" t="str">
        <f t="shared" si="357"/>
        <v>Ritt</v>
      </c>
      <c r="F997" s="3" t="str">
        <f t="shared" si="357"/>
        <v>Montura</v>
      </c>
      <c r="G997" s="3" t="str">
        <f t="shared" si="357"/>
        <v>Cavalcatura</v>
      </c>
      <c r="H997" s="3" t="str">
        <f t="shared" si="357"/>
        <v>라이드</v>
      </c>
      <c r="I997" s="3" t="str">
        <f t="shared" si="357"/>
        <v>坐騎</v>
      </c>
      <c r="J997" s="3" t="str">
        <f t="shared" si="357"/>
        <v>坐骑</v>
      </c>
    </row>
    <row r="998">
      <c r="A998" s="5" t="str">
        <f>CONCATENATE("CATEGORY_",UPPER(Pokemon!B969))</f>
        <v>CATEGORY_ORTHWORM</v>
      </c>
      <c r="B998" s="3" t="s">
        <v>12573</v>
      </c>
      <c r="C998" s="3" t="s">
        <v>12574</v>
      </c>
      <c r="D998" s="3" t="s">
        <v>12575</v>
      </c>
      <c r="E998" s="3" t="s">
        <v>12576</v>
      </c>
      <c r="F998" s="3" t="s">
        <v>12577</v>
      </c>
      <c r="G998" s="3" t="s">
        <v>12578</v>
      </c>
      <c r="H998" s="3" t="s">
        <v>12579</v>
      </c>
      <c r="I998" s="5" t="str">
        <f>J998</f>
        <v>蚯蚓</v>
      </c>
      <c r="J998" s="3" t="s">
        <v>12580</v>
      </c>
    </row>
    <row r="999">
      <c r="A999" s="5" t="str">
        <f>CONCATENATE("CATEGORY_",UPPER(Pokemon!B970))</f>
        <v>CATEGORY_GLIMMET</v>
      </c>
      <c r="B999" s="3" t="str">
        <f t="shared" ref="B999:J999" si="358">B538</f>
        <v>Ore</v>
      </c>
      <c r="C999" s="3" t="str">
        <f t="shared" si="358"/>
        <v>こうせき</v>
      </c>
      <c r="D999" s="3" t="str">
        <f t="shared" si="358"/>
        <v>Minerai</v>
      </c>
      <c r="E999" s="3" t="str">
        <f t="shared" si="358"/>
        <v>Erz</v>
      </c>
      <c r="F999" s="3" t="str">
        <f t="shared" si="358"/>
        <v>Mineral</v>
      </c>
      <c r="G999" s="3" t="str">
        <f t="shared" si="358"/>
        <v>Minerale</v>
      </c>
      <c r="H999" s="3" t="str">
        <f t="shared" si="358"/>
        <v>광석</v>
      </c>
      <c r="I999" s="3" t="str">
        <f t="shared" si="358"/>
        <v>礦石</v>
      </c>
      <c r="J999" s="3" t="str">
        <f t="shared" si="358"/>
        <v>矿石</v>
      </c>
    </row>
    <row r="1000">
      <c r="A1000" s="5" t="str">
        <f>CONCATENATE("CATEGORY_",UPPER(Pokemon!B971))</f>
        <v>CATEGORY_GLIMMORA</v>
      </c>
      <c r="B1000" s="3" t="str">
        <f t="shared" ref="B1000:J1000" si="359">B999</f>
        <v>Ore</v>
      </c>
      <c r="C1000" s="3" t="str">
        <f t="shared" si="359"/>
        <v>こうせき</v>
      </c>
      <c r="D1000" s="3" t="str">
        <f t="shared" si="359"/>
        <v>Minerai</v>
      </c>
      <c r="E1000" s="3" t="str">
        <f t="shared" si="359"/>
        <v>Erz</v>
      </c>
      <c r="F1000" s="3" t="str">
        <f t="shared" si="359"/>
        <v>Mineral</v>
      </c>
      <c r="G1000" s="3" t="str">
        <f t="shared" si="359"/>
        <v>Minerale</v>
      </c>
      <c r="H1000" s="3" t="str">
        <f t="shared" si="359"/>
        <v>광석</v>
      </c>
      <c r="I1000" s="3" t="str">
        <f t="shared" si="359"/>
        <v>礦石</v>
      </c>
      <c r="J1000" s="3" t="str">
        <f t="shared" si="359"/>
        <v>矿石</v>
      </c>
    </row>
    <row r="1001">
      <c r="A1001" s="5" t="str">
        <f>CONCATENATE("CATEGORY_",UPPER(Pokemon!B972))</f>
        <v>CATEGORY_GREAVARD</v>
      </c>
      <c r="B1001" s="3" t="s">
        <v>12581</v>
      </c>
      <c r="C1001" s="3" t="s">
        <v>12582</v>
      </c>
      <c r="D1001" s="3" t="s">
        <v>12583</v>
      </c>
      <c r="E1001" s="3" t="s">
        <v>12584</v>
      </c>
      <c r="F1001" s="3" t="s">
        <v>12585</v>
      </c>
      <c r="G1001" s="3" t="s">
        <v>12586</v>
      </c>
      <c r="H1001" s="3" t="s">
        <v>12587</v>
      </c>
      <c r="I1001" s="3" t="s">
        <v>12588</v>
      </c>
      <c r="J1001" s="5" t="str">
        <f>I1001</f>
        <v>鬼犬</v>
      </c>
    </row>
    <row r="1002">
      <c r="A1002" s="5" t="str">
        <f>CONCATENATE("CATEGORY_",UPPER(Pokemon!B973))</f>
        <v>CATEGORY_HOUNDSTONE</v>
      </c>
      <c r="B1002" s="5" t="str">
        <f t="shared" ref="B1002:J1002" si="360">B1001</f>
        <v>Ghost Dog</v>
      </c>
      <c r="C1002" s="5" t="str">
        <f t="shared" si="360"/>
        <v>おばけいぬ</v>
      </c>
      <c r="D1002" s="5" t="str">
        <f t="shared" si="360"/>
        <v>Fantôchien</v>
      </c>
      <c r="E1002" s="5" t="str">
        <f t="shared" si="360"/>
        <v>Geisterhund</v>
      </c>
      <c r="F1002" s="5" t="str">
        <f t="shared" si="360"/>
        <v>Can Fantasma</v>
      </c>
      <c r="G1002" s="5" t="str">
        <f t="shared" si="360"/>
        <v>Cantasma</v>
      </c>
      <c r="H1002" s="5" t="str">
        <f t="shared" si="360"/>
        <v>유령개</v>
      </c>
      <c r="I1002" s="5" t="str">
        <f t="shared" si="360"/>
        <v>鬼犬</v>
      </c>
      <c r="J1002" s="5" t="str">
        <f t="shared" si="360"/>
        <v>鬼犬</v>
      </c>
    </row>
    <row r="1003">
      <c r="A1003" s="5" t="str">
        <f>CONCATENATE("CATEGORY_",UPPER(Pokemon!B974))</f>
        <v>CATEGORY_FLAMIGO</v>
      </c>
      <c r="B1003" s="5" t="str">
        <f>Abilities!B29</f>
        <v>Synchonize</v>
      </c>
      <c r="C1003" s="5" t="str">
        <f>Abilities!C29</f>
        <v>シンクロ</v>
      </c>
      <c r="D1003" s="5" t="str">
        <f>Abilities!D29</f>
        <v>Synchro</v>
      </c>
      <c r="E1003" s="5" t="str">
        <f>CONCATENATE(Abilities!E29,"n")</f>
        <v>Synchron</v>
      </c>
      <c r="F1003" s="5" t="str">
        <f>Abilities!F29</f>
        <v>Sincronía</v>
      </c>
      <c r="G1003" s="5" t="str">
        <f>Abilities!G29</f>
        <v>Sincronismo</v>
      </c>
      <c r="H1003" s="5" t="str">
        <f>Abilities!H29</f>
        <v>싱크로</v>
      </c>
      <c r="I1003" s="5" t="str">
        <f>Abilities!I29</f>
        <v>同步</v>
      </c>
      <c r="J1003" s="5" t="str">
        <f>Abilities!J29</f>
        <v>同步</v>
      </c>
    </row>
    <row r="1004">
      <c r="A1004" s="5" t="str">
        <f>CONCATENATE("CATEGORY_",UPPER(Pokemon!B975))</f>
        <v>CATEGORY_CETODDLE</v>
      </c>
      <c r="B1004" s="3" t="s">
        <v>12589</v>
      </c>
      <c r="C1004" s="3" t="s">
        <v>12590</v>
      </c>
      <c r="D1004" s="3" t="s">
        <v>12591</v>
      </c>
      <c r="E1004" s="3" t="s">
        <v>12592</v>
      </c>
      <c r="F1004" s="3" t="s">
        <v>12593</v>
      </c>
      <c r="G1004" s="3" t="s">
        <v>12594</v>
      </c>
      <c r="H1004" s="3" t="s">
        <v>12595</v>
      </c>
      <c r="I1004" s="3" t="s">
        <v>12596</v>
      </c>
      <c r="J1004" s="3" t="str">
        <f>IFERROR(__xludf.DUMMYFUNCTION("GOOGLETRANSLATE(I1004, ""zh_HANT"",""zh_HANS"")"),"陆鲸")</f>
        <v>陆鲸</v>
      </c>
    </row>
    <row r="1005">
      <c r="A1005" s="5" t="str">
        <f>CONCATENATE("CATEGORY_",UPPER(Pokemon!B976))</f>
        <v>CATEGORY_CETITAN</v>
      </c>
      <c r="B1005" s="5" t="str">
        <f t="shared" ref="B1005:J1005" si="361">B1004</f>
        <v>Terra Whale</v>
      </c>
      <c r="C1005" s="5" t="str">
        <f t="shared" si="361"/>
        <v>りくくじら</v>
      </c>
      <c r="D1005" s="5" t="str">
        <f t="shared" si="361"/>
        <v>Baleinapied</v>
      </c>
      <c r="E1005" s="5" t="str">
        <f t="shared" si="361"/>
        <v>Landwal</v>
      </c>
      <c r="F1005" s="5" t="str">
        <f t="shared" si="361"/>
        <v>Geoballena</v>
      </c>
      <c r="G1005" s="5" t="str">
        <f t="shared" si="361"/>
        <v>Balenottera</v>
      </c>
      <c r="H1005" s="5" t="str">
        <f t="shared" si="361"/>
        <v>육지고래</v>
      </c>
      <c r="I1005" s="5" t="str">
        <f t="shared" si="361"/>
        <v>陸鯨</v>
      </c>
      <c r="J1005" s="5" t="str">
        <f t="shared" si="361"/>
        <v>陆鲸</v>
      </c>
    </row>
    <row r="1006">
      <c r="A1006" s="5" t="str">
        <f>CONCATENATE("CATEGORY_",UPPER(Pokemon!B984))</f>
        <v>CATEGORY_KINGAMBIT</v>
      </c>
      <c r="B1006" s="3" t="s">
        <v>12597</v>
      </c>
      <c r="C1006" s="3" t="s">
        <v>12598</v>
      </c>
      <c r="D1006" s="3" t="s">
        <v>12599</v>
      </c>
      <c r="E1006" s="3" t="s">
        <v>12600</v>
      </c>
      <c r="F1006" s="3" t="s">
        <v>12601</v>
      </c>
      <c r="G1006" s="3" t="s">
        <v>12602</v>
      </c>
      <c r="H1006" s="3" t="s">
        <v>12603</v>
      </c>
      <c r="I1006" s="3" t="str">
        <f t="shared" ref="I1006:I1007" si="362">J1006</f>
        <v>大刀</v>
      </c>
      <c r="J1006" s="3" t="s">
        <v>12604</v>
      </c>
    </row>
    <row r="1007">
      <c r="A1007" s="5" t="str">
        <f>CONCATENATE("CATEGORY_",UPPER(Pokemon!B977))</f>
        <v>CATEGORY_VELUZA</v>
      </c>
      <c r="B1007" s="3" t="s">
        <v>12605</v>
      </c>
      <c r="C1007" s="3" t="s">
        <v>12606</v>
      </c>
      <c r="D1007" s="3" t="s">
        <v>12607</v>
      </c>
      <c r="E1007" s="3" t="s">
        <v>12608</v>
      </c>
      <c r="F1007" s="3" t="s">
        <v>12609</v>
      </c>
      <c r="G1007" s="3" t="s">
        <v>12610</v>
      </c>
      <c r="H1007" s="3" t="s">
        <v>12611</v>
      </c>
      <c r="I1007" s="3" t="str">
        <f t="shared" si="362"/>
        <v>卸除</v>
      </c>
      <c r="J1007" s="3" t="s">
        <v>12612</v>
      </c>
    </row>
    <row r="1008">
      <c r="A1008" s="5" t="str">
        <f>CONCATENATE("CATEGORY_",UPPER(Pokemon!B978))</f>
        <v>CATEGORY_DONDOZO</v>
      </c>
      <c r="B1008" s="3" t="s">
        <v>12613</v>
      </c>
      <c r="C1008" s="3" t="s">
        <v>12614</v>
      </c>
      <c r="D1008" s="3" t="s">
        <v>12615</v>
      </c>
      <c r="E1008" s="3" t="s">
        <v>12616</v>
      </c>
      <c r="F1008" s="3" t="s">
        <v>12617</v>
      </c>
      <c r="G1008" s="3" t="s">
        <v>12618</v>
      </c>
      <c r="H1008" s="3" t="s">
        <v>12619</v>
      </c>
      <c r="I1008" s="3" t="str">
        <f>IFERROR(__xludf.DUMMYFUNCTION("GOOGLETRANSLATE(J1008,""zh_HANS"",""zh_HANT"")"),"大鯰")</f>
        <v>大鯰</v>
      </c>
      <c r="J1008" s="3" t="s">
        <v>12620</v>
      </c>
    </row>
    <row r="1009">
      <c r="A1009" s="5" t="str">
        <f>CONCATENATE("CATEGORY_",UPPER(Pokemon!B979))</f>
        <v>CATEGORY_TATSUGIRI</v>
      </c>
      <c r="B1009" s="3" t="str">
        <f>Abilities!B251</f>
        <v>Mimicry</v>
      </c>
      <c r="C1009" s="3" t="str">
        <f>Abilities!C251</f>
        <v>ぎたい</v>
      </c>
      <c r="D1009" s="3" t="str">
        <f>Abilities!D251</f>
        <v>Mimétisme</v>
      </c>
      <c r="E1009" s="3" t="str">
        <f>CONCATENATE(Abilities!E251,"n")</f>
        <v>Mimesen</v>
      </c>
      <c r="F1009" s="3" t="str">
        <f>Abilities!F251</f>
        <v>Mimetismo</v>
      </c>
      <c r="G1009" s="3" t="s">
        <v>12621</v>
      </c>
      <c r="H1009" s="3" t="str">
        <f>Abilities!H251</f>
        <v>의태</v>
      </c>
      <c r="I1009" s="3" t="str">
        <f>Abilities!I251</f>
        <v>擬態</v>
      </c>
      <c r="J1009" s="3" t="str">
        <f>Abilities!J251</f>
        <v>拟态</v>
      </c>
    </row>
    <row r="1010">
      <c r="A1010" s="5" t="str">
        <f>CONCATENATE("CATEGORY_",SUBSTITUTE(UPPER(Pokemon!B985)," ",""))</f>
        <v>CATEGORY_GREATTUSK</v>
      </c>
      <c r="B1010" s="3" t="s">
        <v>12622</v>
      </c>
      <c r="C1010" s="3" t="s">
        <v>12623</v>
      </c>
      <c r="D1010" s="3" t="str">
        <f>CONCATENATE(B1010,"e")</f>
        <v>Paradoxe</v>
      </c>
      <c r="E1010" s="3" t="str">
        <f>B1010</f>
        <v>Paradox</v>
      </c>
      <c r="F1010" s="3" t="s">
        <v>12624</v>
      </c>
      <c r="G1010" s="3" t="s">
        <v>12625</v>
      </c>
      <c r="H1010" s="3" t="s">
        <v>12626</v>
      </c>
      <c r="I1010" s="3" t="str">
        <f>IFERROR(__xludf.DUMMYFUNCTION("GOOGLETRANSLATE(J1010,""zh_HANS"",""zh_HANT"")"),"悖謬")</f>
        <v>悖謬</v>
      </c>
      <c r="J1010" s="3" t="s">
        <v>12627</v>
      </c>
    </row>
    <row r="1011">
      <c r="A1011" s="5" t="str">
        <f>CONCATENATE("CATEGORY_",SUBSTITUTE(UPPER(Pokemon!B986)," ",""))</f>
        <v>CATEGORY_SCREAMTAIL</v>
      </c>
      <c r="B1011" s="3" t="str">
        <f t="shared" ref="B1011:J1011" si="363">B1010</f>
        <v>Paradox</v>
      </c>
      <c r="C1011" s="3" t="str">
        <f t="shared" si="363"/>
        <v>パラドックス</v>
      </c>
      <c r="D1011" s="3" t="str">
        <f t="shared" si="363"/>
        <v>Paradoxe</v>
      </c>
      <c r="E1011" s="3" t="str">
        <f t="shared" si="363"/>
        <v>Paradox</v>
      </c>
      <c r="F1011" s="3" t="str">
        <f t="shared" si="363"/>
        <v>Paradoja</v>
      </c>
      <c r="G1011" s="3" t="str">
        <f t="shared" si="363"/>
        <v>Paradosso</v>
      </c>
      <c r="H1011" s="3" t="str">
        <f t="shared" si="363"/>
        <v>패러독스</v>
      </c>
      <c r="I1011" s="3" t="str">
        <f t="shared" si="363"/>
        <v>悖謬</v>
      </c>
      <c r="J1011" s="3" t="str">
        <f t="shared" si="363"/>
        <v>悖谬</v>
      </c>
    </row>
    <row r="1012">
      <c r="A1012" s="5" t="str">
        <f>CONCATENATE("CATEGORY_",SUBSTITUTE(UPPER(Pokemon!B987)," ",""))</f>
        <v>CATEGORY_BRUTEBONNET</v>
      </c>
      <c r="B1012" s="3" t="str">
        <f t="shared" ref="B1012:J1012" si="364">B1010</f>
        <v>Paradox</v>
      </c>
      <c r="C1012" s="3" t="str">
        <f t="shared" si="364"/>
        <v>パラドックス</v>
      </c>
      <c r="D1012" s="3" t="str">
        <f t="shared" si="364"/>
        <v>Paradoxe</v>
      </c>
      <c r="E1012" s="3" t="str">
        <f t="shared" si="364"/>
        <v>Paradox</v>
      </c>
      <c r="F1012" s="3" t="str">
        <f t="shared" si="364"/>
        <v>Paradoja</v>
      </c>
      <c r="G1012" s="3" t="str">
        <f t="shared" si="364"/>
        <v>Paradosso</v>
      </c>
      <c r="H1012" s="3" t="str">
        <f t="shared" si="364"/>
        <v>패러독스</v>
      </c>
      <c r="I1012" s="3" t="str">
        <f t="shared" si="364"/>
        <v>悖謬</v>
      </c>
      <c r="J1012" s="3" t="str">
        <f t="shared" si="364"/>
        <v>悖谬</v>
      </c>
    </row>
    <row r="1013">
      <c r="A1013" s="5" t="str">
        <f>CONCATENATE("CATEGORY_",SUBSTITUTE(UPPER(Pokemon!B988)," ",""))</f>
        <v>CATEGORY_FLUTTERMANE</v>
      </c>
      <c r="B1013" s="3" t="str">
        <f t="shared" ref="B1013:J1013" si="365">B1010</f>
        <v>Paradox</v>
      </c>
      <c r="C1013" s="3" t="str">
        <f t="shared" si="365"/>
        <v>パラドックス</v>
      </c>
      <c r="D1013" s="3" t="str">
        <f t="shared" si="365"/>
        <v>Paradoxe</v>
      </c>
      <c r="E1013" s="3" t="str">
        <f t="shared" si="365"/>
        <v>Paradox</v>
      </c>
      <c r="F1013" s="3" t="str">
        <f t="shared" si="365"/>
        <v>Paradoja</v>
      </c>
      <c r="G1013" s="3" t="str">
        <f t="shared" si="365"/>
        <v>Paradosso</v>
      </c>
      <c r="H1013" s="3" t="str">
        <f t="shared" si="365"/>
        <v>패러독스</v>
      </c>
      <c r="I1013" s="3" t="str">
        <f t="shared" si="365"/>
        <v>悖謬</v>
      </c>
      <c r="J1013" s="3" t="str">
        <f t="shared" si="365"/>
        <v>悖谬</v>
      </c>
    </row>
    <row r="1014">
      <c r="A1014" s="5" t="str">
        <f>CONCATENATE("CATEGORY_",SUBSTITUTE(UPPER(Pokemon!B989)," ",""))</f>
        <v>CATEGORY_SLITHERWING</v>
      </c>
      <c r="B1014" s="3" t="str">
        <f t="shared" ref="B1014:J1014" si="366">B1010</f>
        <v>Paradox</v>
      </c>
      <c r="C1014" s="3" t="str">
        <f t="shared" si="366"/>
        <v>パラドックス</v>
      </c>
      <c r="D1014" s="3" t="str">
        <f t="shared" si="366"/>
        <v>Paradoxe</v>
      </c>
      <c r="E1014" s="3" t="str">
        <f t="shared" si="366"/>
        <v>Paradox</v>
      </c>
      <c r="F1014" s="3" t="str">
        <f t="shared" si="366"/>
        <v>Paradoja</v>
      </c>
      <c r="G1014" s="3" t="str">
        <f t="shared" si="366"/>
        <v>Paradosso</v>
      </c>
      <c r="H1014" s="3" t="str">
        <f t="shared" si="366"/>
        <v>패러독스</v>
      </c>
      <c r="I1014" s="3" t="str">
        <f t="shared" si="366"/>
        <v>悖謬</v>
      </c>
      <c r="J1014" s="3" t="str">
        <f t="shared" si="366"/>
        <v>悖谬</v>
      </c>
    </row>
    <row r="1015">
      <c r="A1015" s="5" t="str">
        <f>CONCATENATE("CATEGORY_",SUBSTITUTE(UPPER(Pokemon!B990)," ",""))</f>
        <v>CATEGORY_SANDYSHOCKS</v>
      </c>
      <c r="B1015" s="3" t="str">
        <f t="shared" ref="B1015:J1015" si="367">B1010</f>
        <v>Paradox</v>
      </c>
      <c r="C1015" s="3" t="str">
        <f t="shared" si="367"/>
        <v>パラドックス</v>
      </c>
      <c r="D1015" s="3" t="str">
        <f t="shared" si="367"/>
        <v>Paradoxe</v>
      </c>
      <c r="E1015" s="3" t="str">
        <f t="shared" si="367"/>
        <v>Paradox</v>
      </c>
      <c r="F1015" s="3" t="str">
        <f t="shared" si="367"/>
        <v>Paradoja</v>
      </c>
      <c r="G1015" s="3" t="str">
        <f t="shared" si="367"/>
        <v>Paradosso</v>
      </c>
      <c r="H1015" s="3" t="str">
        <f t="shared" si="367"/>
        <v>패러독스</v>
      </c>
      <c r="I1015" s="3" t="str">
        <f t="shared" si="367"/>
        <v>悖謬</v>
      </c>
      <c r="J1015" s="3" t="str">
        <f t="shared" si="367"/>
        <v>悖谬</v>
      </c>
    </row>
    <row r="1016">
      <c r="A1016" s="5" t="str">
        <f>CONCATENATE("CATEGORY_",SUBSTITUTE(UPPER(Pokemon!B991)," ",""))</f>
        <v>CATEGORY_IRONTREADS</v>
      </c>
      <c r="B1016" s="3" t="str">
        <f t="shared" ref="B1016:J1016" si="368">B1010</f>
        <v>Paradox</v>
      </c>
      <c r="C1016" s="3" t="str">
        <f t="shared" si="368"/>
        <v>パラドックス</v>
      </c>
      <c r="D1016" s="3" t="str">
        <f t="shared" si="368"/>
        <v>Paradoxe</v>
      </c>
      <c r="E1016" s="3" t="str">
        <f t="shared" si="368"/>
        <v>Paradox</v>
      </c>
      <c r="F1016" s="3" t="str">
        <f t="shared" si="368"/>
        <v>Paradoja</v>
      </c>
      <c r="G1016" s="3" t="str">
        <f t="shared" si="368"/>
        <v>Paradosso</v>
      </c>
      <c r="H1016" s="3" t="str">
        <f t="shared" si="368"/>
        <v>패러독스</v>
      </c>
      <c r="I1016" s="3" t="str">
        <f t="shared" si="368"/>
        <v>悖謬</v>
      </c>
      <c r="J1016" s="3" t="str">
        <f t="shared" si="368"/>
        <v>悖谬</v>
      </c>
    </row>
    <row r="1017">
      <c r="A1017" s="5" t="str">
        <f>CONCATENATE("CATEGORY_",SUBSTITUTE(UPPER(Pokemon!B992)," ",""))</f>
        <v>CATEGORY_IRONBUNDLE</v>
      </c>
      <c r="B1017" s="3" t="str">
        <f t="shared" ref="B1017:J1017" si="369">B1010</f>
        <v>Paradox</v>
      </c>
      <c r="C1017" s="3" t="str">
        <f t="shared" si="369"/>
        <v>パラドックス</v>
      </c>
      <c r="D1017" s="3" t="str">
        <f t="shared" si="369"/>
        <v>Paradoxe</v>
      </c>
      <c r="E1017" s="3" t="str">
        <f t="shared" si="369"/>
        <v>Paradox</v>
      </c>
      <c r="F1017" s="3" t="str">
        <f t="shared" si="369"/>
        <v>Paradoja</v>
      </c>
      <c r="G1017" s="3" t="str">
        <f t="shared" si="369"/>
        <v>Paradosso</v>
      </c>
      <c r="H1017" s="3" t="str">
        <f t="shared" si="369"/>
        <v>패러독스</v>
      </c>
      <c r="I1017" s="3" t="str">
        <f t="shared" si="369"/>
        <v>悖謬</v>
      </c>
      <c r="J1017" s="3" t="str">
        <f t="shared" si="369"/>
        <v>悖谬</v>
      </c>
    </row>
    <row r="1018">
      <c r="A1018" s="5" t="str">
        <f>CONCATENATE("CATEGORY_",SUBSTITUTE(UPPER(Pokemon!B993)," ",""))</f>
        <v>CATEGORY_IRONHANDS</v>
      </c>
      <c r="B1018" s="3" t="str">
        <f t="shared" ref="B1018:J1018" si="370">B1010</f>
        <v>Paradox</v>
      </c>
      <c r="C1018" s="3" t="str">
        <f t="shared" si="370"/>
        <v>パラドックス</v>
      </c>
      <c r="D1018" s="3" t="str">
        <f t="shared" si="370"/>
        <v>Paradoxe</v>
      </c>
      <c r="E1018" s="3" t="str">
        <f t="shared" si="370"/>
        <v>Paradox</v>
      </c>
      <c r="F1018" s="3" t="str">
        <f t="shared" si="370"/>
        <v>Paradoja</v>
      </c>
      <c r="G1018" s="3" t="str">
        <f t="shared" si="370"/>
        <v>Paradosso</v>
      </c>
      <c r="H1018" s="3" t="str">
        <f t="shared" si="370"/>
        <v>패러독스</v>
      </c>
      <c r="I1018" s="3" t="str">
        <f t="shared" si="370"/>
        <v>悖謬</v>
      </c>
      <c r="J1018" s="3" t="str">
        <f t="shared" si="370"/>
        <v>悖谬</v>
      </c>
    </row>
    <row r="1019">
      <c r="A1019" s="5" t="str">
        <f>CONCATENATE("CATEGORY_",SUBSTITUTE(UPPER(Pokemon!B994)," ",""))</f>
        <v>CATEGORY_IRONJUGULIS</v>
      </c>
      <c r="B1019" s="3" t="str">
        <f t="shared" ref="B1019:J1019" si="371">B1010</f>
        <v>Paradox</v>
      </c>
      <c r="C1019" s="3" t="str">
        <f t="shared" si="371"/>
        <v>パラドックス</v>
      </c>
      <c r="D1019" s="3" t="str">
        <f t="shared" si="371"/>
        <v>Paradoxe</v>
      </c>
      <c r="E1019" s="3" t="str">
        <f t="shared" si="371"/>
        <v>Paradox</v>
      </c>
      <c r="F1019" s="3" t="str">
        <f t="shared" si="371"/>
        <v>Paradoja</v>
      </c>
      <c r="G1019" s="3" t="str">
        <f t="shared" si="371"/>
        <v>Paradosso</v>
      </c>
      <c r="H1019" s="3" t="str">
        <f t="shared" si="371"/>
        <v>패러독스</v>
      </c>
      <c r="I1019" s="3" t="str">
        <f t="shared" si="371"/>
        <v>悖謬</v>
      </c>
      <c r="J1019" s="3" t="str">
        <f t="shared" si="371"/>
        <v>悖谬</v>
      </c>
    </row>
    <row r="1020">
      <c r="A1020" s="5" t="str">
        <f>CONCATENATE("CATEGORY_",SUBSTITUTE(UPPER(Pokemon!B995)," ",""))</f>
        <v>CATEGORY_IRONMOTH</v>
      </c>
      <c r="B1020" s="3" t="str">
        <f t="shared" ref="B1020:J1020" si="372">B1010</f>
        <v>Paradox</v>
      </c>
      <c r="C1020" s="3" t="str">
        <f t="shared" si="372"/>
        <v>パラドックス</v>
      </c>
      <c r="D1020" s="3" t="str">
        <f t="shared" si="372"/>
        <v>Paradoxe</v>
      </c>
      <c r="E1020" s="3" t="str">
        <f t="shared" si="372"/>
        <v>Paradox</v>
      </c>
      <c r="F1020" s="3" t="str">
        <f t="shared" si="372"/>
        <v>Paradoja</v>
      </c>
      <c r="G1020" s="3" t="str">
        <f t="shared" si="372"/>
        <v>Paradosso</v>
      </c>
      <c r="H1020" s="3" t="str">
        <f t="shared" si="372"/>
        <v>패러독스</v>
      </c>
      <c r="I1020" s="3" t="str">
        <f t="shared" si="372"/>
        <v>悖謬</v>
      </c>
      <c r="J1020" s="3" t="str">
        <f t="shared" si="372"/>
        <v>悖谬</v>
      </c>
    </row>
    <row r="1021">
      <c r="A1021" s="5" t="str">
        <f>CONCATENATE("CATEGORY_",SUBSTITUTE(UPPER(Pokemon!B996)," ",""))</f>
        <v>CATEGORY_IRONTHORNS</v>
      </c>
      <c r="B1021" s="3" t="str">
        <f t="shared" ref="B1021:J1021" si="373">B1010</f>
        <v>Paradox</v>
      </c>
      <c r="C1021" s="3" t="str">
        <f t="shared" si="373"/>
        <v>パラドックス</v>
      </c>
      <c r="D1021" s="3" t="str">
        <f t="shared" si="373"/>
        <v>Paradoxe</v>
      </c>
      <c r="E1021" s="3" t="str">
        <f t="shared" si="373"/>
        <v>Paradox</v>
      </c>
      <c r="F1021" s="3" t="str">
        <f t="shared" si="373"/>
        <v>Paradoja</v>
      </c>
      <c r="G1021" s="3" t="str">
        <f t="shared" si="373"/>
        <v>Paradosso</v>
      </c>
      <c r="H1021" s="3" t="str">
        <f t="shared" si="373"/>
        <v>패러독스</v>
      </c>
      <c r="I1021" s="3" t="str">
        <f t="shared" si="373"/>
        <v>悖謬</v>
      </c>
      <c r="J1021" s="3" t="str">
        <f t="shared" si="373"/>
        <v>悖谬</v>
      </c>
    </row>
    <row r="1022">
      <c r="A1022" s="5" t="str">
        <f>CONCATENATE("CATEGORY_",UPPER(Pokemon!B997))</f>
        <v>CATEGORY_FRIGIBAX</v>
      </c>
      <c r="B1022" s="3" t="s">
        <v>12628</v>
      </c>
      <c r="C1022" s="3" t="s">
        <v>12629</v>
      </c>
      <c r="D1022" s="3" t="s">
        <v>12630</v>
      </c>
      <c r="E1022" s="3" t="s">
        <v>12631</v>
      </c>
      <c r="F1022" s="3" t="s">
        <v>12632</v>
      </c>
      <c r="G1022" s="3" t="s">
        <v>12633</v>
      </c>
      <c r="H1022" s="3" t="s">
        <v>12634</v>
      </c>
      <c r="I1022" s="3" t="str">
        <f>IFERROR(__xludf.DUMMYFUNCTION("GOOGLETRANSLATE(J1022,""zh_HANS"",""zh_HANT"")"),"冰鰭")</f>
        <v>冰鰭</v>
      </c>
      <c r="J1022" s="3" t="s">
        <v>12635</v>
      </c>
    </row>
    <row r="1023">
      <c r="A1023" s="5" t="str">
        <f>CONCATENATE("CATEGORY_",UPPER(Pokemon!B998))</f>
        <v>CATEGORY_ARCTIBAX</v>
      </c>
      <c r="B1023" s="5" t="str">
        <f t="shared" ref="B1023:J1023" si="374">B1022</f>
        <v>Ice Fin</v>
      </c>
      <c r="C1023" s="5" t="str">
        <f t="shared" si="374"/>
        <v>こおりビレ</v>
      </c>
      <c r="D1023" s="5" t="str">
        <f t="shared" si="374"/>
        <v>Glaçaileron</v>
      </c>
      <c r="E1023" s="5" t="str">
        <f t="shared" si="374"/>
        <v>Eisfinnen</v>
      </c>
      <c r="F1023" s="5" t="str">
        <f t="shared" si="374"/>
        <v>Aleta Hielo</v>
      </c>
      <c r="G1023" s="5" t="str">
        <f t="shared" si="374"/>
        <v>Gelopinna</v>
      </c>
      <c r="H1023" s="5" t="str">
        <f t="shared" si="374"/>
        <v>얼음지느러미</v>
      </c>
      <c r="I1023" s="5" t="str">
        <f t="shared" si="374"/>
        <v>冰鰭</v>
      </c>
      <c r="J1023" s="5" t="str">
        <f t="shared" si="374"/>
        <v>冰鳍</v>
      </c>
    </row>
    <row r="1024">
      <c r="A1024" s="5" t="str">
        <f>CONCATENATE("CATEGORY_",UPPER(Pokemon!B999))</f>
        <v>CATEGORY_BAXCALIBUR</v>
      </c>
      <c r="B1024" s="3" t="s">
        <v>12636</v>
      </c>
      <c r="C1024" s="3" t="s">
        <v>12637</v>
      </c>
      <c r="D1024" s="3" t="s">
        <v>12638</v>
      </c>
      <c r="E1024" s="3" t="s">
        <v>12639</v>
      </c>
      <c r="F1024" s="3" t="str">
        <f>CONCATENATE(F157," Hielo")</f>
        <v>Dragón Hielo</v>
      </c>
      <c r="G1024" s="3" t="s">
        <v>12640</v>
      </c>
      <c r="H1024" s="3" t="s">
        <v>12641</v>
      </c>
      <c r="I1024" s="3" t="str">
        <f>IFERROR(__xludf.DUMMYFUNCTION("GOOGLETRANSLATE(J1024,""zh_HANS"",""zh_HANT"")"),"冰龍")</f>
        <v>冰龍</v>
      </c>
      <c r="J1024" s="3" t="s">
        <v>12642</v>
      </c>
    </row>
    <row r="1025">
      <c r="A1025" s="5" t="str">
        <f>CONCATENATE("CATEGORY_",UPPER(Pokemon!B1000))</f>
        <v>CATEGORY_GIMMIGHOUL</v>
      </c>
      <c r="B1025" s="3" t="s">
        <v>12643</v>
      </c>
      <c r="C1025" s="3" t="s">
        <v>12644</v>
      </c>
      <c r="D1025" s="3" t="s">
        <v>12645</v>
      </c>
      <c r="E1025" s="3" t="s">
        <v>12646</v>
      </c>
      <c r="F1025" s="3" t="s">
        <v>12647</v>
      </c>
      <c r="G1025" s="3" t="s">
        <v>12648</v>
      </c>
      <c r="H1025" s="3" t="s">
        <v>12649</v>
      </c>
      <c r="I1025" s="3" t="str">
        <f>IFERROR(__xludf.DUMMYFUNCTION("GOOGLETRANSLATE(J1025,""zh_HANS"",""zh_HANT"")"),"寶箱")</f>
        <v>寶箱</v>
      </c>
      <c r="J1025" s="3" t="s">
        <v>12650</v>
      </c>
    </row>
    <row r="1026">
      <c r="A1026" s="5" t="str">
        <f>CONCATENATE(A1025,"-R")</f>
        <v>CATEGORY_GIMMIGHOUL-R</v>
      </c>
      <c r="B1026" s="3" t="s">
        <v>12651</v>
      </c>
      <c r="C1026" s="3" t="s">
        <v>12652</v>
      </c>
      <c r="D1026" s="3" t="s">
        <v>12653</v>
      </c>
      <c r="E1026" s="3" t="s">
        <v>12654</v>
      </c>
      <c r="F1026" s="3" t="s">
        <v>12655</v>
      </c>
      <c r="G1026" s="3" t="s">
        <v>12656</v>
      </c>
      <c r="H1026" s="3" t="str">
        <f>H1025</f>
        <v>보물상자</v>
      </c>
      <c r="I1026" s="3" t="str">
        <f>IFERROR(__xludf.DUMMYFUNCTION("GOOGLETRANSLATE(J1026,""zh_HANS"",""zh_HANT"")"),"尋寶")</f>
        <v>尋寶</v>
      </c>
      <c r="J1026" s="3" t="s">
        <v>12657</v>
      </c>
    </row>
    <row r="1027">
      <c r="A1027" s="5" t="str">
        <f>CONCATENATE("CATEGORY_",UPPER(Pokemon!B1001))</f>
        <v>CATEGORY_GHOLDENGO</v>
      </c>
      <c r="B1027" s="3" t="s">
        <v>12658</v>
      </c>
      <c r="C1027" s="3" t="s">
        <v>12659</v>
      </c>
      <c r="D1027" s="3" t="s">
        <v>12660</v>
      </c>
      <c r="E1027" s="3" t="s">
        <v>12661</v>
      </c>
      <c r="F1027" s="3" t="s">
        <v>12662</v>
      </c>
      <c r="G1027" s="3" t="s">
        <v>12662</v>
      </c>
      <c r="H1027" s="3" t="s">
        <v>12663</v>
      </c>
      <c r="I1027" s="3" t="str">
        <f>IFERROR(__xludf.DUMMYFUNCTION("GOOGLETRANSLATE(J1027,""zh_HANS"",""zh_HANT"")"),"寶者")</f>
        <v>寶者</v>
      </c>
      <c r="J1027" s="3" t="s">
        <v>12664</v>
      </c>
    </row>
    <row r="1028">
      <c r="A1028" s="5" t="str">
        <f>CONCATENATE("CATEGORY_",SUBSTITUTE(UPPER(Pokemon!B1002),"-",""))</f>
        <v>CATEGORY_WOCHIEN</v>
      </c>
      <c r="B1028" s="3" t="s">
        <v>12665</v>
      </c>
      <c r="C1028" s="3" t="s">
        <v>12666</v>
      </c>
      <c r="D1028" s="3" t="s">
        <v>12667</v>
      </c>
      <c r="E1028" s="3" t="s">
        <v>12668</v>
      </c>
      <c r="F1028" s="3" t="s">
        <v>12669</v>
      </c>
      <c r="G1028" s="3" t="s">
        <v>12670</v>
      </c>
      <c r="H1028" s="3" t="s">
        <v>12671</v>
      </c>
      <c r="I1028" s="3" t="str">
        <f>IFERROR(__xludf.DUMMYFUNCTION("GOOGLETRANSLATE(J1028,""zh_HANS"",""zh_HANT"")"),"災厄")</f>
        <v>災厄</v>
      </c>
      <c r="J1028" s="3" t="s">
        <v>12672</v>
      </c>
    </row>
    <row r="1029">
      <c r="A1029" s="5" t="str">
        <f>CONCATENATE("CATEGORY_",SUBSTITUTE(UPPER(Pokemon!B1003),"-",""))</f>
        <v>CATEGORY_CHIENPAO</v>
      </c>
      <c r="B1029" s="5" t="str">
        <f t="shared" ref="B1029:J1029" si="375">B1028</f>
        <v>Ruinous</v>
      </c>
      <c r="C1029" s="5" t="str">
        <f t="shared" si="375"/>
        <v>さいやく</v>
      </c>
      <c r="D1029" s="5" t="str">
        <f t="shared" si="375"/>
        <v>Fléau</v>
      </c>
      <c r="E1029" s="5" t="str">
        <f t="shared" si="375"/>
        <v>Unheils</v>
      </c>
      <c r="F1029" s="5" t="str">
        <f t="shared" si="375"/>
        <v>Debacle</v>
      </c>
      <c r="G1029" s="5" t="str">
        <f t="shared" si="375"/>
        <v>Disgrazia</v>
      </c>
      <c r="H1029" s="5" t="str">
        <f t="shared" si="375"/>
        <v>재액</v>
      </c>
      <c r="I1029" s="5" t="str">
        <f t="shared" si="375"/>
        <v>災厄</v>
      </c>
      <c r="J1029" s="5" t="str">
        <f t="shared" si="375"/>
        <v>灾厄</v>
      </c>
    </row>
    <row r="1030">
      <c r="A1030" s="5" t="str">
        <f>CONCATENATE("CATEGORY_",SUBSTITUTE(UPPER(Pokemon!B1004),"-",""))</f>
        <v>CATEGORY_TINGLU</v>
      </c>
      <c r="B1030" s="5" t="str">
        <f t="shared" ref="B1030:J1030" si="376">B1028</f>
        <v>Ruinous</v>
      </c>
      <c r="C1030" s="5" t="str">
        <f t="shared" si="376"/>
        <v>さいやく</v>
      </c>
      <c r="D1030" s="5" t="str">
        <f t="shared" si="376"/>
        <v>Fléau</v>
      </c>
      <c r="E1030" s="5" t="str">
        <f t="shared" si="376"/>
        <v>Unheils</v>
      </c>
      <c r="F1030" s="5" t="str">
        <f t="shared" si="376"/>
        <v>Debacle</v>
      </c>
      <c r="G1030" s="5" t="str">
        <f t="shared" si="376"/>
        <v>Disgrazia</v>
      </c>
      <c r="H1030" s="5" t="str">
        <f t="shared" si="376"/>
        <v>재액</v>
      </c>
      <c r="I1030" s="5" t="str">
        <f t="shared" si="376"/>
        <v>災厄</v>
      </c>
      <c r="J1030" s="5" t="str">
        <f t="shared" si="376"/>
        <v>灾厄</v>
      </c>
    </row>
    <row r="1031">
      <c r="A1031" s="5" t="str">
        <f>CONCATENATE("CATEGORY_",SUBSTITUTE(UPPER(Pokemon!B1005),"-",""))</f>
        <v>CATEGORY_CHIYU</v>
      </c>
      <c r="B1031" s="5" t="str">
        <f t="shared" ref="B1031:J1031" si="377">B1028</f>
        <v>Ruinous</v>
      </c>
      <c r="C1031" s="5" t="str">
        <f t="shared" si="377"/>
        <v>さいやく</v>
      </c>
      <c r="D1031" s="5" t="str">
        <f t="shared" si="377"/>
        <v>Fléau</v>
      </c>
      <c r="E1031" s="5" t="str">
        <f t="shared" si="377"/>
        <v>Unheils</v>
      </c>
      <c r="F1031" s="5" t="str">
        <f t="shared" si="377"/>
        <v>Debacle</v>
      </c>
      <c r="G1031" s="5" t="str">
        <f t="shared" si="377"/>
        <v>Disgrazia</v>
      </c>
      <c r="H1031" s="5" t="str">
        <f t="shared" si="377"/>
        <v>재액</v>
      </c>
      <c r="I1031" s="5" t="str">
        <f t="shared" si="377"/>
        <v>災厄</v>
      </c>
      <c r="J1031" s="5" t="str">
        <f t="shared" si="377"/>
        <v>灾厄</v>
      </c>
    </row>
    <row r="1032">
      <c r="A1032" s="5" t="str">
        <f>CONCATENATE("CATEGORY_",SUBSTITUTE(UPPER(Pokemon!B1006)," ",""))</f>
        <v>CATEGORY_ROARINGMOON</v>
      </c>
      <c r="B1032" s="3" t="str">
        <f t="shared" ref="B1032:J1032" si="378">B1010</f>
        <v>Paradox</v>
      </c>
      <c r="C1032" s="3" t="str">
        <f t="shared" si="378"/>
        <v>パラドックス</v>
      </c>
      <c r="D1032" s="3" t="str">
        <f t="shared" si="378"/>
        <v>Paradoxe</v>
      </c>
      <c r="E1032" s="3" t="str">
        <f t="shared" si="378"/>
        <v>Paradox</v>
      </c>
      <c r="F1032" s="3" t="str">
        <f t="shared" si="378"/>
        <v>Paradoja</v>
      </c>
      <c r="G1032" s="3" t="str">
        <f t="shared" si="378"/>
        <v>Paradosso</v>
      </c>
      <c r="H1032" s="3" t="str">
        <f t="shared" si="378"/>
        <v>패러독스</v>
      </c>
      <c r="I1032" s="3" t="str">
        <f t="shared" si="378"/>
        <v>悖謬</v>
      </c>
      <c r="J1032" s="3" t="str">
        <f t="shared" si="378"/>
        <v>悖谬</v>
      </c>
    </row>
    <row r="1033">
      <c r="A1033" s="5" t="str">
        <f>CONCATENATE("CATEGORY_",SUBSTITUTE(UPPER(Pokemon!B1007)," ",""))</f>
        <v>CATEGORY_IRONVALIANT</v>
      </c>
      <c r="B1033" s="3" t="str">
        <f t="shared" ref="B1033:J1033" si="379">B1010</f>
        <v>Paradox</v>
      </c>
      <c r="C1033" s="3" t="str">
        <f t="shared" si="379"/>
        <v>パラドックス</v>
      </c>
      <c r="D1033" s="3" t="str">
        <f t="shared" si="379"/>
        <v>Paradoxe</v>
      </c>
      <c r="E1033" s="3" t="str">
        <f t="shared" si="379"/>
        <v>Paradox</v>
      </c>
      <c r="F1033" s="3" t="str">
        <f t="shared" si="379"/>
        <v>Paradoja</v>
      </c>
      <c r="G1033" s="3" t="str">
        <f t="shared" si="379"/>
        <v>Paradosso</v>
      </c>
      <c r="H1033" s="3" t="str">
        <f t="shared" si="379"/>
        <v>패러독스</v>
      </c>
      <c r="I1033" s="3" t="str">
        <f t="shared" si="379"/>
        <v>悖謬</v>
      </c>
      <c r="J1033" s="3" t="str">
        <f t="shared" si="379"/>
        <v>悖谬</v>
      </c>
    </row>
    <row r="1034">
      <c r="A1034" s="5" t="str">
        <f>CONCATENATE("CATEGORY_",UPPER(Pokemon!B1008))</f>
        <v>CATEGORY_KORAIDON</v>
      </c>
      <c r="B1034" s="3" t="str">
        <f t="shared" ref="B1034:J1034" si="380">B1012</f>
        <v>Paradox</v>
      </c>
      <c r="C1034" s="3" t="str">
        <f t="shared" si="380"/>
        <v>パラドックス</v>
      </c>
      <c r="D1034" s="3" t="str">
        <f t="shared" si="380"/>
        <v>Paradoxe</v>
      </c>
      <c r="E1034" s="3" t="str">
        <f t="shared" si="380"/>
        <v>Paradox</v>
      </c>
      <c r="F1034" s="3" t="str">
        <f t="shared" si="380"/>
        <v>Paradoja</v>
      </c>
      <c r="G1034" s="3" t="str">
        <f t="shared" si="380"/>
        <v>Paradosso</v>
      </c>
      <c r="H1034" s="3" t="str">
        <f t="shared" si="380"/>
        <v>패러독스</v>
      </c>
      <c r="I1034" s="3" t="str">
        <f t="shared" si="380"/>
        <v>悖謬</v>
      </c>
      <c r="J1034" s="3" t="str">
        <f t="shared" si="380"/>
        <v>悖谬</v>
      </c>
    </row>
    <row r="1035">
      <c r="A1035" s="5" t="str">
        <f>CONCATENATE("CATEGORY_",UPPER(Pokemon!B1009))</f>
        <v>CATEGORY_MIRAIDON</v>
      </c>
      <c r="B1035" s="3" t="str">
        <f t="shared" ref="B1035:J1035" si="381">B1013</f>
        <v>Paradox</v>
      </c>
      <c r="C1035" s="3" t="str">
        <f t="shared" si="381"/>
        <v>パラドックス</v>
      </c>
      <c r="D1035" s="3" t="str">
        <f t="shared" si="381"/>
        <v>Paradoxe</v>
      </c>
      <c r="E1035" s="3" t="str">
        <f t="shared" si="381"/>
        <v>Paradox</v>
      </c>
      <c r="F1035" s="3" t="str">
        <f t="shared" si="381"/>
        <v>Paradoja</v>
      </c>
      <c r="G1035" s="3" t="str">
        <f t="shared" si="381"/>
        <v>Paradosso</v>
      </c>
      <c r="H1035" s="3" t="str">
        <f t="shared" si="381"/>
        <v>패러독스</v>
      </c>
      <c r="I1035" s="3" t="str">
        <f t="shared" si="381"/>
        <v>悖謬</v>
      </c>
      <c r="J1035" s="3" t="str">
        <f t="shared" si="381"/>
        <v>悖谬</v>
      </c>
    </row>
    <row r="1036">
      <c r="A1036" s="5" t="str">
        <f>CONCATENATE("CATEGORY_",SUBSTITUTE(UPPER(Pokemon!B1010)," ",""))</f>
        <v>CATEGORY_WALKINGWAKE</v>
      </c>
      <c r="B1036" s="3" t="str">
        <f t="shared" ref="B1036:J1036" si="382">B1010</f>
        <v>Paradox</v>
      </c>
      <c r="C1036" s="3" t="str">
        <f t="shared" si="382"/>
        <v>パラドックス</v>
      </c>
      <c r="D1036" s="3" t="str">
        <f t="shared" si="382"/>
        <v>Paradoxe</v>
      </c>
      <c r="E1036" s="3" t="str">
        <f t="shared" si="382"/>
        <v>Paradox</v>
      </c>
      <c r="F1036" s="3" t="str">
        <f t="shared" si="382"/>
        <v>Paradoja</v>
      </c>
      <c r="G1036" s="3" t="str">
        <f t="shared" si="382"/>
        <v>Paradosso</v>
      </c>
      <c r="H1036" s="3" t="str">
        <f t="shared" si="382"/>
        <v>패러독스</v>
      </c>
      <c r="I1036" s="3" t="str">
        <f t="shared" si="382"/>
        <v>悖謬</v>
      </c>
      <c r="J1036" s="3" t="str">
        <f t="shared" si="382"/>
        <v>悖谬</v>
      </c>
    </row>
    <row r="1037">
      <c r="A1037" s="5" t="str">
        <f>CONCATENATE("CATEGORY_",SUBSTITUTE(UPPER(Pokemon!B1011)," ",""))</f>
        <v>CATEGORY_IRONLEAVES</v>
      </c>
      <c r="B1037" s="3" t="str">
        <f t="shared" ref="B1037:J1037" si="383">B1010</f>
        <v>Paradox</v>
      </c>
      <c r="C1037" s="3" t="str">
        <f t="shared" si="383"/>
        <v>パラドックス</v>
      </c>
      <c r="D1037" s="3" t="str">
        <f t="shared" si="383"/>
        <v>Paradoxe</v>
      </c>
      <c r="E1037" s="3" t="str">
        <f t="shared" si="383"/>
        <v>Paradox</v>
      </c>
      <c r="F1037" s="3" t="str">
        <f t="shared" si="383"/>
        <v>Paradoja</v>
      </c>
      <c r="G1037" s="3" t="str">
        <f t="shared" si="383"/>
        <v>Paradosso</v>
      </c>
      <c r="H1037" s="3" t="str">
        <f t="shared" si="383"/>
        <v>패러독스</v>
      </c>
      <c r="I1037" s="3" t="str">
        <f t="shared" si="383"/>
        <v>悖謬</v>
      </c>
      <c r="J1037" s="3" t="str">
        <f t="shared" si="383"/>
        <v>悖谬</v>
      </c>
    </row>
    <row r="1038">
      <c r="A1038" s="5" t="str">
        <f>CONCATENATE("CATEGORY_",SUBSTITUTE(UPPER(Pokemon!B1012)," ",""))</f>
        <v>CATEGORY_DIPPLIN</v>
      </c>
      <c r="B1038" s="3" t="s">
        <v>12673</v>
      </c>
      <c r="C1038" s="3" t="s">
        <v>12674</v>
      </c>
      <c r="D1038" s="3" t="s">
        <v>12675</v>
      </c>
      <c r="E1038" s="3" t="s">
        <v>12676</v>
      </c>
      <c r="F1038" s="3" t="s">
        <v>12677</v>
      </c>
      <c r="G1038" s="3" t="s">
        <v>12678</v>
      </c>
      <c r="H1038" s="3" t="s">
        <v>12679</v>
      </c>
      <c r="I1038" s="3" t="str">
        <f>IFERROR(__xludf.DUMMYFUNCTION("GOOGLETRANSLATE(J1038,""zh_HANS"",""zh_HANT"")"),"糖蘋果")</f>
        <v>糖蘋果</v>
      </c>
      <c r="J1038" s="3" t="s">
        <v>12680</v>
      </c>
    </row>
    <row r="1039">
      <c r="A1039" s="5" t="str">
        <f>CONCATENATE("CATEGORY_",SUBSTITUTE(UPPER(Pokemon!B1013)," ",""))</f>
        <v>CATEGORY_POLTCHAGEIST</v>
      </c>
      <c r="B1039" s="3" t="s">
        <v>12681</v>
      </c>
      <c r="C1039" s="3" t="s">
        <v>12682</v>
      </c>
      <c r="D1039" s="3" t="str">
        <f>B1039</f>
        <v>Matcha</v>
      </c>
      <c r="E1039" s="3" t="str">
        <f>B1039</f>
        <v>Matcha</v>
      </c>
      <c r="F1039" s="3" t="str">
        <f>B1039</f>
        <v>Matcha</v>
      </c>
      <c r="G1039" s="3" t="str">
        <f>B1039</f>
        <v>Matcha</v>
      </c>
      <c r="H1039" s="3" t="s">
        <v>12683</v>
      </c>
      <c r="I1039" s="3" t="str">
        <f>J1039</f>
        <v>抹茶</v>
      </c>
      <c r="J1039" s="3" t="s">
        <v>12684</v>
      </c>
    </row>
    <row r="1040">
      <c r="A1040" s="5" t="str">
        <f>CONCATENATE("CATEGORY_",SUBSTITUTE(UPPER(Pokemon!B1014)," ",""))</f>
        <v>CATEGORY_SINISTCHA</v>
      </c>
      <c r="B1040" s="3" t="str">
        <f t="shared" ref="B1040:J1040" si="384">B1039</f>
        <v>Matcha</v>
      </c>
      <c r="C1040" s="3" t="str">
        <f t="shared" si="384"/>
        <v>まっちゃ</v>
      </c>
      <c r="D1040" s="3" t="str">
        <f t="shared" si="384"/>
        <v>Matcha</v>
      </c>
      <c r="E1040" s="3" t="str">
        <f t="shared" si="384"/>
        <v>Matcha</v>
      </c>
      <c r="F1040" s="3" t="str">
        <f t="shared" si="384"/>
        <v>Matcha</v>
      </c>
      <c r="G1040" s="3" t="str">
        <f t="shared" si="384"/>
        <v>Matcha</v>
      </c>
      <c r="H1040" s="3" t="str">
        <f t="shared" si="384"/>
        <v>말차</v>
      </c>
      <c r="I1040" s="3" t="str">
        <f t="shared" si="384"/>
        <v>抹茶</v>
      </c>
      <c r="J1040" s="3" t="str">
        <f t="shared" si="384"/>
        <v>抹茶</v>
      </c>
    </row>
    <row r="1041">
      <c r="A1041" s="5" t="str">
        <f>CONCATENATE("CATEGORY_",SUBSTITUTE(UPPER(Pokemon!B1015)," ",""))</f>
        <v>CATEGORY_OKIDOGI</v>
      </c>
      <c r="B1041" s="3" t="s">
        <v>12685</v>
      </c>
      <c r="C1041" s="3" t="s">
        <v>12686</v>
      </c>
      <c r="D1041" s="3" t="s">
        <v>12687</v>
      </c>
      <c r="E1041" s="3" t="s">
        <v>12688</v>
      </c>
      <c r="F1041" s="3" t="s">
        <v>12689</v>
      </c>
      <c r="G1041" s="3" t="s">
        <v>12690</v>
      </c>
      <c r="H1041" s="3" t="s">
        <v>12691</v>
      </c>
      <c r="I1041" s="3" t="str">
        <f>IFERROR(__xludf.DUMMYFUNCTION("GOOGLETRANSLATE(J1041,""zh_HANS"",""zh_HANT"")"),"隨從")</f>
        <v>隨從</v>
      </c>
      <c r="J1041" s="3" t="s">
        <v>12692</v>
      </c>
    </row>
    <row r="1042">
      <c r="A1042" s="5" t="str">
        <f>CONCATENATE("CATEGORY_",SUBSTITUTE(UPPER(Pokemon!B1016)," ",""))</f>
        <v>CATEGORY_MUNKIDORI</v>
      </c>
      <c r="B1042" s="3" t="str">
        <f t="shared" ref="B1042:J1042" si="385">B1041</f>
        <v>Retainer</v>
      </c>
      <c r="C1042" s="3" t="str">
        <f t="shared" si="385"/>
        <v>けらい</v>
      </c>
      <c r="D1042" s="3" t="str">
        <f t="shared" si="385"/>
        <v>Serviteur</v>
      </c>
      <c r="E1042" s="3" t="str">
        <f t="shared" si="385"/>
        <v>Lakaien</v>
      </c>
      <c r="F1042" s="3" t="str">
        <f t="shared" si="385"/>
        <v>Esbirro</v>
      </c>
      <c r="G1042" s="3" t="str">
        <f t="shared" si="385"/>
        <v>Servo</v>
      </c>
      <c r="H1042" s="3" t="str">
        <f t="shared" si="385"/>
        <v>수하</v>
      </c>
      <c r="I1042" s="3" t="str">
        <f t="shared" si="385"/>
        <v>隨從</v>
      </c>
      <c r="J1042" s="3" t="str">
        <f t="shared" si="385"/>
        <v>随从</v>
      </c>
    </row>
    <row r="1043">
      <c r="A1043" s="5" t="str">
        <f>CONCATENATE("CATEGORY_",SUBSTITUTE(UPPER(Pokemon!B1017)," ",""))</f>
        <v>CATEGORY_FEZANDIPITI</v>
      </c>
      <c r="B1043" s="3" t="str">
        <f t="shared" ref="B1043:J1043" si="386">B1041</f>
        <v>Retainer</v>
      </c>
      <c r="C1043" s="3" t="str">
        <f t="shared" si="386"/>
        <v>けらい</v>
      </c>
      <c r="D1043" s="3" t="str">
        <f t="shared" si="386"/>
        <v>Serviteur</v>
      </c>
      <c r="E1043" s="3" t="str">
        <f t="shared" si="386"/>
        <v>Lakaien</v>
      </c>
      <c r="F1043" s="3" t="str">
        <f t="shared" si="386"/>
        <v>Esbirro</v>
      </c>
      <c r="G1043" s="3" t="str">
        <f t="shared" si="386"/>
        <v>Servo</v>
      </c>
      <c r="H1043" s="3" t="str">
        <f t="shared" si="386"/>
        <v>수하</v>
      </c>
      <c r="I1043" s="3" t="str">
        <f t="shared" si="386"/>
        <v>隨從</v>
      </c>
      <c r="J1043" s="3" t="str">
        <f t="shared" si="386"/>
        <v>随从</v>
      </c>
    </row>
    <row r="1044">
      <c r="A1044" s="5" t="str">
        <f>CONCATENATE("CATEGORY_",SUBSTITUTE(UPPER(Pokemon!B1018)," ",""))</f>
        <v>CATEGORY_OGERPON</v>
      </c>
      <c r="B1044" s="3" t="s">
        <v>12693</v>
      </c>
      <c r="C1044" s="3" t="s">
        <v>12694</v>
      </c>
      <c r="D1044" s="3" t="s">
        <v>12695</v>
      </c>
      <c r="E1044" s="3" t="str">
        <f>CONCATENATE(B1044,"en")</f>
        <v>Masken</v>
      </c>
      <c r="F1044" s="3" t="s">
        <v>12696</v>
      </c>
      <c r="G1044" s="3" t="s">
        <v>12697</v>
      </c>
      <c r="H1044" s="3" t="s">
        <v>12698</v>
      </c>
      <c r="I1044" s="3" t="s">
        <v>12699</v>
      </c>
      <c r="J1044" s="5" t="str">
        <f>I1044</f>
        <v>面具</v>
      </c>
    </row>
    <row r="1045">
      <c r="A1045" s="5" t="str">
        <f>CONCATENATE("CATEGORY_",SUBSTITUTE(UPPER(Pokemon!B1019)," ",""))</f>
        <v>CATEGORY_ARCHALUDON</v>
      </c>
      <c r="B1045" s="3" t="str">
        <f t="shared" ref="B1045:J1045" si="387">B907</f>
        <v>Alloy</v>
      </c>
      <c r="C1045" s="3" t="str">
        <f t="shared" si="387"/>
        <v>ごうきん</v>
      </c>
      <c r="D1045" s="3" t="str">
        <f t="shared" si="387"/>
        <v>Alliage</v>
      </c>
      <c r="E1045" s="3" t="str">
        <f t="shared" si="387"/>
        <v>Legierungs</v>
      </c>
      <c r="F1045" s="3" t="str">
        <f t="shared" si="387"/>
        <v>Aleación</v>
      </c>
      <c r="G1045" s="3" t="str">
        <f t="shared" si="387"/>
        <v>Metallolega</v>
      </c>
      <c r="H1045" s="3" t="str">
        <f t="shared" si="387"/>
        <v>합금</v>
      </c>
      <c r="I1045" s="3" t="str">
        <f t="shared" si="387"/>
        <v>合金</v>
      </c>
      <c r="J1045" s="3" t="str">
        <f t="shared" si="387"/>
        <v>合金</v>
      </c>
    </row>
    <row r="1046">
      <c r="A1046" s="5" t="str">
        <f>CONCATENATE("CATEGORY_",SUBSTITUTE(UPPER(Pokemon!B1020)," ",""))</f>
        <v>CATEGORY_HYDRAPPLE</v>
      </c>
      <c r="B1046" s="3" t="s">
        <v>12700</v>
      </c>
      <c r="C1046" s="3" t="s">
        <v>12701</v>
      </c>
      <c r="D1046" s="3" t="s">
        <v>12702</v>
      </c>
      <c r="E1046" s="3" t="s">
        <v>12703</v>
      </c>
      <c r="F1046" s="3" t="s">
        <v>12704</v>
      </c>
      <c r="G1046" s="3" t="s">
        <v>12705</v>
      </c>
      <c r="H1046" s="3" t="s">
        <v>12706</v>
      </c>
      <c r="I1046" s="3" t="str">
        <f>IFERROR(__xludf.DUMMYFUNCTION("GOOGLETRANSLATE(J1046,""zh_HANS"",""zh_HANT"")"),"糖青蘋果")</f>
        <v>糖青蘋果</v>
      </c>
      <c r="J1046" s="3" t="s">
        <v>12707</v>
      </c>
    </row>
    <row r="1047">
      <c r="A1047" s="5" t="str">
        <f>CONCATENATE("CATEGORY_",SUBSTITUTE(UPPER(Pokemon!B1021)," ",""))</f>
        <v>CATEGORY_GOUGINGFIRE</v>
      </c>
      <c r="B1047" s="3" t="str">
        <f t="shared" ref="B1047:J1047" si="388">B1013</f>
        <v>Paradox</v>
      </c>
      <c r="C1047" s="3" t="str">
        <f t="shared" si="388"/>
        <v>パラドックス</v>
      </c>
      <c r="D1047" s="3" t="str">
        <f t="shared" si="388"/>
        <v>Paradoxe</v>
      </c>
      <c r="E1047" s="3" t="str">
        <f t="shared" si="388"/>
        <v>Paradox</v>
      </c>
      <c r="F1047" s="3" t="str">
        <f t="shared" si="388"/>
        <v>Paradoja</v>
      </c>
      <c r="G1047" s="3" t="str">
        <f t="shared" si="388"/>
        <v>Paradosso</v>
      </c>
      <c r="H1047" s="3" t="str">
        <f t="shared" si="388"/>
        <v>패러독스</v>
      </c>
      <c r="I1047" s="3" t="str">
        <f t="shared" si="388"/>
        <v>悖謬</v>
      </c>
      <c r="J1047" s="3" t="str">
        <f t="shared" si="388"/>
        <v>悖谬</v>
      </c>
    </row>
    <row r="1048">
      <c r="A1048" s="5" t="str">
        <f>CONCATENATE("CATEGORY_",SUBSTITUTE(UPPER(Pokemon!B1022)," ",""))</f>
        <v>CATEGORY_RAGINGBOLT</v>
      </c>
      <c r="B1048" s="5" t="str">
        <f t="shared" ref="B1048:J1048" si="389">B1013</f>
        <v>Paradox</v>
      </c>
      <c r="C1048" s="5" t="str">
        <f t="shared" si="389"/>
        <v>パラドックス</v>
      </c>
      <c r="D1048" s="5" t="str">
        <f t="shared" si="389"/>
        <v>Paradoxe</v>
      </c>
      <c r="E1048" s="5" t="str">
        <f t="shared" si="389"/>
        <v>Paradox</v>
      </c>
      <c r="F1048" s="5" t="str">
        <f t="shared" si="389"/>
        <v>Paradoja</v>
      </c>
      <c r="G1048" s="5" t="str">
        <f t="shared" si="389"/>
        <v>Paradosso</v>
      </c>
      <c r="H1048" s="5" t="str">
        <f t="shared" si="389"/>
        <v>패러독스</v>
      </c>
      <c r="I1048" s="5" t="str">
        <f t="shared" si="389"/>
        <v>悖謬</v>
      </c>
      <c r="J1048" s="5" t="str">
        <f t="shared" si="389"/>
        <v>悖谬</v>
      </c>
    </row>
    <row r="1049">
      <c r="A1049" s="5" t="str">
        <f>CONCATENATE("CATEGORY_",SUBSTITUTE(UPPER(Pokemon!B1023)," ",""))</f>
        <v>CATEGORY_IRONBOULDER</v>
      </c>
      <c r="B1049" s="3" t="str">
        <f t="shared" ref="B1049:J1049" si="390">B1013</f>
        <v>Paradox</v>
      </c>
      <c r="C1049" s="3" t="str">
        <f t="shared" si="390"/>
        <v>パラドックス</v>
      </c>
      <c r="D1049" s="3" t="str">
        <f t="shared" si="390"/>
        <v>Paradoxe</v>
      </c>
      <c r="E1049" s="3" t="str">
        <f t="shared" si="390"/>
        <v>Paradox</v>
      </c>
      <c r="F1049" s="3" t="str">
        <f t="shared" si="390"/>
        <v>Paradoja</v>
      </c>
      <c r="G1049" s="3" t="str">
        <f t="shared" si="390"/>
        <v>Paradosso</v>
      </c>
      <c r="H1049" s="3" t="str">
        <f t="shared" si="390"/>
        <v>패러독스</v>
      </c>
      <c r="I1049" s="3" t="str">
        <f t="shared" si="390"/>
        <v>悖謬</v>
      </c>
      <c r="J1049" s="3" t="str">
        <f t="shared" si="390"/>
        <v>悖谬</v>
      </c>
    </row>
    <row r="1050">
      <c r="A1050" s="5" t="str">
        <f>CONCATENATE("CATEGORY_",SUBSTITUTE(UPPER(Pokemon!B1024)," ",""))</f>
        <v>CATEGORY_IRONCROWN</v>
      </c>
      <c r="B1050" s="3" t="str">
        <f t="shared" ref="B1050:J1050" si="391">B1013</f>
        <v>Paradox</v>
      </c>
      <c r="C1050" s="3" t="str">
        <f t="shared" si="391"/>
        <v>パラドックス</v>
      </c>
      <c r="D1050" s="3" t="str">
        <f t="shared" si="391"/>
        <v>Paradoxe</v>
      </c>
      <c r="E1050" s="3" t="str">
        <f t="shared" si="391"/>
        <v>Paradox</v>
      </c>
      <c r="F1050" s="3" t="str">
        <f t="shared" si="391"/>
        <v>Paradoja</v>
      </c>
      <c r="G1050" s="3" t="str">
        <f t="shared" si="391"/>
        <v>Paradosso</v>
      </c>
      <c r="H1050" s="3" t="str">
        <f t="shared" si="391"/>
        <v>패러독스</v>
      </c>
      <c r="I1050" s="3" t="str">
        <f t="shared" si="391"/>
        <v>悖謬</v>
      </c>
      <c r="J1050" s="3" t="str">
        <f t="shared" si="391"/>
        <v>悖谬</v>
      </c>
    </row>
    <row r="1051">
      <c r="A1051" s="5" t="str">
        <f>CONCATENATE("CATEGORY_",SUBSTITUTE(UPPER(Pokemon!B1025)," ",""))</f>
        <v>CATEGORY_TERAPAGOS</v>
      </c>
      <c r="B1051" s="3" t="s">
        <v>12708</v>
      </c>
      <c r="C1051" s="3" t="s">
        <v>12709</v>
      </c>
      <c r="D1051" s="3" t="s">
        <v>12710</v>
      </c>
      <c r="E1051" s="3" t="s">
        <v>12711</v>
      </c>
      <c r="F1051" s="3" t="s">
        <v>12712</v>
      </c>
      <c r="G1051" s="3" t="str">
        <f>F1051</f>
        <v>Teracristal</v>
      </c>
      <c r="H1051" s="3" t="s">
        <v>12713</v>
      </c>
      <c r="I1051" s="3" t="s">
        <v>12714</v>
      </c>
      <c r="J1051" s="3" t="str">
        <f t="shared" ref="J1051:J1052" si="392">I1051</f>
        <v>太晶</v>
      </c>
    </row>
    <row r="1052">
      <c r="A1052" s="5" t="str">
        <f>CONCATENATE("CATEGORY_",SUBSTITUTE(UPPER(Pokemon!B1026)," ",""))</f>
        <v>CATEGORY_PECHARUNT</v>
      </c>
      <c r="B1052" s="3" t="s">
        <v>12715</v>
      </c>
      <c r="C1052" s="3" t="s">
        <v>12716</v>
      </c>
      <c r="D1052" s="3" t="s">
        <v>12717</v>
      </c>
      <c r="E1052" s="3" t="s">
        <v>12718</v>
      </c>
      <c r="F1052" s="3" t="s">
        <v>12719</v>
      </c>
      <c r="G1052" s="3" t="s">
        <v>12720</v>
      </c>
      <c r="H1052" s="3" t="s">
        <v>12721</v>
      </c>
      <c r="I1052" s="3" t="s">
        <v>12722</v>
      </c>
      <c r="J1052" s="3" t="str">
        <f t="shared" si="392"/>
        <v>支配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38"/>
    <col customWidth="1" min="8" max="8" width="6.75"/>
    <col customWidth="1" min="9" max="9" width="8.88"/>
    <col customWidth="1" min="10" max="10" width="8.75"/>
  </cols>
  <sheetData>
    <row r="1">
      <c r="A1" s="2" t="str">
        <f>Pokemon!A1</f>
        <v>keys</v>
      </c>
      <c r="B1" s="2" t="str">
        <f>Pokemon!B1</f>
        <v>en</v>
      </c>
      <c r="C1" s="2" t="str">
        <f>Pokemon!C1</f>
        <v>ja</v>
      </c>
      <c r="D1" s="2" t="str">
        <f>Pokemon!D1</f>
        <v>fr</v>
      </c>
      <c r="E1" s="2" t="str">
        <f>Pokemon!E1</f>
        <v>de</v>
      </c>
      <c r="F1" s="2" t="str">
        <f>Pokemon!F1</f>
        <v>es</v>
      </c>
      <c r="G1" s="2" t="str">
        <f>Pokemon!G1</f>
        <v>it</v>
      </c>
      <c r="H1" s="2" t="str">
        <f>Pokemon!H1</f>
        <v>ko</v>
      </c>
      <c r="I1" s="2" t="str">
        <f>Pokemon!I1</f>
        <v>zh_HK</v>
      </c>
      <c r="J1" s="2" t="str">
        <f>Pokemon!J1</f>
        <v>zh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 t="shared" ref="A2:A20" si="1">CONCATENATE("NAME_TYPE_", UPPER(B2))</f>
        <v>NAME_TYPE_NORMAL</v>
      </c>
      <c r="B2" s="3" t="s">
        <v>12723</v>
      </c>
      <c r="C2" s="3" t="s">
        <v>12724</v>
      </c>
      <c r="D2" s="5" t="str">
        <f>B2</f>
        <v>Normal</v>
      </c>
      <c r="E2" s="5" t="str">
        <f>B2</f>
        <v>Normal</v>
      </c>
      <c r="F2" s="5" t="str">
        <f>B2</f>
        <v>Normal</v>
      </c>
      <c r="G2" s="3" t="s">
        <v>6497</v>
      </c>
      <c r="H2" s="3" t="s">
        <v>12725</v>
      </c>
      <c r="I2" s="5" t="str">
        <f>J2</f>
        <v>一般</v>
      </c>
      <c r="J2" s="3" t="s">
        <v>12726</v>
      </c>
    </row>
    <row r="3">
      <c r="A3" s="5" t="str">
        <f t="shared" si="1"/>
        <v>NAME_TYPE_FIGHTING</v>
      </c>
      <c r="B3" s="3" t="s">
        <v>12727</v>
      </c>
      <c r="C3" s="3" t="s">
        <v>12728</v>
      </c>
      <c r="D3" s="3" t="s">
        <v>12729</v>
      </c>
      <c r="E3" s="3" t="s">
        <v>12730</v>
      </c>
      <c r="F3" s="3" t="s">
        <v>12731</v>
      </c>
      <c r="G3" s="3" t="s">
        <v>12732</v>
      </c>
      <c r="H3" s="3" t="s">
        <v>12733</v>
      </c>
      <c r="I3" s="5" t="str">
        <f>IFERROR(__xludf.DUMMYFUNCTION("GOOGLETRANSLATE(J3,""zh_HANS"",""zh_HANT"")"),"格鬥")</f>
        <v>格鬥</v>
      </c>
      <c r="J3" s="3" t="s">
        <v>12734</v>
      </c>
    </row>
    <row r="4">
      <c r="A4" s="5" t="str">
        <f t="shared" si="1"/>
        <v>NAME_TYPE_FLYING</v>
      </c>
      <c r="B4" s="3" t="s">
        <v>12735</v>
      </c>
      <c r="C4" s="3" t="s">
        <v>12736</v>
      </c>
      <c r="D4" s="3" t="s">
        <v>12737</v>
      </c>
      <c r="E4" s="3" t="s">
        <v>12738</v>
      </c>
      <c r="F4" s="3" t="s">
        <v>12739</v>
      </c>
      <c r="G4" s="3" t="s">
        <v>12740</v>
      </c>
      <c r="H4" s="3" t="s">
        <v>12741</v>
      </c>
      <c r="I4" s="5" t="str">
        <f>IFERROR(__xludf.DUMMYFUNCTION("GOOGLETRANSLATE(J4,""zh_HANS"",""zh_HANT"")"),"飛行")</f>
        <v>飛行</v>
      </c>
      <c r="J4" s="3" t="s">
        <v>12742</v>
      </c>
    </row>
    <row r="5">
      <c r="A5" s="5" t="str">
        <f t="shared" si="1"/>
        <v>NAME_TYPE_POISON</v>
      </c>
      <c r="B5" s="3" t="s">
        <v>12743</v>
      </c>
      <c r="C5" s="3" t="s">
        <v>12744</v>
      </c>
      <c r="D5" s="5" t="str">
        <f>B5</f>
        <v>Poison</v>
      </c>
      <c r="E5" s="3" t="s">
        <v>12745</v>
      </c>
      <c r="F5" s="3" t="s">
        <v>12746</v>
      </c>
      <c r="G5" s="3" t="s">
        <v>12747</v>
      </c>
      <c r="H5" s="3" t="s">
        <v>12748</v>
      </c>
      <c r="I5" s="5" t="str">
        <f t="shared" ref="I5:I7" si="2">J5</f>
        <v>毒</v>
      </c>
      <c r="J5" s="3" t="s">
        <v>12749</v>
      </c>
    </row>
    <row r="6">
      <c r="A6" s="5" t="str">
        <f t="shared" si="1"/>
        <v>NAME_TYPE_GROUND</v>
      </c>
      <c r="B6" s="3" t="s">
        <v>12750</v>
      </c>
      <c r="C6" s="3" t="s">
        <v>12751</v>
      </c>
      <c r="D6" s="3" t="s">
        <v>8251</v>
      </c>
      <c r="E6" s="3" t="s">
        <v>12752</v>
      </c>
      <c r="F6" s="3" t="s">
        <v>12753</v>
      </c>
      <c r="G6" s="3" t="s">
        <v>12754</v>
      </c>
      <c r="H6" s="3" t="s">
        <v>12755</v>
      </c>
      <c r="I6" s="5" t="str">
        <f t="shared" si="2"/>
        <v>地面</v>
      </c>
      <c r="J6" s="3" t="s">
        <v>12756</v>
      </c>
    </row>
    <row r="7">
      <c r="A7" s="5" t="str">
        <f t="shared" si="1"/>
        <v>NAME_TYPE_ROCK</v>
      </c>
      <c r="B7" s="3" t="s">
        <v>12757</v>
      </c>
      <c r="C7" s="3" t="s">
        <v>12758</v>
      </c>
      <c r="D7" s="3" t="s">
        <v>12759</v>
      </c>
      <c r="E7" s="3" t="s">
        <v>12760</v>
      </c>
      <c r="F7" s="3" t="s">
        <v>12761</v>
      </c>
      <c r="G7" s="3" t="s">
        <v>12762</v>
      </c>
      <c r="H7" s="3" t="s">
        <v>12763</v>
      </c>
      <c r="I7" s="5" t="str">
        <f t="shared" si="2"/>
        <v>岩石</v>
      </c>
      <c r="J7" s="7" t="s">
        <v>12764</v>
      </c>
    </row>
    <row r="8">
      <c r="A8" s="5" t="str">
        <f t="shared" si="1"/>
        <v>NAME_TYPE_BUG</v>
      </c>
      <c r="B8" s="3" t="s">
        <v>12765</v>
      </c>
      <c r="C8" s="3" t="s">
        <v>12766</v>
      </c>
      <c r="D8" s="3" t="s">
        <v>12767</v>
      </c>
      <c r="E8" s="3" t="s">
        <v>12768</v>
      </c>
      <c r="F8" s="3" t="s">
        <v>12769</v>
      </c>
      <c r="G8" s="3" t="s">
        <v>12770</v>
      </c>
      <c r="H8" s="3" t="s">
        <v>12771</v>
      </c>
      <c r="I8" s="15" t="str">
        <f>IFERROR(__xludf.DUMMYFUNCTION("GOOGLETRANSLATE(J8,""zh_HANS"",""zh_HANT"")"),"蟲")</f>
        <v>蟲</v>
      </c>
      <c r="J8" s="7" t="s">
        <v>12772</v>
      </c>
    </row>
    <row r="9">
      <c r="A9" s="5" t="str">
        <f t="shared" si="1"/>
        <v>NAME_TYPE_GHOST</v>
      </c>
      <c r="B9" s="3" t="s">
        <v>12773</v>
      </c>
      <c r="C9" s="3" t="s">
        <v>524</v>
      </c>
      <c r="D9" s="3" t="s">
        <v>12774</v>
      </c>
      <c r="E9" s="3" t="s">
        <v>12775</v>
      </c>
      <c r="F9" s="3" t="s">
        <v>12776</v>
      </c>
      <c r="G9" s="3" t="s">
        <v>12777</v>
      </c>
      <c r="H9" s="3" t="s">
        <v>12778</v>
      </c>
      <c r="I9" s="15" t="str">
        <f>IFERROR(__xludf.DUMMYFUNCTION("GOOGLETRANSLATE(J9,""zh_HANS"",""zh_HANT"")"),"幽靈")</f>
        <v>幽靈</v>
      </c>
      <c r="J9" s="3" t="s">
        <v>12779</v>
      </c>
    </row>
    <row r="10">
      <c r="A10" s="5" t="str">
        <f t="shared" si="1"/>
        <v>NAME_TYPE_STEEL</v>
      </c>
      <c r="B10" s="3" t="s">
        <v>12780</v>
      </c>
      <c r="C10" s="3" t="s">
        <v>12781</v>
      </c>
      <c r="D10" s="3" t="s">
        <v>12782</v>
      </c>
      <c r="E10" s="3" t="s">
        <v>12783</v>
      </c>
      <c r="F10" s="3" t="s">
        <v>12784</v>
      </c>
      <c r="G10" s="3" t="s">
        <v>12785</v>
      </c>
      <c r="H10" s="3" t="s">
        <v>12786</v>
      </c>
      <c r="I10" s="15" t="str">
        <f>IFERROR(__xludf.DUMMYFUNCTION("GOOGLETRANSLATE(J10,""zh_HANS"",""zh_HANT"")"),"鋼")</f>
        <v>鋼</v>
      </c>
      <c r="J10" s="3" t="s">
        <v>12787</v>
      </c>
    </row>
    <row r="11">
      <c r="A11" s="5" t="str">
        <f t="shared" si="1"/>
        <v>NAME_TYPE_FIRE</v>
      </c>
      <c r="B11" s="3" t="s">
        <v>12788</v>
      </c>
      <c r="C11" s="3" t="s">
        <v>7984</v>
      </c>
      <c r="D11" s="3" t="s">
        <v>12789</v>
      </c>
      <c r="E11" s="3" t="s">
        <v>12790</v>
      </c>
      <c r="F11" s="3" t="s">
        <v>12791</v>
      </c>
      <c r="G11" s="3" t="s">
        <v>12792</v>
      </c>
      <c r="H11" s="3" t="s">
        <v>7985</v>
      </c>
      <c r="I11" s="8" t="s">
        <v>7986</v>
      </c>
      <c r="J11" s="5" t="str">
        <f t="shared" ref="J11:J13" si="3">I11</f>
        <v>火</v>
      </c>
    </row>
    <row r="12">
      <c r="A12" s="5" t="str">
        <f t="shared" si="1"/>
        <v>NAME_TYPE_WATER</v>
      </c>
      <c r="B12" s="3" t="s">
        <v>12793</v>
      </c>
      <c r="C12" s="3" t="s">
        <v>12794</v>
      </c>
      <c r="D12" s="3" t="s">
        <v>12795</v>
      </c>
      <c r="E12" s="3" t="s">
        <v>12796</v>
      </c>
      <c r="F12" s="3" t="s">
        <v>12797</v>
      </c>
      <c r="G12" s="3" t="s">
        <v>12798</v>
      </c>
      <c r="H12" s="3" t="s">
        <v>12799</v>
      </c>
      <c r="I12" s="7" t="s">
        <v>12800</v>
      </c>
      <c r="J12" s="5" t="str">
        <f t="shared" si="3"/>
        <v>水</v>
      </c>
    </row>
    <row r="13">
      <c r="A13" s="5" t="str">
        <f t="shared" si="1"/>
        <v>NAME_TYPE_GRASS</v>
      </c>
      <c r="B13" s="3" t="s">
        <v>12801</v>
      </c>
      <c r="C13" s="3" t="s">
        <v>12802</v>
      </c>
      <c r="D13" s="3" t="s">
        <v>12803</v>
      </c>
      <c r="E13" s="3" t="s">
        <v>12804</v>
      </c>
      <c r="F13" s="3" t="s">
        <v>12805</v>
      </c>
      <c r="G13" s="3" t="s">
        <v>12806</v>
      </c>
      <c r="H13" s="3" t="s">
        <v>12807</v>
      </c>
      <c r="I13" s="7" t="s">
        <v>12808</v>
      </c>
      <c r="J13" s="5" t="str">
        <f t="shared" si="3"/>
        <v>草</v>
      </c>
    </row>
    <row r="14">
      <c r="A14" s="5" t="str">
        <f t="shared" si="1"/>
        <v>NAME_TYPE_ELECTRIC</v>
      </c>
      <c r="B14" s="3" t="s">
        <v>12809</v>
      </c>
      <c r="C14" s="3" t="s">
        <v>12810</v>
      </c>
      <c r="D14" s="3" t="s">
        <v>12811</v>
      </c>
      <c r="E14" s="3" t="s">
        <v>8022</v>
      </c>
      <c r="F14" s="3" t="s">
        <v>12812</v>
      </c>
      <c r="G14" s="3" t="s">
        <v>12813</v>
      </c>
      <c r="H14" s="3" t="s">
        <v>12814</v>
      </c>
      <c r="I14" s="5" t="str">
        <f>IFERROR(__xludf.DUMMYFUNCTION("GOOGLETRANSLATE(J14,""zh_HANS"",""zh_HANT"")"),"電")</f>
        <v>電</v>
      </c>
      <c r="J14" s="3" t="s">
        <v>12815</v>
      </c>
    </row>
    <row r="15">
      <c r="A15" s="5" t="str">
        <f t="shared" si="1"/>
        <v>NAME_TYPE_PSYCHIC</v>
      </c>
      <c r="B15" s="3" t="s">
        <v>12816</v>
      </c>
      <c r="C15" s="3" t="s">
        <v>12817</v>
      </c>
      <c r="D15" s="3" t="s">
        <v>7621</v>
      </c>
      <c r="E15" s="3" t="s">
        <v>12818</v>
      </c>
      <c r="F15" s="3" t="s">
        <v>12819</v>
      </c>
      <c r="G15" s="3" t="s">
        <v>7622</v>
      </c>
      <c r="H15" s="3" t="s">
        <v>12820</v>
      </c>
      <c r="I15" s="5" t="str">
        <f t="shared" ref="I15:I16" si="4">J15</f>
        <v>超能力</v>
      </c>
      <c r="J15" s="3" t="s">
        <v>12821</v>
      </c>
    </row>
    <row r="16">
      <c r="A16" s="5" t="str">
        <f t="shared" si="1"/>
        <v>NAME_TYPE_ICE</v>
      </c>
      <c r="B16" s="3" t="s">
        <v>12822</v>
      </c>
      <c r="C16" s="3" t="s">
        <v>12823</v>
      </c>
      <c r="D16" s="3" t="s">
        <v>12824</v>
      </c>
      <c r="E16" s="3" t="s">
        <v>8017</v>
      </c>
      <c r="F16" s="3" t="s">
        <v>12825</v>
      </c>
      <c r="G16" s="3" t="s">
        <v>12826</v>
      </c>
      <c r="H16" s="3" t="s">
        <v>12827</v>
      </c>
      <c r="I16" s="5" t="str">
        <f t="shared" si="4"/>
        <v>冰</v>
      </c>
      <c r="J16" s="3" t="s">
        <v>12828</v>
      </c>
    </row>
    <row r="17">
      <c r="A17" s="5" t="str">
        <f t="shared" si="1"/>
        <v>NAME_TYPE_DRAGON</v>
      </c>
      <c r="B17" s="3" t="s">
        <v>12829</v>
      </c>
      <c r="C17" s="3" t="s">
        <v>12830</v>
      </c>
      <c r="D17" s="5" t="str">
        <f>B17</f>
        <v>Dragon</v>
      </c>
      <c r="E17" s="3" t="s">
        <v>12831</v>
      </c>
      <c r="F17" s="3" t="s">
        <v>12832</v>
      </c>
      <c r="G17" s="3" t="s">
        <v>12833</v>
      </c>
      <c r="H17" s="3" t="s">
        <v>12834</v>
      </c>
      <c r="I17" s="5" t="str">
        <f>IFERROR(__xludf.DUMMYFUNCTION("GOOGLETRANSLATE(J17,""zh_HANS"",""zh_HANT"")"),"龍")</f>
        <v>龍</v>
      </c>
      <c r="J17" s="3" t="s">
        <v>12835</v>
      </c>
    </row>
    <row r="18">
      <c r="A18" s="5" t="str">
        <f t="shared" si="1"/>
        <v>NAME_TYPE_DARK</v>
      </c>
      <c r="B18" s="3" t="s">
        <v>8460</v>
      </c>
      <c r="C18" s="3" t="s">
        <v>12836</v>
      </c>
      <c r="D18" s="3" t="s">
        <v>12837</v>
      </c>
      <c r="E18" s="3" t="s">
        <v>12838</v>
      </c>
      <c r="F18" s="3" t="s">
        <v>8464</v>
      </c>
      <c r="G18" s="3" t="s">
        <v>8465</v>
      </c>
      <c r="H18" s="3" t="s">
        <v>12839</v>
      </c>
      <c r="I18" s="5" t="str">
        <f>IFERROR(__xludf.DUMMYFUNCTION("GOOGLETRANSLATE(J18,""zh_HANS"",""zh_HANT"")"),"惡")</f>
        <v>惡</v>
      </c>
      <c r="J18" s="3" t="s">
        <v>12840</v>
      </c>
    </row>
    <row r="19">
      <c r="A19" s="5" t="str">
        <f t="shared" si="1"/>
        <v>NAME_TYPE_FAIRY</v>
      </c>
      <c r="B19" s="3" t="s">
        <v>12841</v>
      </c>
      <c r="C19" s="3" t="s">
        <v>12842</v>
      </c>
      <c r="D19" s="3" t="s">
        <v>12843</v>
      </c>
      <c r="E19" s="3" t="s">
        <v>12844</v>
      </c>
      <c r="F19" s="3" t="s">
        <v>12845</v>
      </c>
      <c r="G19" s="3" t="s">
        <v>12846</v>
      </c>
      <c r="H19" s="3" t="s">
        <v>12847</v>
      </c>
      <c r="I19" s="5" t="str">
        <f>J19</f>
        <v>妖精</v>
      </c>
      <c r="J19" s="3" t="s">
        <v>12848</v>
      </c>
    </row>
    <row r="20">
      <c r="A20" s="5" t="str">
        <f t="shared" si="1"/>
        <v>NAME_TYPE_STELLAR</v>
      </c>
      <c r="B20" s="3" t="s">
        <v>12849</v>
      </c>
      <c r="C20" s="3" t="s">
        <v>12850</v>
      </c>
      <c r="D20" s="3" t="s">
        <v>12851</v>
      </c>
      <c r="E20" s="3" t="str">
        <f>B20</f>
        <v>Stellar</v>
      </c>
      <c r="F20" s="3" t="s">
        <v>12852</v>
      </c>
      <c r="G20" s="3" t="str">
        <f>CONCATENATE(F20,"e")</f>
        <v>Astrale</v>
      </c>
      <c r="H20" s="3" t="s">
        <v>12853</v>
      </c>
      <c r="I20" s="3" t="s">
        <v>12854</v>
      </c>
      <c r="J20" s="5" t="str">
        <f>I20</f>
        <v>星晶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2.13"/>
    <col customWidth="1" min="2" max="2" width="23.88"/>
    <col customWidth="1" min="3" max="3" width="24.63"/>
    <col customWidth="1" min="4" max="4" width="23.25"/>
    <col customWidth="1" min="5" max="5" width="22.5"/>
    <col customWidth="1" min="6" max="6" width="22.63"/>
    <col customWidth="1" min="7" max="7" width="22.5"/>
    <col customWidth="1" min="8" max="8" width="19.88"/>
    <col customWidth="1" min="9" max="9" width="14.25"/>
    <col customWidth="1" min="10" max="10" width="14.38"/>
  </cols>
  <sheetData>
    <row r="1">
      <c r="A1" s="2" t="str">
        <f>Pokemon!A1</f>
        <v>keys</v>
      </c>
      <c r="B1" s="2" t="str">
        <f>Pokemon!B1</f>
        <v>en</v>
      </c>
      <c r="C1" s="2" t="str">
        <f>Pokemon!C1</f>
        <v>ja</v>
      </c>
      <c r="D1" s="2" t="str">
        <f>Pokemon!D1</f>
        <v>fr</v>
      </c>
      <c r="E1" s="2" t="str">
        <f>Pokemon!E1</f>
        <v>de</v>
      </c>
      <c r="F1" s="2" t="str">
        <f>Pokemon!F1</f>
        <v>es</v>
      </c>
      <c r="G1" s="2" t="str">
        <f>Pokemon!G1</f>
        <v>it</v>
      </c>
      <c r="H1" s="2" t="str">
        <f>Pokemon!H1</f>
        <v>ko</v>
      </c>
      <c r="I1" s="2" t="str">
        <f>Pokemon!I1</f>
        <v>zh_HK</v>
      </c>
      <c r="J1" s="2" t="str">
        <f>Pokemon!J1</f>
        <v>zh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 t="shared" ref="A2:A38" si="1">CONCATENATE("NAME_MOVE_", SUBSTITUTE(UPPER(B2), " ", ""))</f>
        <v>NAME_MOVE_POUND</v>
      </c>
      <c r="B2" s="3" t="s">
        <v>12855</v>
      </c>
      <c r="C2" s="3" t="s">
        <v>12856</v>
      </c>
      <c r="D2" s="3" t="s">
        <v>12857</v>
      </c>
      <c r="E2" s="3" t="s">
        <v>12858</v>
      </c>
      <c r="F2" s="3" t="s">
        <v>12859</v>
      </c>
      <c r="G2" s="3" t="s">
        <v>12860</v>
      </c>
      <c r="H2" s="7" t="s">
        <v>12861</v>
      </c>
      <c r="I2" s="7" t="s">
        <v>12862</v>
      </c>
      <c r="J2" s="5" t="str">
        <f>IFERROR(__xludf.DUMMYFUNCTION("GOOGLETRANSLATE(I2,""zh_HANT"",""zh_HANS"")"),"拍击")</f>
        <v>拍击</v>
      </c>
    </row>
    <row r="3">
      <c r="A3" s="5" t="str">
        <f t="shared" si="1"/>
        <v>NAME_MOVE_KARATECHOP</v>
      </c>
      <c r="B3" s="3" t="s">
        <v>12863</v>
      </c>
      <c r="C3" s="3" t="s">
        <v>12864</v>
      </c>
      <c r="D3" s="3" t="s">
        <v>12865</v>
      </c>
      <c r="E3" s="3" t="s">
        <v>12866</v>
      </c>
      <c r="F3" s="3" t="s">
        <v>12867</v>
      </c>
      <c r="G3" s="3" t="s">
        <v>12868</v>
      </c>
      <c r="H3" s="7" t="s">
        <v>12869</v>
      </c>
      <c r="I3" s="3" t="s">
        <v>12870</v>
      </c>
      <c r="J3" s="5" t="str">
        <f>I3</f>
        <v>空手劈</v>
      </c>
    </row>
    <row r="4">
      <c r="A4" s="5" t="str">
        <f t="shared" si="1"/>
        <v>NAME_MOVE_DOUBLESLAP</v>
      </c>
      <c r="B4" s="3" t="s">
        <v>12871</v>
      </c>
      <c r="C4" s="3" t="s">
        <v>12872</v>
      </c>
      <c r="D4" s="3" t="s">
        <v>12873</v>
      </c>
      <c r="E4" s="3" t="s">
        <v>12874</v>
      </c>
      <c r="F4" s="3" t="s">
        <v>12875</v>
      </c>
      <c r="G4" s="3" t="s">
        <v>12876</v>
      </c>
      <c r="H4" s="3" t="s">
        <v>12877</v>
      </c>
      <c r="I4" s="3" t="s">
        <v>12878</v>
      </c>
      <c r="J4" s="5" t="str">
        <f>IFERROR(__xludf.DUMMYFUNCTION("GOOGLETRANSLATE(I4,""zh_HANT"",""zh_HANS"")"),"连环巴掌")</f>
        <v>连环巴掌</v>
      </c>
    </row>
    <row r="5">
      <c r="A5" s="5" t="str">
        <f t="shared" si="1"/>
        <v>NAME_MOVE_COMETPUNCH</v>
      </c>
      <c r="B5" s="3" t="s">
        <v>12879</v>
      </c>
      <c r="C5" s="3" t="s">
        <v>12880</v>
      </c>
      <c r="D5" s="3" t="s">
        <v>12881</v>
      </c>
      <c r="E5" s="3" t="s">
        <v>12882</v>
      </c>
      <c r="F5" s="3" t="s">
        <v>12883</v>
      </c>
      <c r="G5" s="3" t="s">
        <v>12884</v>
      </c>
      <c r="H5" s="3" t="s">
        <v>12885</v>
      </c>
      <c r="I5" s="3" t="s">
        <v>12886</v>
      </c>
      <c r="J5" s="5" t="str">
        <f>IFERROR(__xludf.DUMMYFUNCTION("GOOGLETRANSLATE(I5,""zh_HANT"",""zh_HANS"")"),"连续拳")</f>
        <v>连续拳</v>
      </c>
    </row>
    <row r="6">
      <c r="A6" s="5" t="str">
        <f t="shared" si="1"/>
        <v>NAME_MOVE_MEGAPUNCH</v>
      </c>
      <c r="B6" s="3" t="s">
        <v>12887</v>
      </c>
      <c r="C6" s="3" t="s">
        <v>12888</v>
      </c>
      <c r="D6" s="3" t="s">
        <v>12889</v>
      </c>
      <c r="E6" s="3" t="s">
        <v>12890</v>
      </c>
      <c r="F6" s="3" t="s">
        <v>12891</v>
      </c>
      <c r="G6" s="3" t="s">
        <v>12892</v>
      </c>
      <c r="H6" s="3" t="s">
        <v>12893</v>
      </c>
      <c r="I6" s="3" t="s">
        <v>12894</v>
      </c>
      <c r="J6" s="5" t="str">
        <f>IFERROR(__xludf.DUMMYFUNCTION("GOOGLETRANSLATE(I6,""zh_HANT"",""zh_HANS"")"),"百万吨重拳")</f>
        <v>百万吨重拳</v>
      </c>
    </row>
    <row r="7">
      <c r="A7" s="5" t="str">
        <f t="shared" si="1"/>
        <v>NAME_MOVE_PAYDAY</v>
      </c>
      <c r="B7" s="3" t="s">
        <v>12895</v>
      </c>
      <c r="C7" s="3" t="s">
        <v>12896</v>
      </c>
      <c r="D7" s="3" t="s">
        <v>12897</v>
      </c>
      <c r="E7" s="3" t="s">
        <v>12898</v>
      </c>
      <c r="F7" s="3" t="s">
        <v>12899</v>
      </c>
      <c r="G7" s="3" t="s">
        <v>12900</v>
      </c>
      <c r="H7" s="3" t="s">
        <v>12901</v>
      </c>
      <c r="I7" s="3" t="s">
        <v>12902</v>
      </c>
      <c r="J7" s="5" t="str">
        <f>IFERROR(__xludf.DUMMYFUNCTION("GOOGLETRANSLATE(I7,""zh_HANT"",""zh_HANS"")"),"聚宝功")</f>
        <v>聚宝功</v>
      </c>
    </row>
    <row r="8">
      <c r="A8" s="5" t="str">
        <f t="shared" si="1"/>
        <v>NAME_MOVE_FIREPUNCH</v>
      </c>
      <c r="B8" s="3" t="s">
        <v>12903</v>
      </c>
      <c r="C8" s="3" t="s">
        <v>12904</v>
      </c>
      <c r="D8" s="3" t="s">
        <v>12905</v>
      </c>
      <c r="E8" s="7" t="s">
        <v>12906</v>
      </c>
      <c r="F8" s="3" t="s">
        <v>12907</v>
      </c>
      <c r="G8" s="3" t="s">
        <v>12908</v>
      </c>
      <c r="H8" s="7" t="s">
        <v>12909</v>
      </c>
      <c r="I8" s="3" t="s">
        <v>12910</v>
      </c>
      <c r="J8" s="5" t="str">
        <f>I8</f>
        <v>火焰拳</v>
      </c>
    </row>
    <row r="9">
      <c r="A9" s="5" t="str">
        <f t="shared" si="1"/>
        <v>NAME_MOVE_ICEPUNCH</v>
      </c>
      <c r="B9" s="3" t="s">
        <v>12911</v>
      </c>
      <c r="C9" s="3" t="s">
        <v>12912</v>
      </c>
      <c r="D9" s="3" t="s">
        <v>12913</v>
      </c>
      <c r="E9" s="3" t="s">
        <v>12914</v>
      </c>
      <c r="F9" s="3" t="s">
        <v>12915</v>
      </c>
      <c r="G9" s="3" t="s">
        <v>12916</v>
      </c>
      <c r="H9" s="7" t="s">
        <v>12917</v>
      </c>
      <c r="I9" s="7" t="s">
        <v>12918</v>
      </c>
      <c r="J9" s="5" t="str">
        <f>IFERROR(__xludf.DUMMYFUNCTION("GOOGLETRANSLATE(I9,""zh_HANT"",""zh_HANS"")"),"冰冻拳")</f>
        <v>冰冻拳</v>
      </c>
    </row>
    <row r="10">
      <c r="A10" s="5" t="str">
        <f t="shared" si="1"/>
        <v>NAME_MOVE_THUNDERPUNCH</v>
      </c>
      <c r="B10" s="3" t="s">
        <v>12919</v>
      </c>
      <c r="C10" s="3" t="s">
        <v>12920</v>
      </c>
      <c r="D10" s="3" t="s">
        <v>12921</v>
      </c>
      <c r="E10" s="3" t="s">
        <v>12922</v>
      </c>
      <c r="F10" s="3" t="s">
        <v>12923</v>
      </c>
      <c r="G10" s="3" t="s">
        <v>12924</v>
      </c>
      <c r="H10" s="7" t="s">
        <v>12925</v>
      </c>
      <c r="I10" s="7" t="s">
        <v>12926</v>
      </c>
      <c r="J10" s="5" t="str">
        <f>IFERROR(__xludf.DUMMYFUNCTION("GOOGLETRANSLATE(I10,""zh_HANT"",""zh_HANS"")"),"雷电拳")</f>
        <v>雷电拳</v>
      </c>
    </row>
    <row r="11">
      <c r="A11" s="5" t="str">
        <f t="shared" si="1"/>
        <v>NAME_MOVE_SCRATCH</v>
      </c>
      <c r="B11" s="3" t="s">
        <v>12927</v>
      </c>
      <c r="C11" s="3" t="s">
        <v>12928</v>
      </c>
      <c r="D11" s="3" t="s">
        <v>12929</v>
      </c>
      <c r="E11" s="3" t="s">
        <v>12930</v>
      </c>
      <c r="F11" s="3" t="s">
        <v>12931</v>
      </c>
      <c r="G11" s="3" t="s">
        <v>12932</v>
      </c>
      <c r="H11" s="7" t="s">
        <v>12933</v>
      </c>
      <c r="I11" s="3" t="s">
        <v>12934</v>
      </c>
      <c r="J11" s="5" t="str">
        <f>I11</f>
        <v>抓</v>
      </c>
    </row>
    <row r="12">
      <c r="A12" s="5" t="str">
        <f t="shared" si="1"/>
        <v>NAME_MOVE_VISEGRIP</v>
      </c>
      <c r="B12" s="3" t="s">
        <v>12935</v>
      </c>
      <c r="C12" s="3" t="s">
        <v>12936</v>
      </c>
      <c r="D12" s="3" t="s">
        <v>12937</v>
      </c>
      <c r="E12" s="3" t="s">
        <v>12938</v>
      </c>
      <c r="F12" s="3" t="s">
        <v>12939</v>
      </c>
      <c r="G12" s="3" t="s">
        <v>12940</v>
      </c>
      <c r="H12" s="3" t="s">
        <v>12941</v>
      </c>
      <c r="I12" s="3" t="s">
        <v>12942</v>
      </c>
      <c r="J12" s="5" t="str">
        <f>IFERROR(__xludf.DUMMYFUNCTION("GOOGLETRANSLATE(I12,""zh_HANT"",""zh_HANS"")"),"夹住")</f>
        <v>夹住</v>
      </c>
    </row>
    <row r="13">
      <c r="A13" s="5" t="str">
        <f t="shared" si="1"/>
        <v>NAME_MOVE_GUILLOTINE</v>
      </c>
      <c r="B13" s="3" t="s">
        <v>12943</v>
      </c>
      <c r="C13" s="3" t="s">
        <v>12944</v>
      </c>
      <c r="D13" s="5" t="str">
        <f>B13</f>
        <v>Guillotine</v>
      </c>
      <c r="E13" s="5" t="str">
        <f>B13</f>
        <v>Guillotine</v>
      </c>
      <c r="F13" s="3" t="s">
        <v>12945</v>
      </c>
      <c r="G13" s="3" t="s">
        <v>12946</v>
      </c>
      <c r="H13" s="3" t="s">
        <v>12947</v>
      </c>
      <c r="I13" s="3" t="s">
        <v>12948</v>
      </c>
      <c r="J13" s="3" t="s">
        <v>12949</v>
      </c>
    </row>
    <row r="14">
      <c r="A14" s="5" t="str">
        <f t="shared" si="1"/>
        <v>NAME_MOVE_RAZORWIND</v>
      </c>
      <c r="B14" s="3" t="s">
        <v>12950</v>
      </c>
      <c r="C14" s="3" t="s">
        <v>12951</v>
      </c>
      <c r="D14" s="3" t="s">
        <v>12952</v>
      </c>
      <c r="E14" s="3" t="s">
        <v>12953</v>
      </c>
      <c r="F14" s="3" t="s">
        <v>12954</v>
      </c>
      <c r="G14" s="3" t="s">
        <v>12955</v>
      </c>
      <c r="H14" s="3" t="s">
        <v>12956</v>
      </c>
      <c r="I14" s="3" t="s">
        <v>12957</v>
      </c>
      <c r="J14" s="5" t="str">
        <f>IFERROR(__xludf.DUMMYFUNCTION("GOOGLETRANSLATE(I14,""zh_HANT"",""zh_HANS"")"),"旋风刀")</f>
        <v>旋风刀</v>
      </c>
    </row>
    <row r="15">
      <c r="A15" s="5" t="str">
        <f t="shared" si="1"/>
        <v>NAME_MOVE_SWORDSDANCE</v>
      </c>
      <c r="B15" s="3" t="s">
        <v>12958</v>
      </c>
      <c r="C15" s="3" t="s">
        <v>12959</v>
      </c>
      <c r="D15" s="3" t="s">
        <v>12960</v>
      </c>
      <c r="E15" s="3" t="s">
        <v>12961</v>
      </c>
      <c r="F15" s="3" t="s">
        <v>12962</v>
      </c>
      <c r="G15" s="5" t="str">
        <f>SUBSTITUTE(F15," E","")</f>
        <v>Danzaspada</v>
      </c>
      <c r="H15" s="3" t="s">
        <v>12963</v>
      </c>
      <c r="I15" s="3" t="s">
        <v>12964</v>
      </c>
      <c r="J15" s="5" t="str">
        <f>IFERROR(__xludf.DUMMYFUNCTION("GOOGLETRANSLATE(I15,""zh_HANT"",""zh_HANS"")"),"剑舞")</f>
        <v>剑舞</v>
      </c>
    </row>
    <row r="16">
      <c r="A16" s="5" t="str">
        <f t="shared" si="1"/>
        <v>NAME_MOVE_CUT</v>
      </c>
      <c r="B16" s="3" t="s">
        <v>12965</v>
      </c>
      <c r="C16" s="3" t="s">
        <v>12966</v>
      </c>
      <c r="D16" s="3" t="s">
        <v>12967</v>
      </c>
      <c r="E16" s="3" t="s">
        <v>12968</v>
      </c>
      <c r="F16" s="3" t="s">
        <v>12969</v>
      </c>
      <c r="G16" s="3" t="s">
        <v>12970</v>
      </c>
      <c r="H16" s="3" t="s">
        <v>12971</v>
      </c>
      <c r="I16" s="3" t="s">
        <v>12972</v>
      </c>
      <c r="J16" s="3" t="s">
        <v>12973</v>
      </c>
    </row>
    <row r="17">
      <c r="A17" s="5" t="str">
        <f t="shared" si="1"/>
        <v>NAME_MOVE_GUST</v>
      </c>
      <c r="B17" s="3" t="s">
        <v>12974</v>
      </c>
      <c r="C17" s="3" t="s">
        <v>12975</v>
      </c>
      <c r="D17" s="3" t="s">
        <v>10878</v>
      </c>
      <c r="E17" s="3" t="s">
        <v>12976</v>
      </c>
      <c r="F17" s="3" t="s">
        <v>12977</v>
      </c>
      <c r="G17" s="3" t="s">
        <v>12978</v>
      </c>
      <c r="H17" s="3" t="s">
        <v>12979</v>
      </c>
      <c r="I17" s="3" t="s">
        <v>12980</v>
      </c>
      <c r="J17" s="5" t="str">
        <f>IFERROR(__xludf.DUMMYFUNCTION("GOOGLETRANSLATE(I17,""zh_HANT"",""zh_HANS"")"),"起风")</f>
        <v>起风</v>
      </c>
    </row>
    <row r="18">
      <c r="A18" s="5" t="str">
        <f t="shared" si="1"/>
        <v>NAME_MOVE_WINGATTACK</v>
      </c>
      <c r="B18" s="3" t="s">
        <v>12981</v>
      </c>
      <c r="C18" s="3" t="s">
        <v>12982</v>
      </c>
      <c r="D18" s="3" t="s">
        <v>12983</v>
      </c>
      <c r="E18" s="3" t="s">
        <v>12984</v>
      </c>
      <c r="F18" s="3" t="s">
        <v>12985</v>
      </c>
      <c r="G18" s="3" t="s">
        <v>12986</v>
      </c>
      <c r="H18" s="3" t="s">
        <v>12987</v>
      </c>
      <c r="I18" s="3" t="s">
        <v>12988</v>
      </c>
      <c r="J18" s="5" t="str">
        <f>IFERROR(__xludf.DUMMYFUNCTION("GOOGLETRANSLATE(I18,""zh_HANT"",""zh_HANS"")"),"翅膀攻击")</f>
        <v>翅膀攻击</v>
      </c>
    </row>
    <row r="19">
      <c r="A19" s="5" t="str">
        <f t="shared" si="1"/>
        <v>NAME_MOVE_WHIRLWIND</v>
      </c>
      <c r="B19" s="3" t="s">
        <v>12989</v>
      </c>
      <c r="C19" s="3" t="s">
        <v>12990</v>
      </c>
      <c r="D19" s="3" t="s">
        <v>10876</v>
      </c>
      <c r="E19" s="3" t="s">
        <v>12991</v>
      </c>
      <c r="F19" s="3" t="s">
        <v>12992</v>
      </c>
      <c r="G19" s="3" t="s">
        <v>12993</v>
      </c>
      <c r="H19" s="3" t="s">
        <v>12994</v>
      </c>
      <c r="I19" s="3" t="s">
        <v>12995</v>
      </c>
      <c r="J19" s="5" t="str">
        <f>IFERROR(__xludf.DUMMYFUNCTION("GOOGLETRANSLATE(I19,""zh_HANT"",""zh_HANS"")"),"吹飞")</f>
        <v>吹飞</v>
      </c>
    </row>
    <row r="20">
      <c r="A20" s="5" t="str">
        <f t="shared" si="1"/>
        <v>NAME_MOVE_FLY</v>
      </c>
      <c r="B20" s="3" t="s">
        <v>12996</v>
      </c>
      <c r="C20" s="3" t="s">
        <v>12997</v>
      </c>
      <c r="D20" s="3" t="s">
        <v>12737</v>
      </c>
      <c r="E20" s="3" t="s">
        <v>12998</v>
      </c>
      <c r="F20" s="3" t="s">
        <v>12999</v>
      </c>
      <c r="G20" s="3" t="s">
        <v>13000</v>
      </c>
      <c r="H20" s="3" t="s">
        <v>13001</v>
      </c>
      <c r="I20" s="3" t="s">
        <v>13002</v>
      </c>
      <c r="J20" s="5" t="str">
        <f>IFERROR(__xludf.DUMMYFUNCTION("GOOGLETRANSLATE(I20,""zh_HANT"",""zh_HANS"")"),"飞翔")</f>
        <v>飞翔</v>
      </c>
    </row>
    <row r="21">
      <c r="A21" s="5" t="str">
        <f t="shared" si="1"/>
        <v>NAME_MOVE_BIND</v>
      </c>
      <c r="B21" s="3" t="s">
        <v>13003</v>
      </c>
      <c r="C21" s="3" t="s">
        <v>13004</v>
      </c>
      <c r="D21" s="3" t="s">
        <v>8740</v>
      </c>
      <c r="E21" s="3" t="s">
        <v>13005</v>
      </c>
      <c r="F21" s="3" t="s">
        <v>13006</v>
      </c>
      <c r="G21" s="3" t="s">
        <v>13007</v>
      </c>
      <c r="H21" s="3" t="s">
        <v>13008</v>
      </c>
      <c r="I21" s="3" t="s">
        <v>13009</v>
      </c>
      <c r="J21" s="5" t="str">
        <f>IFERROR(__xludf.DUMMYFUNCTION("GOOGLETRANSLATE(I21,""zh_HANT"",""zh_HANS"")"),"绑紧")</f>
        <v>绑紧</v>
      </c>
    </row>
    <row r="22">
      <c r="A22" s="5" t="str">
        <f t="shared" si="1"/>
        <v>NAME_MOVE_SLAM</v>
      </c>
      <c r="B22" s="3" t="s">
        <v>13010</v>
      </c>
      <c r="C22" s="3" t="s">
        <v>13011</v>
      </c>
      <c r="D22" s="3" t="s">
        <v>13012</v>
      </c>
      <c r="E22" s="5" t="str">
        <f>B22</f>
        <v>Slam</v>
      </c>
      <c r="F22" s="3" t="s">
        <v>13013</v>
      </c>
      <c r="G22" s="3" t="s">
        <v>13014</v>
      </c>
      <c r="H22" s="7" t="s">
        <v>13015</v>
      </c>
      <c r="I22" s="3" t="s">
        <v>13016</v>
      </c>
      <c r="J22" s="5" t="str">
        <f t="shared" ref="J22:J24" si="2">I22</f>
        <v>摔打</v>
      </c>
    </row>
    <row r="23">
      <c r="A23" s="5" t="str">
        <f t="shared" si="1"/>
        <v>NAME_MOVE_VINEWHIP</v>
      </c>
      <c r="B23" s="3" t="s">
        <v>13017</v>
      </c>
      <c r="C23" s="3" t="s">
        <v>13018</v>
      </c>
      <c r="D23" s="3" t="s">
        <v>13019</v>
      </c>
      <c r="E23" s="3" t="s">
        <v>13020</v>
      </c>
      <c r="F23" s="3" t="s">
        <v>13021</v>
      </c>
      <c r="G23" s="3" t="s">
        <v>13022</v>
      </c>
      <c r="H23" s="7" t="s">
        <v>13023</v>
      </c>
      <c r="I23" s="3" t="s">
        <v>13024</v>
      </c>
      <c r="J23" s="5" t="str">
        <f t="shared" si="2"/>
        <v>藤鞭</v>
      </c>
    </row>
    <row r="24">
      <c r="A24" s="5" t="str">
        <f t="shared" si="1"/>
        <v>NAME_MOVE_STOMP</v>
      </c>
      <c r="B24" s="3" t="s">
        <v>13025</v>
      </c>
      <c r="C24" s="3" t="s">
        <v>13026</v>
      </c>
      <c r="D24" s="3" t="s">
        <v>13027</v>
      </c>
      <c r="E24" s="3" t="s">
        <v>13028</v>
      </c>
      <c r="F24" s="3" t="s">
        <v>13029</v>
      </c>
      <c r="G24" s="3" t="s">
        <v>13030</v>
      </c>
      <c r="H24" s="7" t="s">
        <v>13031</v>
      </c>
      <c r="I24" s="3" t="s">
        <v>13024</v>
      </c>
      <c r="J24" s="5" t="str">
        <f t="shared" si="2"/>
        <v>藤鞭</v>
      </c>
    </row>
    <row r="25">
      <c r="A25" s="5" t="str">
        <f t="shared" si="1"/>
        <v>NAME_MOVE_DOUBLEKICK</v>
      </c>
      <c r="B25" s="3" t="s">
        <v>13032</v>
      </c>
      <c r="C25" s="3" t="s">
        <v>13033</v>
      </c>
      <c r="D25" s="3" t="s">
        <v>13034</v>
      </c>
      <c r="E25" s="3" t="s">
        <v>13035</v>
      </c>
      <c r="F25" s="3" t="s">
        <v>13036</v>
      </c>
      <c r="G25" s="3" t="s">
        <v>13037</v>
      </c>
      <c r="H25" s="3" t="s">
        <v>13038</v>
      </c>
      <c r="I25" s="3" t="s">
        <v>13039</v>
      </c>
      <c r="J25" s="5" t="str">
        <f>IFERROR(__xludf.DUMMYFUNCTION("GOOGLETRANSLATE(I25,""zh_HANT"",""zh_HANS"")"),"二连踢")</f>
        <v>二连踢</v>
      </c>
    </row>
    <row r="26">
      <c r="A26" s="5" t="str">
        <f t="shared" si="1"/>
        <v>NAME_MOVE_MEGAKICK</v>
      </c>
      <c r="B26" s="3" t="s">
        <v>13040</v>
      </c>
      <c r="C26" s="3" t="s">
        <v>13041</v>
      </c>
      <c r="D26" s="3" t="s">
        <v>13042</v>
      </c>
      <c r="E26" s="3" t="s">
        <v>13043</v>
      </c>
      <c r="F26" s="3" t="s">
        <v>13044</v>
      </c>
      <c r="G26" s="3" t="s">
        <v>13045</v>
      </c>
      <c r="H26" s="3" t="s">
        <v>13046</v>
      </c>
      <c r="I26" s="3" t="s">
        <v>13047</v>
      </c>
      <c r="J26" s="5" t="str">
        <f>IFERROR(__xludf.DUMMYFUNCTION("GOOGLETRANSLATE(I26,""zh_HANT"",""zh_HANS"")"),"百万吨重踢")</f>
        <v>百万吨重踢</v>
      </c>
    </row>
    <row r="27">
      <c r="A27" s="5" t="str">
        <f t="shared" si="1"/>
        <v>NAME_MOVE_JUMPKICK</v>
      </c>
      <c r="B27" s="3" t="s">
        <v>13048</v>
      </c>
      <c r="C27" s="3" t="s">
        <v>13049</v>
      </c>
      <c r="D27" s="3" t="s">
        <v>13050</v>
      </c>
      <c r="E27" s="3" t="s">
        <v>13051</v>
      </c>
      <c r="F27" s="3" t="s">
        <v>13052</v>
      </c>
      <c r="G27" s="3" t="s">
        <v>13053</v>
      </c>
      <c r="H27" s="3" t="s">
        <v>13054</v>
      </c>
      <c r="I27" s="3" t="s">
        <v>13055</v>
      </c>
      <c r="J27" s="5" t="str">
        <f>IFERROR(__xludf.DUMMYFUNCTION("GOOGLETRANSLATE(I27,""zh_HANT"",""zh_HANS"")"),"飞踢")</f>
        <v>飞踢</v>
      </c>
    </row>
    <row r="28">
      <c r="A28" s="5" t="str">
        <f t="shared" si="1"/>
        <v>NAME_MOVE_ROLLINGKICK</v>
      </c>
      <c r="B28" s="3" t="s">
        <v>13056</v>
      </c>
      <c r="C28" s="3" t="s">
        <v>13057</v>
      </c>
      <c r="D28" s="3" t="s">
        <v>13058</v>
      </c>
      <c r="E28" s="3" t="s">
        <v>13059</v>
      </c>
      <c r="F28" s="3" t="s">
        <v>13060</v>
      </c>
      <c r="G28" s="3" t="s">
        <v>13061</v>
      </c>
      <c r="H28" s="3" t="s">
        <v>13062</v>
      </c>
      <c r="I28" s="3" t="s">
        <v>13063</v>
      </c>
      <c r="J28" s="5" t="str">
        <f>IFERROR(__xludf.DUMMYFUNCTION("GOOGLETRANSLATE(I28,""zh_HANT"",""zh_HANS"")"),"回旋踢")</f>
        <v>回旋踢</v>
      </c>
    </row>
    <row r="29">
      <c r="A29" s="5" t="str">
        <f t="shared" si="1"/>
        <v>NAME_MOVE_SANDATTACK</v>
      </c>
      <c r="B29" s="3" t="s">
        <v>13064</v>
      </c>
      <c r="C29" s="3" t="s">
        <v>13065</v>
      </c>
      <c r="D29" s="3" t="s">
        <v>13066</v>
      </c>
      <c r="E29" s="3" t="s">
        <v>13067</v>
      </c>
      <c r="F29" s="3" t="s">
        <v>13068</v>
      </c>
      <c r="G29" s="3" t="s">
        <v>13069</v>
      </c>
      <c r="H29" s="3" t="s">
        <v>13070</v>
      </c>
      <c r="I29" s="3" t="s">
        <v>13071</v>
      </c>
      <c r="J29" s="5" t="str">
        <f>IFERROR(__xludf.DUMMYFUNCTION("GOOGLETRANSLATE(I29,""zh_HANT"",""zh_HANS"")"),"泼沙")</f>
        <v>泼沙</v>
      </c>
    </row>
    <row r="30">
      <c r="A30" s="5" t="str">
        <f t="shared" si="1"/>
        <v>NAME_MOVE_HEADBUTT</v>
      </c>
      <c r="B30" s="3" t="s">
        <v>13072</v>
      </c>
      <c r="C30" s="3" t="s">
        <v>13073</v>
      </c>
      <c r="D30" s="3" t="s">
        <v>13074</v>
      </c>
      <c r="E30" s="3" t="s">
        <v>13075</v>
      </c>
      <c r="F30" s="3" t="s">
        <v>13076</v>
      </c>
      <c r="G30" s="3" t="s">
        <v>13077</v>
      </c>
      <c r="H30" s="3" t="s">
        <v>13078</v>
      </c>
      <c r="I30" s="3" t="s">
        <v>13079</v>
      </c>
      <c r="J30" s="5" t="str">
        <f>IFERROR(__xludf.DUMMYFUNCTION("GOOGLETRANSLATE(I30,""zh_HANT"",""zh_HANS"")"),"头锤")</f>
        <v>头锤</v>
      </c>
    </row>
    <row r="31">
      <c r="A31" s="5" t="str">
        <f t="shared" si="1"/>
        <v>NAME_MOVE_HORNATTACK</v>
      </c>
      <c r="B31" s="3" t="s">
        <v>13080</v>
      </c>
      <c r="C31" s="3" t="s">
        <v>13081</v>
      </c>
      <c r="D31" s="3" t="s">
        <v>13082</v>
      </c>
      <c r="E31" s="3" t="s">
        <v>13083</v>
      </c>
      <c r="F31" s="3" t="s">
        <v>13084</v>
      </c>
      <c r="G31" s="3" t="s">
        <v>13085</v>
      </c>
      <c r="H31" s="7" t="s">
        <v>13086</v>
      </c>
      <c r="I31" s="3" t="s">
        <v>13087</v>
      </c>
      <c r="J31" s="5" t="str">
        <f>I31</f>
        <v>角撞</v>
      </c>
    </row>
    <row r="32">
      <c r="A32" s="5" t="str">
        <f t="shared" si="1"/>
        <v>NAME_MOVE_FURYATTACK</v>
      </c>
      <c r="B32" s="3" t="s">
        <v>13088</v>
      </c>
      <c r="C32" s="3" t="s">
        <v>13089</v>
      </c>
      <c r="D32" s="3" t="s">
        <v>13090</v>
      </c>
      <c r="E32" s="3" t="s">
        <v>13091</v>
      </c>
      <c r="F32" s="3" t="s">
        <v>13092</v>
      </c>
      <c r="G32" s="3" t="s">
        <v>13093</v>
      </c>
      <c r="H32" s="3" t="s">
        <v>13094</v>
      </c>
      <c r="I32" s="3" t="s">
        <v>13095</v>
      </c>
      <c r="J32" s="5" t="str">
        <f>IFERROR(__xludf.DUMMYFUNCTION("GOOGLETRANSLATE(I32,""zh_HANT"",""zh_HANS"")"),"乱击")</f>
        <v>乱击</v>
      </c>
    </row>
    <row r="33">
      <c r="A33" s="5" t="str">
        <f t="shared" si="1"/>
        <v>NAME_MOVE_HORNDRILL</v>
      </c>
      <c r="B33" s="3" t="s">
        <v>13096</v>
      </c>
      <c r="C33" s="3" t="s">
        <v>13097</v>
      </c>
      <c r="D33" s="3" t="s">
        <v>13098</v>
      </c>
      <c r="E33" s="3" t="s">
        <v>13099</v>
      </c>
      <c r="F33" s="3" t="s">
        <v>13100</v>
      </c>
      <c r="G33" s="3" t="s">
        <v>13101</v>
      </c>
      <c r="H33" s="3" t="s">
        <v>13102</v>
      </c>
      <c r="I33" s="3" t="s">
        <v>13103</v>
      </c>
      <c r="J33" s="5" t="str">
        <f>IFERROR(__xludf.DUMMYFUNCTION("GOOGLETRANSLATE(I33,""zh_HANT"",""zh_HANS"")"),"角钻")</f>
        <v>角钻</v>
      </c>
    </row>
    <row r="34">
      <c r="A34" s="5" t="str">
        <f t="shared" si="1"/>
        <v>NAME_MOVE_TACKLE</v>
      </c>
      <c r="B34" s="3" t="s">
        <v>13104</v>
      </c>
      <c r="C34" s="3" t="s">
        <v>13105</v>
      </c>
      <c r="D34" s="3" t="s">
        <v>13106</v>
      </c>
      <c r="E34" s="5" t="str">
        <f>B34</f>
        <v>Tackle</v>
      </c>
      <c r="F34" s="3" t="s">
        <v>13107</v>
      </c>
      <c r="G34" s="3" t="s">
        <v>13108</v>
      </c>
      <c r="H34" s="3" t="s">
        <v>13109</v>
      </c>
      <c r="I34" s="3" t="s">
        <v>13110</v>
      </c>
      <c r="J34" s="5" t="str">
        <f>IFERROR(__xludf.DUMMYFUNCTION("GOOGLETRANSLATE(I34,""zh_HANT"",""zh_HANS"")"),"撞击")</f>
        <v>撞击</v>
      </c>
    </row>
    <row r="35">
      <c r="A35" s="5" t="str">
        <f t="shared" si="1"/>
        <v>NAME_MOVE_BODYSLAM</v>
      </c>
      <c r="B35" s="3" t="s">
        <v>13111</v>
      </c>
      <c r="C35" s="3" t="s">
        <v>13112</v>
      </c>
      <c r="D35" s="3" t="s">
        <v>13113</v>
      </c>
      <c r="E35" s="3" t="s">
        <v>13114</v>
      </c>
      <c r="F35" s="3" t="s">
        <v>13115</v>
      </c>
      <c r="G35" s="3" t="s">
        <v>13116</v>
      </c>
      <c r="H35" s="3" t="s">
        <v>13117</v>
      </c>
      <c r="I35" s="3" t="s">
        <v>13118</v>
      </c>
      <c r="J35" s="5" t="str">
        <f>IFERROR(__xludf.DUMMYFUNCTION("GOOGLETRANSLATE(I35,""zh_HANT"",""zh_HANS"")"),"泰山压顶")</f>
        <v>泰山压顶</v>
      </c>
    </row>
    <row r="36">
      <c r="A36" s="5" t="str">
        <f t="shared" si="1"/>
        <v>NAME_MOVE_WRAP</v>
      </c>
      <c r="B36" s="3" t="s">
        <v>13119</v>
      </c>
      <c r="C36" s="3" t="s">
        <v>13120</v>
      </c>
      <c r="D36" s="3" t="s">
        <v>13121</v>
      </c>
      <c r="E36" s="3" t="s">
        <v>13122</v>
      </c>
      <c r="F36" s="3" t="s">
        <v>13123</v>
      </c>
      <c r="G36" s="3" t="s">
        <v>13124</v>
      </c>
      <c r="H36" s="3" t="s">
        <v>13125</v>
      </c>
      <c r="I36" s="3" t="s">
        <v>13126</v>
      </c>
      <c r="J36" s="5" t="str">
        <f>IFERROR(__xludf.DUMMYFUNCTION("GOOGLETRANSLATE(I36,""zh_HANT"",""zh_HANS"")"),"紧束")</f>
        <v>紧束</v>
      </c>
    </row>
    <row r="37">
      <c r="A37" s="5" t="str">
        <f t="shared" si="1"/>
        <v>NAME_MOVE_TAKEDOWN</v>
      </c>
      <c r="B37" s="3" t="s">
        <v>13127</v>
      </c>
      <c r="C37" s="3" t="s">
        <v>8643</v>
      </c>
      <c r="D37" s="3" t="s">
        <v>13128</v>
      </c>
      <c r="E37" s="3" t="s">
        <v>13129</v>
      </c>
      <c r="F37" s="3" t="s">
        <v>13130</v>
      </c>
      <c r="G37" s="3" t="s">
        <v>13131</v>
      </c>
      <c r="H37" s="7" t="s">
        <v>8648</v>
      </c>
      <c r="I37" s="3" t="s">
        <v>13132</v>
      </c>
      <c r="J37" s="5" t="str">
        <f>I37</f>
        <v>猛撞</v>
      </c>
    </row>
    <row r="38">
      <c r="A38" s="5" t="str">
        <f t="shared" si="1"/>
        <v>NAME_MOVE_THRASH</v>
      </c>
      <c r="B38" s="3" t="s">
        <v>13133</v>
      </c>
      <c r="C38" s="3" t="s">
        <v>13134</v>
      </c>
      <c r="D38" s="3" t="s">
        <v>13135</v>
      </c>
      <c r="E38" s="3" t="s">
        <v>13136</v>
      </c>
      <c r="F38" s="3" t="s">
        <v>13137</v>
      </c>
      <c r="G38" s="3" t="s">
        <v>13138</v>
      </c>
      <c r="H38" s="3" t="s">
        <v>13139</v>
      </c>
      <c r="I38" s="3" t="s">
        <v>13140</v>
      </c>
      <c r="J38" s="5" t="str">
        <f>IFERROR(__xludf.DUMMYFUNCTION("GOOGLETRANSLATE(I38,""zh_HANT"",""zh_HANS"")"),"大闹一番")</f>
        <v>大闹一番</v>
      </c>
    </row>
    <row r="39">
      <c r="A39" s="5" t="str">
        <f t="shared" ref="A39:A699" si="3">CONCATENATE("NAME_MOVE_", SUBSTITUTE(SUBSTITUTE(UPPER(B39), " ", ""), "-", ""))</f>
        <v>NAME_MOVE_DOUBLEEDGE</v>
      </c>
      <c r="B39" s="3" t="s">
        <v>13141</v>
      </c>
      <c r="C39" s="3" t="s">
        <v>13142</v>
      </c>
      <c r="D39" s="3" t="s">
        <v>13143</v>
      </c>
      <c r="E39" s="3" t="s">
        <v>13144</v>
      </c>
      <c r="F39" s="3" t="s">
        <v>13145</v>
      </c>
      <c r="G39" s="3" t="s">
        <v>13146</v>
      </c>
      <c r="H39" s="3" t="s">
        <v>13147</v>
      </c>
      <c r="I39" s="3" t="s">
        <v>13148</v>
      </c>
      <c r="J39" s="5" t="str">
        <f>IFERROR(__xludf.DUMMYFUNCTION("GOOGLETRANSLATE(I39,""zh_HANT"",""zh_HANS"")"),"舍身冲撞")</f>
        <v>舍身冲撞</v>
      </c>
    </row>
    <row r="40">
      <c r="A40" s="5" t="str">
        <f t="shared" si="3"/>
        <v>NAME_MOVE_TAILWHIP</v>
      </c>
      <c r="B40" s="3" t="s">
        <v>13149</v>
      </c>
      <c r="C40" s="3" t="s">
        <v>13150</v>
      </c>
      <c r="D40" s="3" t="s">
        <v>13151</v>
      </c>
      <c r="E40" s="3" t="s">
        <v>13152</v>
      </c>
      <c r="F40" s="3" t="s">
        <v>13153</v>
      </c>
      <c r="G40" s="3" t="s">
        <v>13154</v>
      </c>
      <c r="H40" s="3" t="s">
        <v>13155</v>
      </c>
      <c r="I40" s="3" t="s">
        <v>13156</v>
      </c>
      <c r="J40" s="5" t="str">
        <f>IFERROR(__xludf.DUMMYFUNCTION("GOOGLETRANSLATE(I40,""zh_HANT"",""zh_HANS"")"),"摇尾巴")</f>
        <v>摇尾巴</v>
      </c>
    </row>
    <row r="41">
      <c r="A41" s="5" t="str">
        <f t="shared" si="3"/>
        <v>NAME_MOVE_POISONSTING</v>
      </c>
      <c r="B41" s="3" t="s">
        <v>13157</v>
      </c>
      <c r="C41" s="3" t="s">
        <v>7473</v>
      </c>
      <c r="D41" s="3" t="s">
        <v>13158</v>
      </c>
      <c r="E41" s="3" t="s">
        <v>13159</v>
      </c>
      <c r="F41" s="3" t="s">
        <v>13160</v>
      </c>
      <c r="G41" s="3" t="s">
        <v>13161</v>
      </c>
      <c r="H41" s="3" t="s">
        <v>7478</v>
      </c>
      <c r="I41" s="3" t="s">
        <v>7479</v>
      </c>
      <c r="J41" s="5" t="str">
        <f>IFERROR(__xludf.DUMMYFUNCTION("GOOGLETRANSLATE(I41,""zh_HANT"",""zh_HANS"")"),"毒针")</f>
        <v>毒针</v>
      </c>
    </row>
    <row r="42">
      <c r="A42" s="5" t="str">
        <f t="shared" si="3"/>
        <v>NAME_MOVE_TWINEEDLE</v>
      </c>
      <c r="B42" s="3" t="s">
        <v>13162</v>
      </c>
      <c r="C42" s="3" t="s">
        <v>13163</v>
      </c>
      <c r="D42" s="3" t="s">
        <v>13164</v>
      </c>
      <c r="E42" s="3" t="s">
        <v>13165</v>
      </c>
      <c r="F42" s="3" t="s">
        <v>13166</v>
      </c>
      <c r="G42" s="3" t="s">
        <v>13167</v>
      </c>
      <c r="H42" s="3" t="s">
        <v>13168</v>
      </c>
      <c r="I42" s="3" t="s">
        <v>13169</v>
      </c>
      <c r="J42" s="5" t="str">
        <f>IFERROR(__xludf.DUMMYFUNCTION("GOOGLETRANSLATE(I42,""zh_HANT"",""zh_HANS"")"),"双针")</f>
        <v>双针</v>
      </c>
    </row>
    <row r="43">
      <c r="A43" s="5" t="str">
        <f t="shared" si="3"/>
        <v>NAME_MOVE_PINMISSLE</v>
      </c>
      <c r="B43" s="3" t="s">
        <v>13170</v>
      </c>
      <c r="C43" s="3" t="s">
        <v>13171</v>
      </c>
      <c r="D43" s="3" t="s">
        <v>13172</v>
      </c>
      <c r="E43" s="3" t="s">
        <v>13173</v>
      </c>
      <c r="F43" s="3" t="s">
        <v>13174</v>
      </c>
      <c r="G43" s="3" t="s">
        <v>13175</v>
      </c>
      <c r="H43" s="3" t="s">
        <v>13176</v>
      </c>
      <c r="I43" s="3" t="s">
        <v>13177</v>
      </c>
      <c r="J43" s="5" t="str">
        <f>IFERROR(__xludf.DUMMYFUNCTION("GOOGLETRANSLATE(I43,""zh_HANT"",""zh_HANS"")"),"飞弹针")</f>
        <v>飞弹针</v>
      </c>
    </row>
    <row r="44">
      <c r="A44" s="5" t="str">
        <f t="shared" si="3"/>
        <v>NAME_MOVE_LEER</v>
      </c>
      <c r="B44" s="3" t="s">
        <v>13178</v>
      </c>
      <c r="C44" s="3" t="s">
        <v>13179</v>
      </c>
      <c r="D44" s="3" t="s">
        <v>13180</v>
      </c>
      <c r="E44" s="3" t="s">
        <v>13181</v>
      </c>
      <c r="F44" s="3" t="s">
        <v>10077</v>
      </c>
      <c r="G44" s="3" t="s">
        <v>13182</v>
      </c>
      <c r="H44" s="3" t="s">
        <v>13183</v>
      </c>
      <c r="I44" s="3" t="s">
        <v>13184</v>
      </c>
      <c r="J44" s="5" t="str">
        <f t="shared" ref="J44:J45" si="4">I44</f>
        <v>瞪眼</v>
      </c>
    </row>
    <row r="45">
      <c r="A45" s="5" t="str">
        <f t="shared" si="3"/>
        <v>NAME_MOVE_BITE</v>
      </c>
      <c r="B45" s="3" t="s">
        <v>13185</v>
      </c>
      <c r="C45" s="3" t="s">
        <v>13186</v>
      </c>
      <c r="D45" s="3" t="s">
        <v>13187</v>
      </c>
      <c r="E45" s="3" t="s">
        <v>13188</v>
      </c>
      <c r="F45" s="3" t="s">
        <v>13189</v>
      </c>
      <c r="G45" s="3" t="s">
        <v>13190</v>
      </c>
      <c r="H45" s="3" t="s">
        <v>13191</v>
      </c>
      <c r="I45" s="3" t="s">
        <v>13192</v>
      </c>
      <c r="J45" s="5" t="str">
        <f t="shared" si="4"/>
        <v>咬住</v>
      </c>
    </row>
    <row r="46">
      <c r="A46" s="5" t="str">
        <f t="shared" si="3"/>
        <v>NAME_MOVE_GROWL</v>
      </c>
      <c r="B46" s="3" t="s">
        <v>13193</v>
      </c>
      <c r="C46" s="3" t="s">
        <v>13194</v>
      </c>
      <c r="D46" s="3" t="s">
        <v>13195</v>
      </c>
      <c r="E46" s="3" t="s">
        <v>13196</v>
      </c>
      <c r="F46" s="3" t="s">
        <v>13197</v>
      </c>
      <c r="G46" s="3" t="s">
        <v>13198</v>
      </c>
      <c r="H46" s="7" t="s">
        <v>13199</v>
      </c>
      <c r="I46" s="7" t="s">
        <v>13200</v>
      </c>
      <c r="J46" s="5" t="str">
        <f>IFERROR(__xludf.DUMMYFUNCTION("GOOGLETRANSLATE(I46,""zh_HANT"",""zh_HANS"")"),"叫声")</f>
        <v>叫声</v>
      </c>
    </row>
    <row r="47">
      <c r="A47" s="5" t="str">
        <f t="shared" si="3"/>
        <v>NAME_MOVE_ROAR</v>
      </c>
      <c r="B47" s="3" t="s">
        <v>13201</v>
      </c>
      <c r="C47" s="3" t="s">
        <v>13202</v>
      </c>
      <c r="D47" s="3" t="s">
        <v>13203</v>
      </c>
      <c r="E47" s="3" t="s">
        <v>13204</v>
      </c>
      <c r="F47" s="3" t="s">
        <v>13205</v>
      </c>
      <c r="G47" s="3" t="s">
        <v>13206</v>
      </c>
      <c r="H47" s="7" t="s">
        <v>13207</v>
      </c>
      <c r="I47" s="7" t="s">
        <v>13208</v>
      </c>
      <c r="J47" s="5" t="str">
        <f t="shared" ref="J47:J52" si="5">I47</f>
        <v>吼叫</v>
      </c>
    </row>
    <row r="48">
      <c r="A48" s="5" t="str">
        <f t="shared" si="3"/>
        <v>NAME_MOVE_SING</v>
      </c>
      <c r="B48" s="3" t="s">
        <v>13209</v>
      </c>
      <c r="C48" s="3" t="s">
        <v>13210</v>
      </c>
      <c r="D48" s="3" t="s">
        <v>13211</v>
      </c>
      <c r="E48" s="3" t="s">
        <v>13212</v>
      </c>
      <c r="F48" s="3" t="s">
        <v>13213</v>
      </c>
      <c r="G48" s="5" t="str">
        <f>F48</f>
        <v>Canto</v>
      </c>
      <c r="H48" s="7" t="s">
        <v>13214</v>
      </c>
      <c r="I48" s="7" t="s">
        <v>13215</v>
      </c>
      <c r="J48" s="5" t="str">
        <f t="shared" si="5"/>
        <v>唱歌</v>
      </c>
    </row>
    <row r="49">
      <c r="A49" s="5" t="str">
        <f t="shared" si="3"/>
        <v>NAME_MOVE_SUPERSONIC</v>
      </c>
      <c r="B49" s="3" t="s">
        <v>9702</v>
      </c>
      <c r="C49" s="3" t="s">
        <v>13216</v>
      </c>
      <c r="D49" s="3" t="s">
        <v>13217</v>
      </c>
      <c r="E49" s="3" t="s">
        <v>13218</v>
      </c>
      <c r="F49" s="3" t="s">
        <v>13219</v>
      </c>
      <c r="G49" s="3" t="s">
        <v>13220</v>
      </c>
      <c r="H49" s="7" t="s">
        <v>13221</v>
      </c>
      <c r="I49" s="7" t="s">
        <v>13222</v>
      </c>
      <c r="J49" s="5" t="str">
        <f t="shared" si="5"/>
        <v>超音波</v>
      </c>
    </row>
    <row r="50">
      <c r="A50" s="5" t="str">
        <f t="shared" si="3"/>
        <v>NAME_MOVE_SONICBOOM</v>
      </c>
      <c r="B50" s="3" t="s">
        <v>13223</v>
      </c>
      <c r="C50" s="3" t="s">
        <v>13224</v>
      </c>
      <c r="D50" s="5" t="str">
        <f>B50</f>
        <v>Sonic Boom</v>
      </c>
      <c r="E50" s="3" t="s">
        <v>13225</v>
      </c>
      <c r="F50" s="3" t="s">
        <v>13226</v>
      </c>
      <c r="G50" s="3" t="s">
        <v>13227</v>
      </c>
      <c r="H50" s="7" t="s">
        <v>13228</v>
      </c>
      <c r="I50" s="7" t="s">
        <v>13229</v>
      </c>
      <c r="J50" s="5" t="str">
        <f t="shared" si="5"/>
        <v>音爆</v>
      </c>
    </row>
    <row r="51">
      <c r="A51" s="5" t="str">
        <f t="shared" si="3"/>
        <v>NAME_MOVE_DISABLE</v>
      </c>
      <c r="B51" s="3" t="s">
        <v>13230</v>
      </c>
      <c r="C51" s="3" t="s">
        <v>13231</v>
      </c>
      <c r="D51" s="3" t="s">
        <v>13232</v>
      </c>
      <c r="E51" s="3" t="s">
        <v>13233</v>
      </c>
      <c r="F51" s="3" t="s">
        <v>13234</v>
      </c>
      <c r="G51" s="3" t="s">
        <v>13235</v>
      </c>
      <c r="H51" s="7" t="s">
        <v>13236</v>
      </c>
      <c r="I51" s="7" t="s">
        <v>13237</v>
      </c>
      <c r="J51" s="5" t="str">
        <f t="shared" si="5"/>
        <v>定身法</v>
      </c>
    </row>
    <row r="52">
      <c r="A52" s="5" t="str">
        <f t="shared" si="3"/>
        <v>NAME_MOVE_ACID</v>
      </c>
      <c r="B52" s="3" t="s">
        <v>13238</v>
      </c>
      <c r="C52" s="3" t="s">
        <v>13239</v>
      </c>
      <c r="D52" s="3" t="s">
        <v>13240</v>
      </c>
      <c r="E52" s="3" t="s">
        <v>13241</v>
      </c>
      <c r="F52" s="3" t="s">
        <v>13242</v>
      </c>
      <c r="G52" s="5" t="str">
        <f>CONCATENATE(B52,"o")</f>
        <v>Acido</v>
      </c>
      <c r="H52" s="7" t="s">
        <v>13243</v>
      </c>
      <c r="I52" s="7" t="s">
        <v>13244</v>
      </c>
      <c r="J52" s="5" t="str">
        <f t="shared" si="5"/>
        <v>溶解液</v>
      </c>
    </row>
    <row r="53">
      <c r="A53" s="5" t="str">
        <f t="shared" si="3"/>
        <v>NAME_MOVE_EMBER</v>
      </c>
      <c r="B53" s="3" t="s">
        <v>13245</v>
      </c>
      <c r="C53" s="3" t="s">
        <v>13246</v>
      </c>
      <c r="D53" s="3" t="s">
        <v>13247</v>
      </c>
      <c r="E53" s="3" t="s">
        <v>13248</v>
      </c>
      <c r="F53" s="3" t="s">
        <v>8529</v>
      </c>
      <c r="G53" s="3" t="s">
        <v>13249</v>
      </c>
      <c r="H53" s="3" t="s">
        <v>13250</v>
      </c>
      <c r="I53" s="5" t="str">
        <f>J53</f>
        <v>火花</v>
      </c>
      <c r="J53" s="3" t="s">
        <v>13251</v>
      </c>
    </row>
    <row r="54">
      <c r="A54" s="5" t="str">
        <f t="shared" si="3"/>
        <v>NAME_MOVE_FLAMETHROWER</v>
      </c>
      <c r="B54" s="3" t="s">
        <v>13252</v>
      </c>
      <c r="C54" s="3" t="s">
        <v>13253</v>
      </c>
      <c r="D54" s="3" t="s">
        <v>13254</v>
      </c>
      <c r="E54" s="3" t="s">
        <v>13255</v>
      </c>
      <c r="F54" s="3" t="s">
        <v>13256</v>
      </c>
      <c r="G54" s="3" t="s">
        <v>13257</v>
      </c>
      <c r="H54" s="7" t="s">
        <v>13258</v>
      </c>
      <c r="I54" s="7" t="s">
        <v>13259</v>
      </c>
      <c r="J54" s="5" t="str">
        <f>IFERROR(__xludf.DUMMYFUNCTION("GOOGLETRANSLATE(I54,""zh_HANT"",""zh_HANS"")"),"喷射火焰")</f>
        <v>喷射火焰</v>
      </c>
    </row>
    <row r="55">
      <c r="A55" s="5" t="str">
        <f t="shared" si="3"/>
        <v>NAME_MOVE_MIST</v>
      </c>
      <c r="B55" s="3" t="s">
        <v>13260</v>
      </c>
      <c r="C55" s="3" t="s">
        <v>13261</v>
      </c>
      <c r="D55" s="3" t="s">
        <v>13262</v>
      </c>
      <c r="E55" s="3" t="s">
        <v>13263</v>
      </c>
      <c r="F55" s="3" t="s">
        <v>13264</v>
      </c>
      <c r="G55" s="3" t="s">
        <v>13265</v>
      </c>
      <c r="H55" s="7" t="s">
        <v>13266</v>
      </c>
      <c r="I55" s="7" t="s">
        <v>13267</v>
      </c>
      <c r="J55" s="5" t="str">
        <f>IFERROR(__xludf.DUMMYFUNCTION("GOOGLETRANSLATE(I55,""zh_HANT"",""zh_HANS"")"),"白雾")</f>
        <v>白雾</v>
      </c>
    </row>
    <row r="56">
      <c r="A56" s="5" t="str">
        <f t="shared" si="3"/>
        <v>NAME_MOVE_WATERGUN</v>
      </c>
      <c r="B56" s="3" t="s">
        <v>13268</v>
      </c>
      <c r="C56" s="3" t="s">
        <v>13269</v>
      </c>
      <c r="D56" s="3" t="s">
        <v>13270</v>
      </c>
      <c r="E56" s="3" t="s">
        <v>13271</v>
      </c>
      <c r="F56" s="3" t="s">
        <v>13272</v>
      </c>
      <c r="G56" s="3" t="s">
        <v>13273</v>
      </c>
      <c r="H56" s="3" t="s">
        <v>13274</v>
      </c>
      <c r="I56" s="3" t="s">
        <v>13275</v>
      </c>
      <c r="J56" s="5" t="str">
        <f>IFERROR(__xludf.DUMMYFUNCTION("GOOGLETRANSLATE(I56,""zh_HANT"",""zh_HANS"")"),"水枪")</f>
        <v>水枪</v>
      </c>
    </row>
    <row r="57">
      <c r="A57" s="5" t="str">
        <f t="shared" si="3"/>
        <v>NAME_MOVE_HYDROPUMP</v>
      </c>
      <c r="B57" s="3" t="s">
        <v>13276</v>
      </c>
      <c r="C57" s="3" t="s">
        <v>13277</v>
      </c>
      <c r="D57" s="3" t="s">
        <v>13278</v>
      </c>
      <c r="E57" s="3" t="s">
        <v>13279</v>
      </c>
      <c r="F57" s="3" t="s">
        <v>13280</v>
      </c>
      <c r="G57" s="3" t="s">
        <v>13281</v>
      </c>
      <c r="H57" s="3" t="s">
        <v>13282</v>
      </c>
      <c r="I57" s="3" t="s">
        <v>13283</v>
      </c>
      <c r="J57" s="5" t="str">
        <f>I57</f>
        <v>水炮</v>
      </c>
    </row>
    <row r="58">
      <c r="A58" s="5" t="str">
        <f t="shared" si="3"/>
        <v>NAME_MOVE_SURF</v>
      </c>
      <c r="B58" s="3" t="s">
        <v>13284</v>
      </c>
      <c r="C58" s="3" t="s">
        <v>13285</v>
      </c>
      <c r="D58" s="5" t="str">
        <f>B58</f>
        <v>Surf</v>
      </c>
      <c r="E58" s="5" t="str">
        <f>CONCATENATE(B58,"er")</f>
        <v>Surfer</v>
      </c>
      <c r="F58" s="3" t="str">
        <f>B58</f>
        <v>Surf</v>
      </c>
      <c r="G58" s="5" t="str">
        <f>B58</f>
        <v>Surf</v>
      </c>
      <c r="H58" s="3" t="s">
        <v>13286</v>
      </c>
      <c r="I58" s="3" t="s">
        <v>13287</v>
      </c>
      <c r="J58" s="5" t="str">
        <f>IFERROR(__xludf.DUMMYFUNCTION("GOOGLETRANSLATE(I58,""zh_HANT"",""zh_HANS"")"),"冲浪")</f>
        <v>冲浪</v>
      </c>
    </row>
    <row r="59">
      <c r="A59" s="5" t="str">
        <f t="shared" si="3"/>
        <v>NAME_MOVE_ICEBEAM</v>
      </c>
      <c r="B59" s="3" t="s">
        <v>13288</v>
      </c>
      <c r="C59" s="3" t="s">
        <v>13289</v>
      </c>
      <c r="D59" s="3" t="s">
        <v>13290</v>
      </c>
      <c r="E59" s="3" t="s">
        <v>13291</v>
      </c>
      <c r="F59" s="3" t="s">
        <v>13292</v>
      </c>
      <c r="G59" s="3" t="s">
        <v>13293</v>
      </c>
      <c r="H59" s="3" t="s">
        <v>13294</v>
      </c>
      <c r="I59" s="3" t="s">
        <v>13295</v>
      </c>
      <c r="J59" s="5" t="str">
        <f>IFERROR(__xludf.DUMMYFUNCTION("GOOGLETRANSLATE(I59,""zh_HANT"",""zh_HANS"")"),"冰冻光束")</f>
        <v>冰冻光束</v>
      </c>
    </row>
    <row r="60">
      <c r="A60" s="5" t="str">
        <f t="shared" si="3"/>
        <v>NAME_MOVE_BLIZZARD</v>
      </c>
      <c r="B60" s="3" t="s">
        <v>13296</v>
      </c>
      <c r="C60" s="3" t="s">
        <v>13297</v>
      </c>
      <c r="D60" s="5" t="str">
        <f>B60</f>
        <v>Blizzard</v>
      </c>
      <c r="E60" s="5" t="str">
        <f>B60</f>
        <v>Blizzard</v>
      </c>
      <c r="F60" s="3" t="s">
        <v>13298</v>
      </c>
      <c r="G60" s="3" t="s">
        <v>13299</v>
      </c>
      <c r="H60" s="3" t="s">
        <v>13300</v>
      </c>
      <c r="I60" s="3" t="s">
        <v>13301</v>
      </c>
      <c r="J60" s="5" t="str">
        <f>IFERROR(__xludf.DUMMYFUNCTION("GOOGLETRANSLATE(I60,""zh_HANT"",""zh_HANS"")"),"暴风雪")</f>
        <v>暴风雪</v>
      </c>
    </row>
    <row r="61">
      <c r="A61" s="5" t="str">
        <f t="shared" si="3"/>
        <v>NAME_MOVE_PSYBEAM</v>
      </c>
      <c r="B61" s="3" t="s">
        <v>13302</v>
      </c>
      <c r="C61" s="3" t="s">
        <v>13303</v>
      </c>
      <c r="D61" s="3" t="s">
        <v>13304</v>
      </c>
      <c r="E61" s="3" t="s">
        <v>13305</v>
      </c>
      <c r="F61" s="3" t="s">
        <v>13306</v>
      </c>
      <c r="G61" s="3" t="s">
        <v>13307</v>
      </c>
      <c r="H61" s="3" t="s">
        <v>13308</v>
      </c>
      <c r="I61" s="3" t="s">
        <v>13309</v>
      </c>
      <c r="J61" s="5" t="str">
        <f>IFERROR(__xludf.DUMMYFUNCTION("GOOGLETRANSLATE(I61,""zh_HANT"",""zh_HANS"")"),"幻象光线")</f>
        <v>幻象光线</v>
      </c>
    </row>
    <row r="62">
      <c r="A62" s="5" t="str">
        <f t="shared" si="3"/>
        <v>NAME_MOVE_BUBBLEBEAM</v>
      </c>
      <c r="B62" s="3" t="s">
        <v>13310</v>
      </c>
      <c r="C62" s="3" t="s">
        <v>13311</v>
      </c>
      <c r="D62" s="3" t="s">
        <v>13312</v>
      </c>
      <c r="E62" s="3" t="s">
        <v>13313</v>
      </c>
      <c r="F62" s="3" t="s">
        <v>13314</v>
      </c>
      <c r="G62" s="3" t="s">
        <v>13315</v>
      </c>
      <c r="H62" s="3" t="s">
        <v>13316</v>
      </c>
      <c r="I62" s="3" t="s">
        <v>13317</v>
      </c>
      <c r="J62" s="5" t="str">
        <f>IFERROR(__xludf.DUMMYFUNCTION("GOOGLETRANSLATE(I62,""zh_HANT"",""zh_HANS"")"),"泡沫光线")</f>
        <v>泡沫光线</v>
      </c>
    </row>
    <row r="63">
      <c r="A63" s="5" t="str">
        <f t="shared" si="3"/>
        <v>NAME_MOVE_AURORABEAM</v>
      </c>
      <c r="B63" s="3" t="s">
        <v>13318</v>
      </c>
      <c r="C63" s="3" t="s">
        <v>13319</v>
      </c>
      <c r="D63" s="3" t="s">
        <v>13320</v>
      </c>
      <c r="E63" s="3" t="s">
        <v>13321</v>
      </c>
      <c r="F63" s="3" t="s">
        <v>13322</v>
      </c>
      <c r="G63" s="3" t="s">
        <v>13323</v>
      </c>
      <c r="H63" s="3" t="s">
        <v>13324</v>
      </c>
      <c r="I63" s="3" t="s">
        <v>13325</v>
      </c>
      <c r="J63" s="5" t="str">
        <f>IFERROR(__xludf.DUMMYFUNCTION("GOOGLETRANSLATE(I63,""zh_HANT"",""zh_HANS"")"),"极光束")</f>
        <v>极光束</v>
      </c>
    </row>
    <row r="64">
      <c r="A64" s="5" t="str">
        <f t="shared" si="3"/>
        <v>NAME_MOVE_HYPERBEAM</v>
      </c>
      <c r="B64" s="3" t="s">
        <v>13326</v>
      </c>
      <c r="C64" s="3" t="s">
        <v>13327</v>
      </c>
      <c r="D64" s="3" t="s">
        <v>13328</v>
      </c>
      <c r="E64" s="3" t="s">
        <v>13329</v>
      </c>
      <c r="F64" s="3" t="s">
        <v>13330</v>
      </c>
      <c r="G64" s="3" t="s">
        <v>13331</v>
      </c>
      <c r="H64" s="3" t="s">
        <v>13332</v>
      </c>
      <c r="I64" s="3" t="s">
        <v>13333</v>
      </c>
      <c r="J64" s="5" t="str">
        <f>IFERROR(__xludf.DUMMYFUNCTION("GOOGLETRANSLATE(I64,""zh_HANT"",""zh_HANS"")"),"破坏光线")</f>
        <v>破坏光线</v>
      </c>
    </row>
    <row r="65">
      <c r="A65" s="5" t="str">
        <f t="shared" si="3"/>
        <v>NAME_MOVE_PECK</v>
      </c>
      <c r="B65" s="3" t="s">
        <v>13334</v>
      </c>
      <c r="C65" s="3" t="s">
        <v>13335</v>
      </c>
      <c r="D65" s="3" t="s">
        <v>13336</v>
      </c>
      <c r="E65" s="3" t="s">
        <v>13337</v>
      </c>
      <c r="F65" s="3" t="s">
        <v>13338</v>
      </c>
      <c r="G65" s="3" t="s">
        <v>13339</v>
      </c>
      <c r="H65" s="3" t="s">
        <v>13340</v>
      </c>
      <c r="I65" s="3" t="s">
        <v>13341</v>
      </c>
      <c r="J65" s="5" t="str">
        <f>I65</f>
        <v>啄</v>
      </c>
    </row>
    <row r="66">
      <c r="A66" s="5" t="str">
        <f t="shared" si="3"/>
        <v>NAME_MOVE_DRILLPECK</v>
      </c>
      <c r="B66" s="3" t="s">
        <v>13342</v>
      </c>
      <c r="C66" s="3" t="s">
        <v>13343</v>
      </c>
      <c r="D66" s="3" t="s">
        <v>13344</v>
      </c>
      <c r="E66" s="3" t="s">
        <v>13345</v>
      </c>
      <c r="F66" s="3" t="s">
        <v>13346</v>
      </c>
      <c r="G66" s="3" t="s">
        <v>13347</v>
      </c>
      <c r="H66" s="3" t="s">
        <v>13348</v>
      </c>
      <c r="I66" s="3" t="s">
        <v>13349</v>
      </c>
      <c r="J66" s="5" t="str">
        <f>IFERROR(__xludf.DUMMYFUNCTION("GOOGLETRANSLATE(I66,""zh_HANT"",""zh_HANS"")"),"啄钻")</f>
        <v>啄钻</v>
      </c>
    </row>
    <row r="67">
      <c r="A67" s="5" t="str">
        <f t="shared" si="3"/>
        <v>NAME_MOVE_SUBMISSION</v>
      </c>
      <c r="B67" s="3" t="s">
        <v>13350</v>
      </c>
      <c r="C67" s="3" t="s">
        <v>13351</v>
      </c>
      <c r="D67" s="3" t="s">
        <v>13352</v>
      </c>
      <c r="E67" s="3" t="s">
        <v>13353</v>
      </c>
      <c r="F67" s="3" t="s">
        <v>13354</v>
      </c>
      <c r="G67" s="3" t="s">
        <v>13355</v>
      </c>
      <c r="H67" s="3" t="s">
        <v>13356</v>
      </c>
      <c r="I67" s="3" t="s">
        <v>13357</v>
      </c>
      <c r="J67" s="3" t="s">
        <v>13358</v>
      </c>
    </row>
    <row r="68">
      <c r="A68" s="5" t="str">
        <f t="shared" si="3"/>
        <v>NAME_MOVE_LOWKICK</v>
      </c>
      <c r="B68" s="3" t="s">
        <v>13359</v>
      </c>
      <c r="C68" s="3" t="s">
        <v>13360</v>
      </c>
      <c r="D68" s="3" t="s">
        <v>13361</v>
      </c>
      <c r="E68" s="3" t="s">
        <v>13362</v>
      </c>
      <c r="F68" s="3" t="s">
        <v>13363</v>
      </c>
      <c r="G68" s="3" t="s">
        <v>13364</v>
      </c>
      <c r="H68" s="3" t="s">
        <v>13365</v>
      </c>
      <c r="I68" s="3" t="s">
        <v>13366</v>
      </c>
      <c r="J68" s="5" t="str">
        <f>I68</f>
        <v>踢倒</v>
      </c>
    </row>
    <row r="69">
      <c r="A69" s="5" t="str">
        <f t="shared" si="3"/>
        <v>NAME_MOVE_COUNTER</v>
      </c>
      <c r="B69" s="3" t="s">
        <v>13367</v>
      </c>
      <c r="C69" s="3" t="s">
        <v>13368</v>
      </c>
      <c r="D69" s="3" t="s">
        <v>13369</v>
      </c>
      <c r="E69" s="3" t="s">
        <v>13370</v>
      </c>
      <c r="F69" s="3" t="s">
        <v>13371</v>
      </c>
      <c r="G69" s="3" t="s">
        <v>13372</v>
      </c>
      <c r="H69" s="3" t="s">
        <v>13373</v>
      </c>
      <c r="I69" s="3" t="s">
        <v>13374</v>
      </c>
      <c r="J69" s="5" t="str">
        <f>IFERROR(__xludf.DUMMYFUNCTION("GOOGLETRANSLATE(I69,""zh_HANT"",""zh_HANS"")"),"双倍奉还")</f>
        <v>双倍奉还</v>
      </c>
    </row>
    <row r="70">
      <c r="A70" s="5" t="str">
        <f t="shared" si="3"/>
        <v>NAME_MOVE_SEISMICTOSS</v>
      </c>
      <c r="B70" s="3" t="s">
        <v>13375</v>
      </c>
      <c r="C70" s="3" t="s">
        <v>13376</v>
      </c>
      <c r="D70" s="3" t="s">
        <v>13377</v>
      </c>
      <c r="E70" s="3" t="s">
        <v>13378</v>
      </c>
      <c r="F70" s="3" t="s">
        <v>13379</v>
      </c>
      <c r="G70" s="3" t="s">
        <v>13380</v>
      </c>
      <c r="H70" s="3" t="s">
        <v>13381</v>
      </c>
      <c r="I70" s="3" t="s">
        <v>13382</v>
      </c>
      <c r="J70" s="5" t="str">
        <f t="shared" ref="J70:J72" si="6">I70</f>
        <v>地球上投</v>
      </c>
    </row>
    <row r="71">
      <c r="A71" s="5" t="str">
        <f t="shared" si="3"/>
        <v>NAME_MOVE_STRENGTH</v>
      </c>
      <c r="B71" s="3" t="s">
        <v>13383</v>
      </c>
      <c r="C71" s="3" t="s">
        <v>7626</v>
      </c>
      <c r="D71" s="3" t="s">
        <v>13384</v>
      </c>
      <c r="E71" s="3" t="s">
        <v>13385</v>
      </c>
      <c r="F71" s="3" t="s">
        <v>13386</v>
      </c>
      <c r="G71" s="3" t="s">
        <v>13387</v>
      </c>
      <c r="H71" s="3" t="s">
        <v>7631</v>
      </c>
      <c r="I71" s="3" t="s">
        <v>384</v>
      </c>
      <c r="J71" s="5" t="str">
        <f t="shared" si="6"/>
        <v>怪力</v>
      </c>
    </row>
    <row r="72">
      <c r="A72" s="5" t="str">
        <f t="shared" si="3"/>
        <v>NAME_MOVE_ABSORB</v>
      </c>
      <c r="B72" s="3" t="s">
        <v>13388</v>
      </c>
      <c r="C72" s="3" t="s">
        <v>13389</v>
      </c>
      <c r="D72" s="3" t="s">
        <v>13390</v>
      </c>
      <c r="E72" s="5" t="str">
        <f>CONCATENATE(B72,"er")</f>
        <v>Absorber</v>
      </c>
      <c r="F72" s="3" t="s">
        <v>13391</v>
      </c>
      <c r="G72" s="3" t="s">
        <v>13392</v>
      </c>
      <c r="H72" s="3" t="s">
        <v>13393</v>
      </c>
      <c r="I72" s="3" t="s">
        <v>13394</v>
      </c>
      <c r="J72" s="5" t="str">
        <f t="shared" si="6"/>
        <v>吸取</v>
      </c>
    </row>
    <row r="73">
      <c r="A73" s="5" t="str">
        <f t="shared" si="3"/>
        <v>NAME_MOVE_MEGADRAIN</v>
      </c>
      <c r="B73" s="3" t="s">
        <v>13395</v>
      </c>
      <c r="C73" s="3" t="s">
        <v>13396</v>
      </c>
      <c r="D73" s="3" t="s">
        <v>13397</v>
      </c>
      <c r="E73" s="3" t="s">
        <v>13398</v>
      </c>
      <c r="F73" s="3" t="s">
        <v>13399</v>
      </c>
      <c r="G73" s="3" t="s">
        <v>13400</v>
      </c>
      <c r="H73" s="3" t="s">
        <v>13401</v>
      </c>
      <c r="I73" s="3" t="s">
        <v>13402</v>
      </c>
      <c r="J73" s="5" t="str">
        <f>IFERROR(__xludf.DUMMYFUNCTION("GOOGLETRANSLATE(I73,""zh_HANT"",""zh_HANS"")"),"超级吸取")</f>
        <v>超级吸取</v>
      </c>
    </row>
    <row r="74">
      <c r="A74" s="5" t="str">
        <f t="shared" si="3"/>
        <v>NAME_MOVE_LEECHSEED</v>
      </c>
      <c r="B74" s="3" t="s">
        <v>13403</v>
      </c>
      <c r="C74" s="3" t="s">
        <v>13404</v>
      </c>
      <c r="D74" s="3" t="s">
        <v>13405</v>
      </c>
      <c r="E74" s="3" t="s">
        <v>13406</v>
      </c>
      <c r="F74" s="3" t="s">
        <v>13407</v>
      </c>
      <c r="G74" s="3" t="s">
        <v>13408</v>
      </c>
      <c r="H74" s="3" t="s">
        <v>13409</v>
      </c>
      <c r="I74" s="3" t="s">
        <v>13410</v>
      </c>
      <c r="J74" s="5" t="str">
        <f>IFERROR(__xludf.DUMMYFUNCTION("GOOGLETRANSLATE(I74,""zh_HANT"",""zh_HANS"")"),"寄生种子")</f>
        <v>寄生种子</v>
      </c>
    </row>
    <row r="75">
      <c r="A75" s="5" t="str">
        <f t="shared" si="3"/>
        <v>NAME_MOVE_GROWTH</v>
      </c>
      <c r="B75" s="3" t="s">
        <v>13411</v>
      </c>
      <c r="C75" s="3" t="s">
        <v>13412</v>
      </c>
      <c r="D75" s="3" t="s">
        <v>13413</v>
      </c>
      <c r="E75" s="3" t="s">
        <v>13414</v>
      </c>
      <c r="F75" s="3" t="s">
        <v>13415</v>
      </c>
      <c r="G75" s="3" t="s">
        <v>13416</v>
      </c>
      <c r="H75" s="3" t="s">
        <v>13417</v>
      </c>
      <c r="I75" s="3" t="s">
        <v>13418</v>
      </c>
      <c r="J75" s="5" t="str">
        <f>IFERROR(__xludf.DUMMYFUNCTION("GOOGLETRANSLATE(I75,""zh_HANT"",""zh_HANS"")"),"生长")</f>
        <v>生长</v>
      </c>
    </row>
    <row r="76">
      <c r="A76" s="5" t="str">
        <f t="shared" si="3"/>
        <v>NAME_MOVE_RAZORLEAF</v>
      </c>
      <c r="B76" s="3" t="s">
        <v>13419</v>
      </c>
      <c r="C76" s="3" t="s">
        <v>13420</v>
      </c>
      <c r="D76" s="3" t="s">
        <v>13421</v>
      </c>
      <c r="E76" s="3" t="s">
        <v>13422</v>
      </c>
      <c r="F76" s="3" t="s">
        <v>13423</v>
      </c>
      <c r="G76" s="3" t="s">
        <v>13424</v>
      </c>
      <c r="H76" s="3" t="s">
        <v>13425</v>
      </c>
      <c r="I76" s="3" t="s">
        <v>13426</v>
      </c>
      <c r="J76" s="5" t="str">
        <f>IFERROR(__xludf.DUMMYFUNCTION("GOOGLETRANSLATE(I76,""zh_HANT"",""zh_HANS"")"),"飞叶快刀")</f>
        <v>飞叶快刀</v>
      </c>
    </row>
    <row r="77">
      <c r="A77" s="5" t="str">
        <f t="shared" si="3"/>
        <v>NAME_MOVE_SOLARBEAM</v>
      </c>
      <c r="B77" s="3" t="s">
        <v>13427</v>
      </c>
      <c r="C77" s="3" t="s">
        <v>13428</v>
      </c>
      <c r="D77" s="3" t="s">
        <v>13429</v>
      </c>
      <c r="E77" s="3" t="s">
        <v>13430</v>
      </c>
      <c r="F77" s="3" t="s">
        <v>13431</v>
      </c>
      <c r="G77" s="3" t="s">
        <v>13432</v>
      </c>
      <c r="H77" s="3" t="s">
        <v>13433</v>
      </c>
      <c r="I77" s="3" t="s">
        <v>13434</v>
      </c>
      <c r="J77" s="5" t="str">
        <f t="shared" ref="J77:J81" si="7">I77</f>
        <v>日光束</v>
      </c>
    </row>
    <row r="78">
      <c r="A78" s="5" t="str">
        <f t="shared" si="3"/>
        <v>NAME_MOVE_POISONPOWDER</v>
      </c>
      <c r="B78" s="3" t="s">
        <v>13435</v>
      </c>
      <c r="C78" s="3" t="s">
        <v>13436</v>
      </c>
      <c r="D78" s="3" t="s">
        <v>13437</v>
      </c>
      <c r="E78" s="3" t="s">
        <v>13438</v>
      </c>
      <c r="F78" s="3" t="s">
        <v>13439</v>
      </c>
      <c r="G78" s="3" t="s">
        <v>13440</v>
      </c>
      <c r="H78" s="3" t="s">
        <v>13441</v>
      </c>
      <c r="I78" s="3" t="s">
        <v>13442</v>
      </c>
      <c r="J78" s="5" t="str">
        <f t="shared" si="7"/>
        <v>毒粉</v>
      </c>
    </row>
    <row r="79">
      <c r="A79" s="5" t="str">
        <f t="shared" si="3"/>
        <v>NAME_MOVE_STUNSPORE</v>
      </c>
      <c r="B79" s="3" t="s">
        <v>13443</v>
      </c>
      <c r="C79" s="3" t="s">
        <v>13444</v>
      </c>
      <c r="D79" s="3" t="s">
        <v>13445</v>
      </c>
      <c r="E79" s="3" t="s">
        <v>13446</v>
      </c>
      <c r="F79" s="3" t="s">
        <v>13447</v>
      </c>
      <c r="G79" s="3" t="s">
        <v>13448</v>
      </c>
      <c r="H79" s="3" t="s">
        <v>13449</v>
      </c>
      <c r="I79" s="3" t="s">
        <v>13450</v>
      </c>
      <c r="J79" s="5" t="str">
        <f t="shared" si="7"/>
        <v>麻痺粉</v>
      </c>
    </row>
    <row r="80">
      <c r="A80" s="5" t="str">
        <f t="shared" si="3"/>
        <v>NAME_MOVE_SLEEPPOWDER</v>
      </c>
      <c r="B80" s="3" t="s">
        <v>13451</v>
      </c>
      <c r="C80" s="3" t="s">
        <v>13452</v>
      </c>
      <c r="D80" s="3" t="s">
        <v>13453</v>
      </c>
      <c r="E80" s="3" t="s">
        <v>13454</v>
      </c>
      <c r="F80" s="3" t="s">
        <v>13455</v>
      </c>
      <c r="G80" s="3" t="s">
        <v>13456</v>
      </c>
      <c r="H80" s="3" t="s">
        <v>13457</v>
      </c>
      <c r="I80" s="3" t="s">
        <v>13458</v>
      </c>
      <c r="J80" s="5" t="str">
        <f t="shared" si="7"/>
        <v>催眠粉</v>
      </c>
    </row>
    <row r="81">
      <c r="A81" s="5" t="str">
        <f t="shared" si="3"/>
        <v>NAME_MOVE_PETALDANCE</v>
      </c>
      <c r="B81" s="3" t="s">
        <v>13459</v>
      </c>
      <c r="C81" s="3" t="s">
        <v>13460</v>
      </c>
      <c r="D81" s="3" t="s">
        <v>13461</v>
      </c>
      <c r="E81" s="3" t="s">
        <v>13462</v>
      </c>
      <c r="F81" s="3" t="s">
        <v>13463</v>
      </c>
      <c r="G81" s="3" t="s">
        <v>13464</v>
      </c>
      <c r="H81" s="3" t="s">
        <v>13465</v>
      </c>
      <c r="I81" s="3" t="s">
        <v>13466</v>
      </c>
      <c r="J81" s="5" t="str">
        <f t="shared" si="7"/>
        <v>花瓣舞</v>
      </c>
    </row>
    <row r="82">
      <c r="A82" s="5" t="str">
        <f t="shared" si="3"/>
        <v>NAME_MOVE_STRINGSHOT</v>
      </c>
      <c r="B82" s="3" t="s">
        <v>13467</v>
      </c>
      <c r="C82" s="3" t="s">
        <v>13468</v>
      </c>
      <c r="D82" s="3" t="s">
        <v>13469</v>
      </c>
      <c r="E82" s="3" t="s">
        <v>13470</v>
      </c>
      <c r="F82" s="3" t="s">
        <v>13471</v>
      </c>
      <c r="G82" s="3" t="s">
        <v>13472</v>
      </c>
      <c r="H82" s="3" t="s">
        <v>8139</v>
      </c>
      <c r="I82" s="3" t="s">
        <v>8140</v>
      </c>
      <c r="J82" s="5" t="str">
        <f>IFERROR(__xludf.DUMMYFUNCTION("GOOGLETRANSLATE(I82,""zh_HANT"",""zh_HANS"")"),"吐丝")</f>
        <v>吐丝</v>
      </c>
    </row>
    <row r="83">
      <c r="A83" s="5" t="str">
        <f t="shared" si="3"/>
        <v>NAME_MOVE_DRAGONRAGE</v>
      </c>
      <c r="B83" s="3" t="s">
        <v>13473</v>
      </c>
      <c r="C83" s="3" t="s">
        <v>13474</v>
      </c>
      <c r="D83" s="3" t="s">
        <v>13475</v>
      </c>
      <c r="E83" s="3" t="s">
        <v>13476</v>
      </c>
      <c r="F83" s="3" t="s">
        <v>13477</v>
      </c>
      <c r="G83" s="3" t="s">
        <v>13478</v>
      </c>
      <c r="H83" s="3" t="s">
        <v>13479</v>
      </c>
      <c r="I83" s="3" t="s">
        <v>13480</v>
      </c>
      <c r="J83" s="5" t="str">
        <f>IFERROR(__xludf.DUMMYFUNCTION("GOOGLETRANSLATE(I83,""zh_HANT"",""zh_HANS"")"),"龙之怒")</f>
        <v>龙之怒</v>
      </c>
    </row>
    <row r="84">
      <c r="A84" s="5" t="str">
        <f t="shared" si="3"/>
        <v>NAME_MOVE_FIRESPIN</v>
      </c>
      <c r="B84" s="3" t="s">
        <v>13481</v>
      </c>
      <c r="C84" s="3" t="s">
        <v>13482</v>
      </c>
      <c r="D84" s="3" t="s">
        <v>13483</v>
      </c>
      <c r="E84" s="3" t="s">
        <v>13484</v>
      </c>
      <c r="F84" s="3" t="s">
        <v>13485</v>
      </c>
      <c r="G84" s="3" t="s">
        <v>13486</v>
      </c>
      <c r="H84" s="3" t="s">
        <v>13487</v>
      </c>
      <c r="I84" s="3" t="s">
        <v>13488</v>
      </c>
      <c r="J84" s="5" t="str">
        <f>IFERROR(__xludf.DUMMYFUNCTION("GOOGLETRANSLATE(I84,""zh_HANT"",""zh_HANS"")"),"火焰旋涡")</f>
        <v>火焰旋涡</v>
      </c>
    </row>
    <row r="85">
      <c r="A85" s="5" t="str">
        <f t="shared" si="3"/>
        <v>NAME_MOVE_THUNDERSHOCK</v>
      </c>
      <c r="B85" s="3" t="s">
        <v>13489</v>
      </c>
      <c r="C85" s="3" t="s">
        <v>13490</v>
      </c>
      <c r="D85" s="3" t="s">
        <v>13491</v>
      </c>
      <c r="E85" s="3" t="s">
        <v>13492</v>
      </c>
      <c r="F85" s="3" t="s">
        <v>13493</v>
      </c>
      <c r="G85" s="5" t="str">
        <f>CONCATENATE(G88,"shock")</f>
        <v>Tuonoshock</v>
      </c>
      <c r="H85" s="3" t="s">
        <v>13494</v>
      </c>
      <c r="I85" s="3" t="s">
        <v>7914</v>
      </c>
      <c r="J85" s="5" t="str">
        <f>IFERROR(__xludf.DUMMYFUNCTION("GOOGLETRANSLATE(I85,""zh_HANT"",""zh_HANS"")"),"电击")</f>
        <v>电击</v>
      </c>
    </row>
    <row r="86">
      <c r="A86" s="5" t="str">
        <f t="shared" si="3"/>
        <v>NAME_MOVE_THUNDERBOLT</v>
      </c>
      <c r="B86" s="3" t="s">
        <v>13495</v>
      </c>
      <c r="C86" s="3" t="s">
        <v>13496</v>
      </c>
      <c r="D86" s="3" t="s">
        <v>13497</v>
      </c>
      <c r="E86" s="3" t="s">
        <v>13498</v>
      </c>
      <c r="F86" s="3" t="s">
        <v>13499</v>
      </c>
      <c r="G86" s="3" t="s">
        <v>13500</v>
      </c>
      <c r="H86" s="3" t="s">
        <v>13501</v>
      </c>
      <c r="I86" s="3" t="s">
        <v>13502</v>
      </c>
      <c r="J86" s="5" t="str">
        <f>IFERROR(__xludf.DUMMYFUNCTION("GOOGLETRANSLATE(I86,""zh_HANT"",""zh_HANS"")"),"十万伏特")</f>
        <v>十万伏特</v>
      </c>
    </row>
    <row r="87">
      <c r="A87" s="5" t="str">
        <f t="shared" si="3"/>
        <v>NAME_MOVE_THUNDERWAVE</v>
      </c>
      <c r="B87" s="3" t="s">
        <v>13503</v>
      </c>
      <c r="C87" s="3" t="s">
        <v>13504</v>
      </c>
      <c r="D87" s="3" t="s">
        <v>13505</v>
      </c>
      <c r="E87" s="3" t="s">
        <v>13506</v>
      </c>
      <c r="F87" s="3" t="s">
        <v>13507</v>
      </c>
      <c r="G87" s="3" t="str">
        <f>CONCATENATE(G88,"nda")</f>
        <v>Tuononda</v>
      </c>
      <c r="H87" s="3" t="s">
        <v>13508</v>
      </c>
      <c r="I87" s="3" t="s">
        <v>13509</v>
      </c>
      <c r="J87" s="5" t="str">
        <f>IFERROR(__xludf.DUMMYFUNCTION("GOOGLETRANSLATE(I87,""zh_HANT"",""zh_HANS"")"),"电磁波")</f>
        <v>电磁波</v>
      </c>
    </row>
    <row r="88">
      <c r="A88" s="5" t="str">
        <f t="shared" si="3"/>
        <v>NAME_MOVE_THUNDER</v>
      </c>
      <c r="B88" s="3" t="s">
        <v>13510</v>
      </c>
      <c r="C88" s="3" t="s">
        <v>7977</v>
      </c>
      <c r="D88" s="3" t="s">
        <v>13511</v>
      </c>
      <c r="E88" s="3" t="s">
        <v>13512</v>
      </c>
      <c r="F88" s="3" t="s">
        <v>13513</v>
      </c>
      <c r="G88" s="3" t="s">
        <v>13514</v>
      </c>
      <c r="H88" s="3" t="s">
        <v>7982</v>
      </c>
      <c r="I88" s="3" t="s">
        <v>13515</v>
      </c>
      <c r="J88" s="5" t="str">
        <f>IFERROR(__xludf.DUMMYFUNCTION("GOOGLETRANSLATE(I88,""zh_HANT"",""zh_HANS"")"),"打雷")</f>
        <v>打雷</v>
      </c>
    </row>
    <row r="89">
      <c r="A89" s="5" t="str">
        <f t="shared" si="3"/>
        <v>NAME_MOVE_ROCKTHROW</v>
      </c>
      <c r="B89" s="3" t="s">
        <v>13516</v>
      </c>
      <c r="C89" s="3" t="s">
        <v>13517</v>
      </c>
      <c r="D89" s="3" t="s">
        <v>13518</v>
      </c>
      <c r="E89" s="3" t="s">
        <v>13519</v>
      </c>
      <c r="F89" s="3" t="s">
        <v>13520</v>
      </c>
      <c r="G89" s="3" t="s">
        <v>13521</v>
      </c>
      <c r="H89" s="3" t="s">
        <v>13522</v>
      </c>
      <c r="I89" s="3" t="s">
        <v>13523</v>
      </c>
      <c r="J89" s="5" t="str">
        <f>IFERROR(__xludf.DUMMYFUNCTION("GOOGLETRANSLATE(I89,""zh_HANT"",""zh_HANS"")"),"落石")</f>
        <v>落石</v>
      </c>
    </row>
    <row r="90">
      <c r="A90" s="5" t="str">
        <f t="shared" si="3"/>
        <v>NAME_MOVE_EARTHQUAKE</v>
      </c>
      <c r="B90" s="3" t="s">
        <v>13524</v>
      </c>
      <c r="C90" s="3" t="s">
        <v>13525</v>
      </c>
      <c r="D90" s="3" t="s">
        <v>13526</v>
      </c>
      <c r="E90" s="3" t="s">
        <v>13527</v>
      </c>
      <c r="F90" s="3" t="s">
        <v>13528</v>
      </c>
      <c r="G90" s="5" t="str">
        <f>F90</f>
        <v>Terremoto</v>
      </c>
      <c r="H90" s="3" t="s">
        <v>13529</v>
      </c>
      <c r="I90" s="3" t="s">
        <v>13530</v>
      </c>
      <c r="J90" s="5" t="str">
        <f>IFERROR(__xludf.DUMMYFUNCTION("GOOGLETRANSLATE(I90,""zh_HANT"",""zh_HANS"")"),"地震")</f>
        <v>地震</v>
      </c>
    </row>
    <row r="91">
      <c r="A91" s="5" t="str">
        <f t="shared" si="3"/>
        <v>NAME_MOVE_FISSURE</v>
      </c>
      <c r="B91" s="3" t="s">
        <v>13531</v>
      </c>
      <c r="C91" s="3" t="s">
        <v>13532</v>
      </c>
      <c r="D91" s="3" t="s">
        <v>13533</v>
      </c>
      <c r="E91" s="3" t="s">
        <v>13534</v>
      </c>
      <c r="F91" s="3" t="s">
        <v>13535</v>
      </c>
      <c r="G91" s="3" t="s">
        <v>13536</v>
      </c>
      <c r="H91" s="3" t="s">
        <v>13537</v>
      </c>
      <c r="I91" s="3" t="s">
        <v>13538</v>
      </c>
      <c r="J91" s="5" t="str">
        <f>IFERROR(__xludf.DUMMYFUNCTION("GOOGLETRANSLATE(I91,""zh_HANT"",""zh_HANS"")"),"地裂")</f>
        <v>地裂</v>
      </c>
    </row>
    <row r="92">
      <c r="A92" s="5" t="str">
        <f t="shared" si="3"/>
        <v>NAME_MOVE_DIG</v>
      </c>
      <c r="B92" s="3" t="s">
        <v>13539</v>
      </c>
      <c r="C92" s="3" t="s">
        <v>13540</v>
      </c>
      <c r="D92" s="3" t="s">
        <v>13541</v>
      </c>
      <c r="E92" s="3" t="s">
        <v>13542</v>
      </c>
      <c r="F92" s="3" t="s">
        <v>13543</v>
      </c>
      <c r="G92" s="3" t="s">
        <v>13544</v>
      </c>
      <c r="H92" s="3" t="s">
        <v>13545</v>
      </c>
      <c r="I92" s="3" t="s">
        <v>10976</v>
      </c>
      <c r="J92" s="5" t="str">
        <f>IFERROR(__xludf.DUMMYFUNCTION("GOOGLETRANSLATE(I92,""zh_HANT"",""zh_HANS"")"),"挖洞")</f>
        <v>挖洞</v>
      </c>
    </row>
    <row r="93">
      <c r="A93" s="5" t="str">
        <f t="shared" si="3"/>
        <v>NAME_MOVE_TOXIC</v>
      </c>
      <c r="B93" s="3" t="s">
        <v>13546</v>
      </c>
      <c r="C93" s="3" t="s">
        <v>13547</v>
      </c>
      <c r="D93" s="3" t="s">
        <v>13548</v>
      </c>
      <c r="E93" s="3" t="s">
        <v>13549</v>
      </c>
      <c r="F93" s="3" t="s">
        <v>13550</v>
      </c>
      <c r="G93" s="3" t="s">
        <v>13551</v>
      </c>
      <c r="H93" s="3" t="s">
        <v>13552</v>
      </c>
      <c r="I93" s="3" t="s">
        <v>13553</v>
      </c>
      <c r="J93" s="5" t="str">
        <f>IFERROR(__xludf.DUMMYFUNCTION("GOOGLETRANSLATE(I93,""zh_HANT"",""zh_HANS"")"),"剧毒")</f>
        <v>剧毒</v>
      </c>
    </row>
    <row r="94">
      <c r="A94" s="5" t="str">
        <f t="shared" si="3"/>
        <v>NAME_MOVE_CONFUSION</v>
      </c>
      <c r="B94" s="3" t="s">
        <v>13554</v>
      </c>
      <c r="C94" s="3" t="s">
        <v>7620</v>
      </c>
      <c r="D94" s="3" t="s">
        <v>13555</v>
      </c>
      <c r="E94" s="3" t="s">
        <v>13556</v>
      </c>
      <c r="F94" s="3" t="s">
        <v>13557</v>
      </c>
      <c r="G94" s="5" t="str">
        <f>CONCATENATE(B94,"e")</f>
        <v>Confusione</v>
      </c>
      <c r="H94" s="3" t="s">
        <v>13558</v>
      </c>
      <c r="I94" s="3" t="s">
        <v>7624</v>
      </c>
      <c r="J94" s="5" t="str">
        <f>I94</f>
        <v>念力</v>
      </c>
    </row>
    <row r="95">
      <c r="A95" s="5" t="str">
        <f t="shared" si="3"/>
        <v>NAME_MOVE_PSYCHIC</v>
      </c>
      <c r="B95" s="3" t="s">
        <v>12816</v>
      </c>
      <c r="C95" s="3" t="s">
        <v>13559</v>
      </c>
      <c r="D95" s="3" t="s">
        <v>13560</v>
      </c>
      <c r="E95" s="3" t="s">
        <v>13561</v>
      </c>
      <c r="F95" s="3" t="s">
        <v>12819</v>
      </c>
      <c r="G95" s="3" t="s">
        <v>13562</v>
      </c>
      <c r="H95" s="7" t="s">
        <v>13563</v>
      </c>
      <c r="I95" s="7" t="s">
        <v>13564</v>
      </c>
      <c r="J95" s="5" t="str">
        <f>IFERROR(__xludf.DUMMYFUNCTION("GOOGLETRANSLATE(I95,""zh_HANT"",""zh_HANS"")"),"精神强念")</f>
        <v>精神强念</v>
      </c>
    </row>
    <row r="96">
      <c r="A96" s="5" t="str">
        <f t="shared" si="3"/>
        <v>NAME_MOVE_HYPNOSIS</v>
      </c>
      <c r="B96" s="3" t="s">
        <v>13565</v>
      </c>
      <c r="C96" s="3" t="s">
        <v>13566</v>
      </c>
      <c r="D96" s="3" t="s">
        <v>13567</v>
      </c>
      <c r="E96" s="5" t="str">
        <f>D96</f>
        <v>Hypnose</v>
      </c>
      <c r="F96" s="3" t="s">
        <v>13568</v>
      </c>
      <c r="G96" s="6" t="s">
        <v>13569</v>
      </c>
      <c r="H96" s="7" t="s">
        <v>13570</v>
      </c>
      <c r="I96" s="7" t="s">
        <v>13571</v>
      </c>
      <c r="J96" s="5" t="str">
        <f>IFERROR(__xludf.DUMMYFUNCTION("GOOGLETRANSLATE(I96,""zh_HANT"",""zh_HANS"")"),"催眠术")</f>
        <v>催眠术</v>
      </c>
    </row>
    <row r="97">
      <c r="A97" s="5" t="str">
        <f t="shared" si="3"/>
        <v>NAME_MOVE_MEDITATE</v>
      </c>
      <c r="B97" s="3" t="s">
        <v>13572</v>
      </c>
      <c r="C97" s="3" t="s">
        <v>13573</v>
      </c>
      <c r="D97" s="3" t="s">
        <v>13574</v>
      </c>
      <c r="E97" s="3" t="s">
        <v>13575</v>
      </c>
      <c r="F97" s="3" t="s">
        <v>13576</v>
      </c>
      <c r="G97" s="3" t="s">
        <v>13577</v>
      </c>
      <c r="H97" s="3" t="s">
        <v>13578</v>
      </c>
      <c r="I97" s="3" t="s">
        <v>13579</v>
      </c>
      <c r="J97" s="5" t="str">
        <f>IFERROR(__xludf.DUMMYFUNCTION("GOOGLETRANSLATE(I97,""zh_HANT"",""zh_HANS"")"),"瑜伽姿势")</f>
        <v>瑜伽姿势</v>
      </c>
    </row>
    <row r="98">
      <c r="A98" s="5" t="str">
        <f t="shared" si="3"/>
        <v>NAME_MOVE_AGILITY</v>
      </c>
      <c r="B98" s="3" t="s">
        <v>13580</v>
      </c>
      <c r="C98" s="3" t="s">
        <v>13581</v>
      </c>
      <c r="D98" s="3" t="s">
        <v>13582</v>
      </c>
      <c r="E98" s="3" t="s">
        <v>13583</v>
      </c>
      <c r="F98" s="3" t="s">
        <v>13584</v>
      </c>
      <c r="G98" s="3" t="s">
        <v>13585</v>
      </c>
      <c r="H98" s="7" t="s">
        <v>13586</v>
      </c>
      <c r="I98" s="7" t="s">
        <v>13587</v>
      </c>
      <c r="J98" s="5" t="str">
        <f>IFERROR(__xludf.DUMMYFUNCTION("GOOGLETRANSLATE(I98,""zh_HANT"",""zh_HANS"")"),"高速移动")</f>
        <v>高速移动</v>
      </c>
    </row>
    <row r="99">
      <c r="A99" s="5" t="str">
        <f t="shared" si="3"/>
        <v>NAME_MOVE_QUICKATTACK</v>
      </c>
      <c r="B99" s="3" t="s">
        <v>13588</v>
      </c>
      <c r="C99" s="3" t="s">
        <v>13589</v>
      </c>
      <c r="D99" s="3" t="s">
        <v>13590</v>
      </c>
      <c r="E99" s="3" t="s">
        <v>13591</v>
      </c>
      <c r="F99" s="3" t="s">
        <v>13592</v>
      </c>
      <c r="G99" s="3" t="s">
        <v>13593</v>
      </c>
      <c r="H99" s="7" t="s">
        <v>13594</v>
      </c>
      <c r="I99" s="7" t="s">
        <v>13595</v>
      </c>
      <c r="J99" s="5" t="str">
        <f>IFERROR(__xludf.DUMMYFUNCTION("GOOGLETRANSLATE(I99,""zh_HANT"",""zh_HANS"")"),"电光一闪")</f>
        <v>电光一闪</v>
      </c>
    </row>
    <row r="100">
      <c r="A100" s="5" t="str">
        <f t="shared" si="3"/>
        <v>NAME_MOVE_RAGE</v>
      </c>
      <c r="B100" s="3" t="s">
        <v>13596</v>
      </c>
      <c r="C100" s="3" t="s">
        <v>13597</v>
      </c>
      <c r="D100" s="3" t="s">
        <v>13598</v>
      </c>
      <c r="E100" s="3" t="s">
        <v>13599</v>
      </c>
      <c r="F100" s="3" t="s">
        <v>13093</v>
      </c>
      <c r="G100" s="3" t="s">
        <v>13600</v>
      </c>
      <c r="H100" s="7" t="s">
        <v>13601</v>
      </c>
      <c r="I100" s="7" t="s">
        <v>13602</v>
      </c>
      <c r="J100" s="5" t="str">
        <f t="shared" ref="J100:J103" si="8">I100</f>
        <v>憤怒</v>
      </c>
    </row>
    <row r="101">
      <c r="A101" s="5" t="str">
        <f t="shared" si="3"/>
        <v>NAME_MOVE_TELEPORT</v>
      </c>
      <c r="B101" s="3" t="s">
        <v>13603</v>
      </c>
      <c r="C101" s="3" t="s">
        <v>13604</v>
      </c>
      <c r="D101" s="3" t="s">
        <v>13605</v>
      </c>
      <c r="E101" s="5" t="str">
        <f>B101</f>
        <v>Teleport</v>
      </c>
      <c r="F101" s="3" t="s">
        <v>13606</v>
      </c>
      <c r="G101" s="3" t="s">
        <v>13607</v>
      </c>
      <c r="H101" s="7" t="s">
        <v>13608</v>
      </c>
      <c r="I101" s="7" t="s">
        <v>13609</v>
      </c>
      <c r="J101" s="5" t="str">
        <f t="shared" si="8"/>
        <v>瞬間移動</v>
      </c>
    </row>
    <row r="102">
      <c r="A102" s="5" t="str">
        <f t="shared" si="3"/>
        <v>NAME_MOVE_NIGHTSHADE</v>
      </c>
      <c r="B102" s="3" t="s">
        <v>13610</v>
      </c>
      <c r="C102" s="3" t="s">
        <v>13611</v>
      </c>
      <c r="D102" s="3" t="s">
        <v>13612</v>
      </c>
      <c r="E102" s="3" t="s">
        <v>13613</v>
      </c>
      <c r="F102" s="3" t="s">
        <v>13614</v>
      </c>
      <c r="G102" s="3" t="s">
        <v>13615</v>
      </c>
      <c r="H102" s="3" t="s">
        <v>13616</v>
      </c>
      <c r="I102" s="3" t="s">
        <v>13617</v>
      </c>
      <c r="J102" s="5" t="str">
        <f t="shared" si="8"/>
        <v>黑夜魔影</v>
      </c>
    </row>
    <row r="103">
      <c r="A103" s="5" t="str">
        <f t="shared" si="3"/>
        <v>NAME_MOVE_MIMIC</v>
      </c>
      <c r="B103" s="3" t="s">
        <v>13618</v>
      </c>
      <c r="C103" s="3" t="s">
        <v>13619</v>
      </c>
      <c r="D103" s="3" t="s">
        <v>13620</v>
      </c>
      <c r="E103" s="3" t="s">
        <v>13621</v>
      </c>
      <c r="F103" s="3" t="s">
        <v>13622</v>
      </c>
      <c r="G103" s="5" t="str">
        <f>CONCATENATE(B103,"a")</f>
        <v>Mimica</v>
      </c>
      <c r="H103" s="3" t="s">
        <v>13623</v>
      </c>
      <c r="I103" s="3" t="s">
        <v>8223</v>
      </c>
      <c r="J103" s="5" t="str">
        <f t="shared" si="8"/>
        <v>模仿</v>
      </c>
    </row>
    <row r="104">
      <c r="A104" s="5" t="str">
        <f t="shared" si="3"/>
        <v>NAME_MOVE_SCREECH</v>
      </c>
      <c r="B104" s="3" t="s">
        <v>13624</v>
      </c>
      <c r="C104" s="3" t="s">
        <v>13625</v>
      </c>
      <c r="D104" s="3" t="s">
        <v>13626</v>
      </c>
      <c r="E104" s="3" t="s">
        <v>13627</v>
      </c>
      <c r="F104" s="3" t="s">
        <v>13628</v>
      </c>
      <c r="G104" s="3" t="s">
        <v>13629</v>
      </c>
      <c r="H104" s="3" t="s">
        <v>13630</v>
      </c>
      <c r="I104" s="3" t="s">
        <v>13631</v>
      </c>
      <c r="J104" s="5" t="str">
        <f>IFERROR(__xludf.DUMMYFUNCTION("GOOGLETRANSLATE(I104,""zh_HANT"",""zh_HANS"")"),"刺耳声")</f>
        <v>刺耳声</v>
      </c>
    </row>
    <row r="105">
      <c r="A105" s="5" t="str">
        <f t="shared" si="3"/>
        <v>NAME_MOVE_DOUBLETEAM</v>
      </c>
      <c r="B105" s="3" t="s">
        <v>13632</v>
      </c>
      <c r="C105" s="3" t="s">
        <v>13633</v>
      </c>
      <c r="D105" s="3" t="s">
        <v>13634</v>
      </c>
      <c r="E105" s="3" t="s">
        <v>13635</v>
      </c>
      <c r="F105" s="3" t="s">
        <v>13636</v>
      </c>
      <c r="G105" s="3" t="s">
        <v>13637</v>
      </c>
      <c r="H105" s="3" t="s">
        <v>13638</v>
      </c>
      <c r="I105" s="3" t="s">
        <v>13639</v>
      </c>
      <c r="J105" s="5" t="str">
        <f t="shared" ref="J105:J106" si="9">I105</f>
        <v>影子分身</v>
      </c>
    </row>
    <row r="106">
      <c r="A106" s="5" t="str">
        <f t="shared" si="3"/>
        <v>NAME_MOVE_RECOVER</v>
      </c>
      <c r="B106" s="3" t="s">
        <v>13640</v>
      </c>
      <c r="C106" s="3" t="s">
        <v>13641</v>
      </c>
      <c r="D106" s="3" t="s">
        <v>13642</v>
      </c>
      <c r="E106" s="3" t="s">
        <v>13643</v>
      </c>
      <c r="F106" s="3" t="s">
        <v>13644</v>
      </c>
      <c r="G106" s="3" t="s">
        <v>13645</v>
      </c>
      <c r="H106" s="3" t="s">
        <v>13646</v>
      </c>
      <c r="I106" s="3" t="s">
        <v>13647</v>
      </c>
      <c r="J106" s="5" t="str">
        <f t="shared" si="9"/>
        <v>自我再生</v>
      </c>
    </row>
    <row r="107">
      <c r="A107" s="5" t="str">
        <f t="shared" si="3"/>
        <v>NAME_MOVE_HARDEN</v>
      </c>
      <c r="B107" s="3" t="s">
        <v>13648</v>
      </c>
      <c r="C107" s="3" t="s">
        <v>13649</v>
      </c>
      <c r="D107" s="3" t="s">
        <v>8478</v>
      </c>
      <c r="E107" s="3" t="s">
        <v>13650</v>
      </c>
      <c r="F107" s="3" t="s">
        <v>13651</v>
      </c>
      <c r="G107" s="3" t="s">
        <v>13652</v>
      </c>
      <c r="H107" s="3" t="s">
        <v>13653</v>
      </c>
      <c r="I107" s="3" t="s">
        <v>13654</v>
      </c>
      <c r="J107" s="5" t="str">
        <f>IFERROR(__xludf.DUMMYFUNCTION("GOOGLETRANSLATE(I107,""zh_HANT"",""zh_HANS"")"),"变硬")</f>
        <v>变硬</v>
      </c>
    </row>
    <row r="108">
      <c r="A108" s="5" t="str">
        <f t="shared" si="3"/>
        <v>NAME_MOVE_MINIMIZE</v>
      </c>
      <c r="B108" s="3" t="s">
        <v>13655</v>
      </c>
      <c r="C108" s="3" t="s">
        <v>13656</v>
      </c>
      <c r="D108" s="3" t="s">
        <v>13657</v>
      </c>
      <c r="E108" s="3" t="s">
        <v>13658</v>
      </c>
      <c r="F108" s="3" t="s">
        <v>13659</v>
      </c>
      <c r="G108" s="3" t="s">
        <v>13660</v>
      </c>
      <c r="H108" s="3" t="s">
        <v>13661</v>
      </c>
      <c r="I108" s="3" t="s">
        <v>13662</v>
      </c>
      <c r="J108" s="5" t="str">
        <f>IFERROR(__xludf.DUMMYFUNCTION("GOOGLETRANSLATE(I108,""zh_HANT"",""zh_HANS"")"),"变小")</f>
        <v>变小</v>
      </c>
    </row>
    <row r="109">
      <c r="A109" s="5" t="str">
        <f t="shared" si="3"/>
        <v>NAME_MOVE_SMOKESCREEN</v>
      </c>
      <c r="B109" s="3" t="s">
        <v>13663</v>
      </c>
      <c r="C109" s="3" t="s">
        <v>13664</v>
      </c>
      <c r="D109" s="3" t="s">
        <v>13665</v>
      </c>
      <c r="E109" s="3" t="s">
        <v>13666</v>
      </c>
      <c r="F109" s="3" t="s">
        <v>13667</v>
      </c>
      <c r="G109" s="3" t="s">
        <v>13668</v>
      </c>
      <c r="H109" s="3" t="s">
        <v>13669</v>
      </c>
      <c r="I109" s="3" t="s">
        <v>13670</v>
      </c>
      <c r="J109" s="5" t="str">
        <f>IFERROR(__xludf.DUMMYFUNCTION("GOOGLETRANSLATE(I109,""zh_HANT"",""zh_HANS"")"),"烟幕")</f>
        <v>烟幕</v>
      </c>
    </row>
    <row r="110">
      <c r="A110" s="5" t="str">
        <f t="shared" si="3"/>
        <v>NAME_MOVE_CONFUSERAY</v>
      </c>
      <c r="B110" s="3" t="s">
        <v>13671</v>
      </c>
      <c r="C110" s="3" t="s">
        <v>13672</v>
      </c>
      <c r="D110" s="3" t="s">
        <v>13673</v>
      </c>
      <c r="E110" s="3" t="s">
        <v>13674</v>
      </c>
      <c r="F110" s="3" t="s">
        <v>13675</v>
      </c>
      <c r="G110" s="3" t="s">
        <v>13676</v>
      </c>
      <c r="H110" s="3" t="s">
        <v>13677</v>
      </c>
      <c r="I110" s="3" t="s">
        <v>13678</v>
      </c>
      <c r="J110" s="5" t="str">
        <f>IFERROR(__xludf.DUMMYFUNCTION("GOOGLETRANSLATE(I110,""zh_HANT"",""zh_HANS"")"),"奇异之光")</f>
        <v>奇异之光</v>
      </c>
    </row>
    <row r="111">
      <c r="A111" s="5" t="str">
        <f t="shared" si="3"/>
        <v>NAME_MOVE_WITHDRAW</v>
      </c>
      <c r="B111" s="3" t="s">
        <v>13679</v>
      </c>
      <c r="C111" s="3" t="s">
        <v>13680</v>
      </c>
      <c r="D111" s="3" t="s">
        <v>13681</v>
      </c>
      <c r="E111" s="3" t="s">
        <v>13682</v>
      </c>
      <c r="F111" s="3" t="s">
        <v>13683</v>
      </c>
      <c r="G111" s="3" t="s">
        <v>13684</v>
      </c>
      <c r="H111" s="3" t="s">
        <v>13685</v>
      </c>
      <c r="I111" s="3" t="s">
        <v>13686</v>
      </c>
      <c r="J111" s="5" t="str">
        <f>IFERROR(__xludf.DUMMYFUNCTION("GOOGLETRANSLATE(I111,""zh_HANT"",""zh_HANS"")"),"缩入壳中")</f>
        <v>缩入壳中</v>
      </c>
    </row>
    <row r="112">
      <c r="A112" s="5" t="str">
        <f t="shared" si="3"/>
        <v>NAME_MOVE_DEFENSECURL</v>
      </c>
      <c r="B112" s="3" t="s">
        <v>13687</v>
      </c>
      <c r="C112" s="3" t="s">
        <v>13688</v>
      </c>
      <c r="D112" s="3" t="s">
        <v>13689</v>
      </c>
      <c r="E112" s="3" t="s">
        <v>11619</v>
      </c>
      <c r="F112" s="3" t="s">
        <v>13690</v>
      </c>
      <c r="G112" s="3" t="s">
        <v>13691</v>
      </c>
      <c r="H112" s="3" t="s">
        <v>13692</v>
      </c>
      <c r="I112" s="3" t="s">
        <v>13693</v>
      </c>
      <c r="J112" s="5" t="str">
        <f>IFERROR(__xludf.DUMMYFUNCTION("GOOGLETRANSLATE(I112,""zh_HANT"",""zh_HANS"")"),"变圆")</f>
        <v>变圆</v>
      </c>
    </row>
    <row r="113">
      <c r="A113" s="5" t="str">
        <f t="shared" si="3"/>
        <v>NAME_MOVE_BARRIER</v>
      </c>
      <c r="B113" s="3" t="s">
        <v>13694</v>
      </c>
      <c r="C113" s="3" t="s">
        <v>13695</v>
      </c>
      <c r="D113" s="3" t="s">
        <v>9505</v>
      </c>
      <c r="E113" s="3" t="s">
        <v>13696</v>
      </c>
      <c r="F113" s="3" t="s">
        <v>13697</v>
      </c>
      <c r="G113" s="3" t="s">
        <v>13698</v>
      </c>
      <c r="H113" s="3" t="s">
        <v>13699</v>
      </c>
      <c r="I113" s="3" t="s">
        <v>13700</v>
      </c>
      <c r="J113" s="5" t="str">
        <f>I113</f>
        <v>屏障</v>
      </c>
    </row>
    <row r="114">
      <c r="A114" s="5" t="str">
        <f t="shared" si="3"/>
        <v>NAME_MOVE_LIGHTSCREEN</v>
      </c>
      <c r="B114" s="3" t="s">
        <v>13701</v>
      </c>
      <c r="C114" s="3" t="s">
        <v>13702</v>
      </c>
      <c r="D114" s="3" t="s">
        <v>13703</v>
      </c>
      <c r="E114" s="3" t="s">
        <v>13704</v>
      </c>
      <c r="F114" s="3" t="s">
        <v>13705</v>
      </c>
      <c r="G114" s="3" t="s">
        <v>13706</v>
      </c>
      <c r="H114" s="3" t="s">
        <v>13707</v>
      </c>
      <c r="I114" s="3" t="s">
        <v>13708</v>
      </c>
      <c r="J114" s="5" t="str">
        <f>IFERROR(__xludf.DUMMYFUNCTION("GOOGLETRANSLATE(I114,""zh_HANT"",""zh_HANS"")"),"光墙")</f>
        <v>光墙</v>
      </c>
    </row>
    <row r="115">
      <c r="A115" s="5" t="str">
        <f t="shared" si="3"/>
        <v>NAME_MOVE_HAZE</v>
      </c>
      <c r="B115" s="3" t="s">
        <v>13709</v>
      </c>
      <c r="C115" s="3" t="s">
        <v>13710</v>
      </c>
      <c r="D115" s="3" t="s">
        <v>13711</v>
      </c>
      <c r="E115" s="3" t="s">
        <v>13712</v>
      </c>
      <c r="F115" s="3" t="s">
        <v>13713</v>
      </c>
      <c r="G115" s="3" t="s">
        <v>13714</v>
      </c>
      <c r="H115" s="3" t="s">
        <v>13715</v>
      </c>
      <c r="I115" s="3" t="s">
        <v>13716</v>
      </c>
      <c r="J115" s="5" t="str">
        <f>IFERROR(__xludf.DUMMYFUNCTION("GOOGLETRANSLATE(I115,""zh_HANT"",""zh_HANS"")"),"黑雾")</f>
        <v>黑雾</v>
      </c>
    </row>
    <row r="116">
      <c r="A116" s="5" t="str">
        <f t="shared" si="3"/>
        <v>NAME_MOVE_REFLECT</v>
      </c>
      <c r="B116" s="3" t="s">
        <v>13717</v>
      </c>
      <c r="C116" s="3" t="s">
        <v>13718</v>
      </c>
      <c r="D116" s="3" t="s">
        <v>13719</v>
      </c>
      <c r="E116" s="3" t="s">
        <v>13720</v>
      </c>
      <c r="F116" s="3" t="s">
        <v>13721</v>
      </c>
      <c r="G116" s="3" t="s">
        <v>13722</v>
      </c>
      <c r="H116" s="3" t="s">
        <v>13723</v>
      </c>
      <c r="I116" s="3" t="s">
        <v>13724</v>
      </c>
      <c r="J116" s="5" t="str">
        <f>I116</f>
        <v>反射壁</v>
      </c>
    </row>
    <row r="117">
      <c r="A117" s="5" t="str">
        <f t="shared" si="3"/>
        <v>NAME_MOVE_FOCUSENERGY</v>
      </c>
      <c r="B117" s="3" t="s">
        <v>13725</v>
      </c>
      <c r="C117" s="3" t="s">
        <v>13726</v>
      </c>
      <c r="D117" s="3" t="s">
        <v>13727</v>
      </c>
      <c r="E117" s="3" t="s">
        <v>13728</v>
      </c>
      <c r="F117" s="3" t="s">
        <v>13729</v>
      </c>
      <c r="G117" s="3" t="s">
        <v>13730</v>
      </c>
      <c r="H117" s="3" t="s">
        <v>13731</v>
      </c>
      <c r="I117" s="3" t="s">
        <v>13732</v>
      </c>
      <c r="J117" s="5" t="str">
        <f>IFERROR(__xludf.DUMMYFUNCTION("GOOGLETRANSLATE(I117,""zh_HANT"",""zh_HANS"")"),"聚气")</f>
        <v>聚气</v>
      </c>
    </row>
    <row r="118">
      <c r="A118" s="5" t="str">
        <f t="shared" si="3"/>
        <v>NAME_MOVE_BIDE</v>
      </c>
      <c r="B118" s="3" t="s">
        <v>13733</v>
      </c>
      <c r="C118" s="3" t="s">
        <v>8320</v>
      </c>
      <c r="D118" s="3" t="s">
        <v>13734</v>
      </c>
      <c r="E118" s="3" t="s">
        <v>8321</v>
      </c>
      <c r="F118" s="3" t="s">
        <v>13735</v>
      </c>
      <c r="G118" s="3" t="s">
        <v>8323</v>
      </c>
      <c r="H118" s="3" t="s">
        <v>8324</v>
      </c>
      <c r="I118" s="3" t="s">
        <v>8325</v>
      </c>
      <c r="J118" s="5" t="str">
        <f>I118</f>
        <v>忍耐</v>
      </c>
    </row>
    <row r="119">
      <c r="A119" s="5" t="str">
        <f t="shared" si="3"/>
        <v>NAME_MOVE_METRONOME</v>
      </c>
      <c r="B119" s="3" t="str">
        <f>CONCATENATE(E119,"e")</f>
        <v>Metronome</v>
      </c>
      <c r="C119" s="3" t="s">
        <v>13736</v>
      </c>
      <c r="D119" s="3" t="s">
        <v>13737</v>
      </c>
      <c r="E119" s="3" t="s">
        <v>13738</v>
      </c>
      <c r="F119" s="3" t="s">
        <v>13739</v>
      </c>
      <c r="G119" s="5" t="str">
        <f>CONCATENATE(E119,"o")</f>
        <v>Metronomo</v>
      </c>
      <c r="H119" s="3" t="s">
        <v>13740</v>
      </c>
      <c r="I119" s="3" t="s">
        <v>13741</v>
      </c>
      <c r="J119" s="5" t="str">
        <f>IFERROR(__xludf.DUMMYFUNCTION("GOOGLETRANSLATE(I119,""zh_HANT"",""zh_HANS"")"),"挥指")</f>
        <v>挥指</v>
      </c>
    </row>
    <row r="120">
      <c r="A120" s="5" t="str">
        <f t="shared" si="3"/>
        <v>NAME_MOVE_MIRRORMOVE</v>
      </c>
      <c r="B120" s="3" t="s">
        <v>13742</v>
      </c>
      <c r="C120" s="3" t="s">
        <v>13743</v>
      </c>
      <c r="D120" s="3" t="s">
        <v>13744</v>
      </c>
      <c r="E120" s="3" t="s">
        <v>13745</v>
      </c>
      <c r="F120" s="3" t="s">
        <v>13746</v>
      </c>
      <c r="G120" s="3" t="s">
        <v>13747</v>
      </c>
      <c r="H120" s="7" t="s">
        <v>9658</v>
      </c>
      <c r="I120" s="7" t="s">
        <v>13748</v>
      </c>
      <c r="J120" s="5" t="str">
        <f>IFERROR(__xludf.DUMMYFUNCTION("GOOGLETRANSLATE(I120,""zh_HANT"",""zh_HANS"")"),"鹦鹉学舌")</f>
        <v>鹦鹉学舌</v>
      </c>
    </row>
    <row r="121">
      <c r="A121" s="5" t="str">
        <f t="shared" si="3"/>
        <v>NAME_MOVE_SELFDESTRUCT</v>
      </c>
      <c r="B121" s="3" t="s">
        <v>13749</v>
      </c>
      <c r="C121" s="3" t="s">
        <v>13750</v>
      </c>
      <c r="D121" s="3" t="s">
        <v>11295</v>
      </c>
      <c r="E121" s="3" t="s">
        <v>13751</v>
      </c>
      <c r="F121" s="3" t="s">
        <v>13752</v>
      </c>
      <c r="G121" s="3" t="s">
        <v>13753</v>
      </c>
      <c r="H121" s="3" t="s">
        <v>13754</v>
      </c>
      <c r="I121" s="3" t="s">
        <v>13755</v>
      </c>
      <c r="J121" s="3" t="s">
        <v>13756</v>
      </c>
    </row>
    <row r="122">
      <c r="A122" s="5" t="str">
        <f t="shared" si="3"/>
        <v>NAME_MOVE_EGGBOMB</v>
      </c>
      <c r="B122" s="3" t="s">
        <v>13757</v>
      </c>
      <c r="C122" s="3" t="s">
        <v>13758</v>
      </c>
      <c r="D122" s="16" t="s">
        <v>13759</v>
      </c>
      <c r="E122" s="3" t="s">
        <v>13760</v>
      </c>
      <c r="F122" s="3" t="s">
        <v>13761</v>
      </c>
      <c r="G122" s="3" t="s">
        <v>13762</v>
      </c>
      <c r="H122" s="3" t="s">
        <v>13763</v>
      </c>
      <c r="I122" s="3" t="s">
        <v>13764</v>
      </c>
      <c r="J122" s="5" t="str">
        <f t="shared" ref="J122:J123" si="10">I122</f>
        <v>炸蛋</v>
      </c>
    </row>
    <row r="123">
      <c r="A123" s="5" t="str">
        <f t="shared" si="3"/>
        <v>NAME_MOVE_LICK</v>
      </c>
      <c r="B123" s="3" t="s">
        <v>13765</v>
      </c>
      <c r="C123" s="3" t="s">
        <v>13766</v>
      </c>
      <c r="D123" s="3" t="s">
        <v>13767</v>
      </c>
      <c r="E123" s="3" t="s">
        <v>7840</v>
      </c>
      <c r="F123" s="3" t="s">
        <v>13768</v>
      </c>
      <c r="G123" s="3" t="s">
        <v>13769</v>
      </c>
      <c r="H123" s="3" t="s">
        <v>7843</v>
      </c>
      <c r="I123" s="3" t="s">
        <v>13770</v>
      </c>
      <c r="J123" s="5" t="str">
        <f t="shared" si="10"/>
        <v>舌舔</v>
      </c>
    </row>
    <row r="124">
      <c r="A124" s="5" t="str">
        <f t="shared" si="3"/>
        <v>NAME_MOVE_SMOG</v>
      </c>
      <c r="B124" s="3" t="s">
        <v>13771</v>
      </c>
      <c r="C124" s="3" t="s">
        <v>13772</v>
      </c>
      <c r="D124" s="3" t="s">
        <v>13773</v>
      </c>
      <c r="E124" s="5" t="str">
        <f>B124</f>
        <v>Smog</v>
      </c>
      <c r="F124" s="3" t="s">
        <v>13774</v>
      </c>
      <c r="G124" s="5" t="str">
        <f>B124</f>
        <v>Smog</v>
      </c>
      <c r="H124" s="3" t="s">
        <v>13775</v>
      </c>
      <c r="I124" s="3" t="s">
        <v>13776</v>
      </c>
      <c r="J124" s="5" t="str">
        <f>IFERROR(__xludf.DUMMYFUNCTION("GOOGLETRANSLATE(I124,""zh_HANT"",""zh_HANS"")"),"浊雾")</f>
        <v>浊雾</v>
      </c>
    </row>
    <row r="125">
      <c r="A125" s="5" t="str">
        <f t="shared" si="3"/>
        <v>NAME_MOVE_SLUDGE</v>
      </c>
      <c r="B125" s="3" t="s">
        <v>13777</v>
      </c>
      <c r="C125" s="3" t="s">
        <v>13778</v>
      </c>
      <c r="D125" s="3" t="s">
        <v>13779</v>
      </c>
      <c r="E125" s="3" t="s">
        <v>13780</v>
      </c>
      <c r="F125" s="3" t="s">
        <v>13781</v>
      </c>
      <c r="G125" s="3" t="s">
        <v>13782</v>
      </c>
      <c r="H125" s="3" t="s">
        <v>13783</v>
      </c>
      <c r="I125" s="3" t="s">
        <v>13784</v>
      </c>
      <c r="J125" s="5" t="str">
        <f>IFERROR(__xludf.DUMMYFUNCTION("GOOGLETRANSLATE(I125,""zh_HANT"",""zh_HANS"")"),"污泥攻击")</f>
        <v>污泥攻击</v>
      </c>
    </row>
    <row r="126">
      <c r="A126" s="5" t="str">
        <f t="shared" si="3"/>
        <v>NAME_MOVE_BONECLUB</v>
      </c>
      <c r="B126" s="3" t="s">
        <v>13785</v>
      </c>
      <c r="C126" s="3" t="s">
        <v>13786</v>
      </c>
      <c r="D126" s="3" t="s">
        <v>13787</v>
      </c>
      <c r="E126" s="3" t="s">
        <v>13788</v>
      </c>
      <c r="F126" s="3" t="s">
        <v>13789</v>
      </c>
      <c r="G126" s="3" t="s">
        <v>13790</v>
      </c>
      <c r="H126" s="3" t="s">
        <v>13791</v>
      </c>
      <c r="I126" s="3" t="s">
        <v>13792</v>
      </c>
      <c r="J126" s="5" t="str">
        <f t="shared" ref="J126:J128" si="11">I126</f>
        <v>骨棒</v>
      </c>
    </row>
    <row r="127">
      <c r="A127" s="5" t="str">
        <f t="shared" si="3"/>
        <v>NAME_MOVE_FIREBLAST</v>
      </c>
      <c r="B127" s="3" t="s">
        <v>13793</v>
      </c>
      <c r="C127" s="3" t="s">
        <v>13794</v>
      </c>
      <c r="D127" s="3" t="s">
        <v>13795</v>
      </c>
      <c r="E127" s="3" t="s">
        <v>13796</v>
      </c>
      <c r="F127" s="3" t="s">
        <v>13797</v>
      </c>
      <c r="G127" s="3" t="s">
        <v>13798</v>
      </c>
      <c r="H127" s="3" t="s">
        <v>13799</v>
      </c>
      <c r="I127" s="3" t="s">
        <v>13800</v>
      </c>
      <c r="J127" s="5" t="str">
        <f t="shared" si="11"/>
        <v>大字爆炎</v>
      </c>
    </row>
    <row r="128">
      <c r="A128" s="5" t="str">
        <f t="shared" si="3"/>
        <v>NAME_MOVE_WATERFALL</v>
      </c>
      <c r="B128" s="3" t="s">
        <v>13801</v>
      </c>
      <c r="C128" s="3" t="s">
        <v>13802</v>
      </c>
      <c r="D128" s="3" t="s">
        <v>13803</v>
      </c>
      <c r="E128" s="3" t="s">
        <v>13804</v>
      </c>
      <c r="F128" s="3" t="s">
        <v>13805</v>
      </c>
      <c r="G128" s="3" t="s">
        <v>13806</v>
      </c>
      <c r="H128" s="3" t="s">
        <v>13807</v>
      </c>
      <c r="I128" s="3" t="s">
        <v>13808</v>
      </c>
      <c r="J128" s="5" t="str">
        <f t="shared" si="11"/>
        <v>攀瀑</v>
      </c>
    </row>
    <row r="129">
      <c r="A129" s="5" t="str">
        <f t="shared" si="3"/>
        <v>NAME_MOVE_CLAMP</v>
      </c>
      <c r="B129" s="3" t="s">
        <v>13809</v>
      </c>
      <c r="C129" s="3" t="s">
        <v>13810</v>
      </c>
      <c r="D129" s="3" t="s">
        <v>13811</v>
      </c>
      <c r="E129" s="3" t="s">
        <v>13812</v>
      </c>
      <c r="F129" s="3" t="s">
        <v>7771</v>
      </c>
      <c r="G129" s="3" t="s">
        <v>13813</v>
      </c>
      <c r="H129" s="3" t="s">
        <v>13814</v>
      </c>
      <c r="I129" s="3" t="s">
        <v>13815</v>
      </c>
      <c r="J129" s="5" t="str">
        <f>IFERROR(__xludf.DUMMYFUNCTION("GOOGLETRANSLATE(I129,""zh_HANT"",""zh_HANS"")"),"贝壳夹击")</f>
        <v>贝壳夹击</v>
      </c>
    </row>
    <row r="130">
      <c r="A130" s="5" t="str">
        <f t="shared" si="3"/>
        <v>NAME_MOVE_SWIFT</v>
      </c>
      <c r="B130" s="3" t="s">
        <v>13816</v>
      </c>
      <c r="C130" s="3" t="s">
        <v>13817</v>
      </c>
      <c r="D130" s="3" t="s">
        <v>13818</v>
      </c>
      <c r="E130" s="3" t="s">
        <v>13819</v>
      </c>
      <c r="F130" s="3" t="s">
        <v>13820</v>
      </c>
      <c r="G130" s="3" t="s">
        <v>13821</v>
      </c>
      <c r="H130" s="3" t="s">
        <v>13822</v>
      </c>
      <c r="I130" s="3" t="s">
        <v>13823</v>
      </c>
      <c r="J130" s="5" t="str">
        <f>I130</f>
        <v>高速星星</v>
      </c>
    </row>
    <row r="131">
      <c r="A131" s="5" t="str">
        <f t="shared" si="3"/>
        <v>NAME_MOVE_SKULLBASH</v>
      </c>
      <c r="B131" s="3" t="s">
        <v>13824</v>
      </c>
      <c r="C131" s="3" t="s">
        <v>13825</v>
      </c>
      <c r="D131" s="3" t="s">
        <v>13826</v>
      </c>
      <c r="E131" s="3" t="s">
        <v>13827</v>
      </c>
      <c r="F131" s="3" t="s">
        <v>9501</v>
      </c>
      <c r="G131" s="3" t="s">
        <v>13828</v>
      </c>
      <c r="H131" s="3" t="s">
        <v>13829</v>
      </c>
      <c r="I131" s="3" t="s">
        <v>13830</v>
      </c>
      <c r="J131" s="5" t="str">
        <f>IFERROR(__xludf.DUMMYFUNCTION("GOOGLETRANSLATE(I131,""zh_HANT"",""zh_HANS"")"),"火箭头锤")</f>
        <v>火箭头锤</v>
      </c>
    </row>
    <row r="132">
      <c r="A132" s="5" t="str">
        <f t="shared" si="3"/>
        <v>NAME_MOVE_SPIKECANNON</v>
      </c>
      <c r="B132" s="3" t="s">
        <v>13831</v>
      </c>
      <c r="C132" s="3" t="s">
        <v>13832</v>
      </c>
      <c r="D132" s="3" t="s">
        <v>13833</v>
      </c>
      <c r="E132" s="3" t="s">
        <v>13834</v>
      </c>
      <c r="F132" s="3" t="s">
        <v>13835</v>
      </c>
      <c r="G132" s="3" t="s">
        <v>13836</v>
      </c>
      <c r="H132" s="3" t="s">
        <v>13837</v>
      </c>
      <c r="I132" s="3" t="s">
        <v>13838</v>
      </c>
      <c r="J132" s="5" t="str">
        <f>IFERROR(__xludf.DUMMYFUNCTION("GOOGLETRANSLATE(I132,""zh_HANT"",""zh_HANS"")"),"尖刺加农炮")</f>
        <v>尖刺加农炮</v>
      </c>
    </row>
    <row r="133">
      <c r="A133" s="5" t="str">
        <f t="shared" si="3"/>
        <v>NAME_MOVE_CONSTRICT</v>
      </c>
      <c r="B133" s="3" t="s">
        <v>13839</v>
      </c>
      <c r="C133" s="3" t="s">
        <v>13840</v>
      </c>
      <c r="D133" s="3" t="s">
        <v>13841</v>
      </c>
      <c r="E133" s="3" t="s">
        <v>13842</v>
      </c>
      <c r="F133" s="3" t="s">
        <v>13843</v>
      </c>
      <c r="G133" s="3" t="s">
        <v>13844</v>
      </c>
      <c r="H133" s="3" t="s">
        <v>13845</v>
      </c>
      <c r="I133" s="3" t="s">
        <v>13846</v>
      </c>
      <c r="J133" s="5" t="str">
        <f>IFERROR(__xludf.DUMMYFUNCTION("GOOGLETRANSLATE(I133,""zh_HANT"",""zh_HANS"")"),"缠绕")</f>
        <v>缠绕</v>
      </c>
    </row>
    <row r="134">
      <c r="A134" s="5" t="str">
        <f t="shared" si="3"/>
        <v>NAME_MOVE_AMNESIA</v>
      </c>
      <c r="B134" s="3" t="s">
        <v>13847</v>
      </c>
      <c r="C134" s="3" t="s">
        <v>13848</v>
      </c>
      <c r="D134" s="3" t="s">
        <v>13849</v>
      </c>
      <c r="E134" s="3" t="s">
        <v>13850</v>
      </c>
      <c r="F134" s="3" t="str">
        <f>B134</f>
        <v>Amnesia</v>
      </c>
      <c r="G134" s="5" t="str">
        <f>B134</f>
        <v>Amnesia</v>
      </c>
      <c r="H134" s="3" t="s">
        <v>13851</v>
      </c>
      <c r="I134" s="3" t="s">
        <v>13852</v>
      </c>
      <c r="J134" s="5" t="str">
        <f>IFERROR(__xludf.DUMMYFUNCTION("GOOGLETRANSLATE(I134,""zh_HANT"",""zh_HANS"")"),"瞬间失忆")</f>
        <v>瞬间失忆</v>
      </c>
    </row>
    <row r="135">
      <c r="A135" s="5" t="str">
        <f t="shared" si="3"/>
        <v>NAME_MOVE_KINESIS</v>
      </c>
      <c r="B135" s="3" t="s">
        <v>13853</v>
      </c>
      <c r="C135" s="3" t="s">
        <v>13854</v>
      </c>
      <c r="D135" s="3" t="s">
        <v>13855</v>
      </c>
      <c r="E135" s="3" t="s">
        <v>13856</v>
      </c>
      <c r="F135" s="3" t="s">
        <v>13857</v>
      </c>
      <c r="G135" s="3" t="s">
        <v>13858</v>
      </c>
      <c r="H135" s="3" t="s">
        <v>13859</v>
      </c>
      <c r="I135" s="3" t="s">
        <v>13860</v>
      </c>
      <c r="J135" s="5" t="str">
        <f>IFERROR(__xludf.DUMMYFUNCTION("GOOGLETRANSLATE(I135,""zh_HANT"",""zh_HANS"")"),"折弯汤匙")</f>
        <v>折弯汤匙</v>
      </c>
    </row>
    <row r="136">
      <c r="A136" s="5" t="str">
        <f t="shared" si="3"/>
        <v>NAME_MOVE_SOFTBOILED</v>
      </c>
      <c r="B136" s="3" t="s">
        <v>13861</v>
      </c>
      <c r="C136" s="3" t="s">
        <v>13862</v>
      </c>
      <c r="D136" s="3" t="s">
        <v>13863</v>
      </c>
      <c r="E136" s="3" t="s">
        <v>13864</v>
      </c>
      <c r="F136" s="3" t="s">
        <v>13865</v>
      </c>
      <c r="G136" s="3" t="s">
        <v>13866</v>
      </c>
      <c r="H136" s="3" t="s">
        <v>13867</v>
      </c>
      <c r="I136" s="3" t="s">
        <v>13868</v>
      </c>
      <c r="J136" s="5" t="str">
        <f>I136</f>
        <v>生蛋</v>
      </c>
    </row>
    <row r="137">
      <c r="A137" s="5" t="str">
        <f t="shared" si="3"/>
        <v>NAME_MOVE_HIGHJUMPKICK</v>
      </c>
      <c r="B137" s="3" t="s">
        <v>13869</v>
      </c>
      <c r="C137" s="3" t="s">
        <v>13870</v>
      </c>
      <c r="D137" s="3" t="s">
        <v>13871</v>
      </c>
      <c r="E137" s="3" t="s">
        <v>13872</v>
      </c>
      <c r="F137" s="3" t="s">
        <v>13873</v>
      </c>
      <c r="G137" s="3" t="s">
        <v>13874</v>
      </c>
      <c r="H137" s="3" t="s">
        <v>13875</v>
      </c>
      <c r="I137" s="3" t="s">
        <v>13876</v>
      </c>
      <c r="J137" s="5" t="str">
        <f>IFERROR(__xludf.DUMMYFUNCTION("GOOGLETRANSLATE(I137,""zh_HANT"",""zh_HANS"")"),"飞膝踢")</f>
        <v>飞膝踢</v>
      </c>
    </row>
    <row r="138">
      <c r="A138" s="5" t="str">
        <f t="shared" si="3"/>
        <v>NAME_MOVE_GLARE</v>
      </c>
      <c r="B138" s="3" t="s">
        <v>13877</v>
      </c>
      <c r="C138" s="3" t="s">
        <v>13878</v>
      </c>
      <c r="D138" s="3" t="s">
        <v>13879</v>
      </c>
      <c r="E138" s="3" t="s">
        <v>13880</v>
      </c>
      <c r="F138" s="3" t="s">
        <v>13881</v>
      </c>
      <c r="G138" s="3" t="s">
        <v>13882</v>
      </c>
      <c r="H138" s="3" t="s">
        <v>13883</v>
      </c>
      <c r="I138" s="3" t="s">
        <v>13884</v>
      </c>
      <c r="J138" s="5" t="str">
        <f>I138</f>
        <v>大蛇瞪眼</v>
      </c>
    </row>
    <row r="139">
      <c r="A139" s="5" t="str">
        <f t="shared" si="3"/>
        <v>NAME_MOVE_DREAMEATER</v>
      </c>
      <c r="B139" s="3" t="s">
        <v>13885</v>
      </c>
      <c r="C139" s="3" t="s">
        <v>13886</v>
      </c>
      <c r="D139" s="3" t="s">
        <v>13887</v>
      </c>
      <c r="E139" s="3" t="s">
        <v>13888</v>
      </c>
      <c r="F139" s="3" t="s">
        <v>13889</v>
      </c>
      <c r="G139" s="3" t="s">
        <v>13890</v>
      </c>
      <c r="H139" s="3" t="s">
        <v>13891</v>
      </c>
      <c r="I139" s="3" t="s">
        <v>13892</v>
      </c>
      <c r="J139" s="5" t="str">
        <f>IFERROR(__xludf.DUMMYFUNCTION("GOOGLETRANSLATE(I139,""zh_HANT"",""zh_HANS"")"),"食梦")</f>
        <v>食梦</v>
      </c>
    </row>
    <row r="140">
      <c r="A140" s="5" t="str">
        <f t="shared" si="3"/>
        <v>NAME_MOVE_POISONGAS</v>
      </c>
      <c r="B140" s="3" t="s">
        <v>13893</v>
      </c>
      <c r="C140" s="3" t="s">
        <v>13894</v>
      </c>
      <c r="D140" s="3" t="s">
        <v>13895</v>
      </c>
      <c r="E140" s="3" t="s">
        <v>13896</v>
      </c>
      <c r="F140" s="3" t="s">
        <v>13897</v>
      </c>
      <c r="G140" s="3" t="s">
        <v>13898</v>
      </c>
      <c r="H140" s="3" t="s">
        <v>7847</v>
      </c>
      <c r="I140" s="3" t="s">
        <v>13899</v>
      </c>
      <c r="J140" s="5" t="str">
        <f t="shared" ref="J140:J141" si="12">I140</f>
        <v>毒瓦斯</v>
      </c>
    </row>
    <row r="141">
      <c r="A141" s="5" t="str">
        <f t="shared" si="3"/>
        <v>NAME_MOVE_BARRAGE</v>
      </c>
      <c r="B141" s="3" t="s">
        <v>12020</v>
      </c>
      <c r="C141" s="3" t="s">
        <v>13900</v>
      </c>
      <c r="D141" s="3" t="s">
        <v>13901</v>
      </c>
      <c r="E141" s="3" t="s">
        <v>13902</v>
      </c>
      <c r="F141" s="3" t="s">
        <v>13903</v>
      </c>
      <c r="G141" s="3" t="s">
        <v>13904</v>
      </c>
      <c r="H141" s="3" t="s">
        <v>13905</v>
      </c>
      <c r="I141" s="3" t="s">
        <v>13906</v>
      </c>
      <c r="J141" s="5" t="str">
        <f t="shared" si="12"/>
        <v>投球</v>
      </c>
    </row>
    <row r="142">
      <c r="A142" s="5" t="str">
        <f t="shared" si="3"/>
        <v>NAME_MOVE_LEECHLIFE</v>
      </c>
      <c r="B142" s="3" t="s">
        <v>13907</v>
      </c>
      <c r="C142" s="3" t="s">
        <v>13908</v>
      </c>
      <c r="D142" s="3" t="s">
        <v>13909</v>
      </c>
      <c r="E142" s="3" t="s">
        <v>13910</v>
      </c>
      <c r="F142" s="3" t="s">
        <v>13911</v>
      </c>
      <c r="G142" s="3" t="s">
        <v>13912</v>
      </c>
      <c r="H142" s="3" t="s">
        <v>13913</v>
      </c>
      <c r="I142" s="3" t="s">
        <v>13914</v>
      </c>
      <c r="J142" s="3" t="s">
        <v>13915</v>
      </c>
    </row>
    <row r="143">
      <c r="A143" s="5" t="str">
        <f t="shared" si="3"/>
        <v>NAME_MOVE_LOVELYKISS</v>
      </c>
      <c r="B143" s="3" t="s">
        <v>13916</v>
      </c>
      <c r="C143" s="3" t="s">
        <v>13917</v>
      </c>
      <c r="D143" s="3" t="s">
        <v>13918</v>
      </c>
      <c r="E143" s="3" t="s">
        <v>13919</v>
      </c>
      <c r="F143" s="3" t="s">
        <v>13920</v>
      </c>
      <c r="G143" s="3" t="s">
        <v>13921</v>
      </c>
      <c r="H143" s="3" t="s">
        <v>13922</v>
      </c>
      <c r="I143" s="3" t="s">
        <v>13923</v>
      </c>
      <c r="J143" s="5" t="str">
        <f>I143</f>
        <v>惡魔之吻</v>
      </c>
    </row>
    <row r="144">
      <c r="A144" s="5" t="str">
        <f t="shared" si="3"/>
        <v>NAME_MOVE_SKYATTACK</v>
      </c>
      <c r="B144" s="3" t="s">
        <v>13924</v>
      </c>
      <c r="C144" s="3" t="s">
        <v>13925</v>
      </c>
      <c r="D144" s="3" t="s">
        <v>13926</v>
      </c>
      <c r="E144" s="3" t="s">
        <v>13927</v>
      </c>
      <c r="F144" s="3" t="s">
        <v>13928</v>
      </c>
      <c r="G144" s="3" t="s">
        <v>13929</v>
      </c>
      <c r="H144" s="7" t="s">
        <v>13930</v>
      </c>
      <c r="I144" s="7" t="s">
        <v>13931</v>
      </c>
      <c r="J144" s="5" t="str">
        <f>IFERROR(__xludf.DUMMYFUNCTION("GOOGLETRANSLATE(I144,""zh_HANT"",""zh_HANS"")"),"神鸟猛击")</f>
        <v>神鸟猛击</v>
      </c>
    </row>
    <row r="145">
      <c r="A145" s="5" t="str">
        <f t="shared" si="3"/>
        <v>NAME_MOVE_TRANSFORM</v>
      </c>
      <c r="B145" s="3" t="s">
        <v>13932</v>
      </c>
      <c r="C145" s="3" t="s">
        <v>13933</v>
      </c>
      <c r="D145" s="3" t="s">
        <v>13934</v>
      </c>
      <c r="E145" s="4" t="s">
        <v>13935</v>
      </c>
      <c r="F145" s="3" t="s">
        <v>13936</v>
      </c>
      <c r="G145" s="7" t="s">
        <v>13937</v>
      </c>
      <c r="H145" s="3" t="s">
        <v>13938</v>
      </c>
      <c r="I145" s="3" t="s">
        <v>13939</v>
      </c>
      <c r="J145" s="5" t="str">
        <f>IFERROR(__xludf.DUMMYFUNCTION("GOOGLETRANSLATE(I145,""zh_HANT"",""zh_HANS"")"),"变身")</f>
        <v>变身</v>
      </c>
    </row>
    <row r="146">
      <c r="A146" s="5" t="str">
        <f t="shared" si="3"/>
        <v>NAME_MOVE_BUBBLE</v>
      </c>
      <c r="B146" s="3" t="s">
        <v>13940</v>
      </c>
      <c r="C146" s="3" t="s">
        <v>13941</v>
      </c>
      <c r="D146" s="3" t="s">
        <v>13942</v>
      </c>
      <c r="E146" s="3" t="s">
        <v>13943</v>
      </c>
      <c r="F146" s="3" t="s">
        <v>7972</v>
      </c>
      <c r="G146" s="3" t="s">
        <v>13944</v>
      </c>
      <c r="H146" s="3" t="s">
        <v>13945</v>
      </c>
      <c r="I146" s="3" t="s">
        <v>13946</v>
      </c>
      <c r="J146" s="5" t="str">
        <f t="shared" ref="J146:J148" si="13">I146</f>
        <v>泡沫</v>
      </c>
    </row>
    <row r="147">
      <c r="A147" s="5" t="str">
        <f t="shared" si="3"/>
        <v>NAME_MOVE_DIZZYPUNCH</v>
      </c>
      <c r="B147" s="3" t="s">
        <v>13947</v>
      </c>
      <c r="C147" s="3" t="s">
        <v>13948</v>
      </c>
      <c r="D147" s="3" t="s">
        <v>13949</v>
      </c>
      <c r="E147" s="3" t="s">
        <v>13950</v>
      </c>
      <c r="F147" s="3" t="s">
        <v>13951</v>
      </c>
      <c r="G147" s="3" t="s">
        <v>13952</v>
      </c>
      <c r="H147" s="3" t="s">
        <v>13953</v>
      </c>
      <c r="I147" s="3" t="s">
        <v>13954</v>
      </c>
      <c r="J147" s="5" t="str">
        <f t="shared" si="13"/>
        <v>迷昏拳</v>
      </c>
    </row>
    <row r="148">
      <c r="A148" s="5" t="str">
        <f t="shared" si="3"/>
        <v>NAME_MOVE_SPORE</v>
      </c>
      <c r="B148" s="3" t="s">
        <v>13955</v>
      </c>
      <c r="C148" s="3" t="s">
        <v>13956</v>
      </c>
      <c r="D148" s="5" t="str">
        <f t="shared" ref="D148:D149" si="14">B148</f>
        <v>Spore</v>
      </c>
      <c r="E148" s="3" t="s">
        <v>13957</v>
      </c>
      <c r="F148" s="3" t="s">
        <v>13958</v>
      </c>
      <c r="G148" s="3" t="s">
        <v>13959</v>
      </c>
      <c r="H148" s="3" t="s">
        <v>13960</v>
      </c>
      <c r="I148" s="3" t="s">
        <v>13961</v>
      </c>
      <c r="J148" s="5" t="str">
        <f t="shared" si="13"/>
        <v>蘑菇孢子</v>
      </c>
    </row>
    <row r="149">
      <c r="A149" s="5" t="str">
        <f t="shared" si="3"/>
        <v>NAME_MOVE_FLASH</v>
      </c>
      <c r="B149" s="3" t="s">
        <v>13962</v>
      </c>
      <c r="C149" s="3" t="s">
        <v>13963</v>
      </c>
      <c r="D149" s="5" t="str">
        <f t="shared" si="14"/>
        <v>Flash</v>
      </c>
      <c r="E149" s="3" t="s">
        <v>7979</v>
      </c>
      <c r="F149" s="3" t="s">
        <v>13964</v>
      </c>
      <c r="G149" s="5" t="str">
        <f>B149</f>
        <v>Flash</v>
      </c>
      <c r="H149" s="3" t="s">
        <v>13965</v>
      </c>
      <c r="I149" s="3" t="s">
        <v>13966</v>
      </c>
      <c r="J149" s="5" t="str">
        <f>IFERROR(__xludf.DUMMYFUNCTION("GOOGLETRANSLATE(I149,""zh_HANT"",""zh_HANS"")"),"闪光")</f>
        <v>闪光</v>
      </c>
    </row>
    <row r="150">
      <c r="A150" s="5" t="str">
        <f t="shared" si="3"/>
        <v>NAME_MOVE_PSYWAVE</v>
      </c>
      <c r="B150" s="9" t="s">
        <v>13967</v>
      </c>
      <c r="C150" s="3" t="s">
        <v>13968</v>
      </c>
      <c r="D150" s="3" t="s">
        <v>13969</v>
      </c>
      <c r="E150" s="3" t="s">
        <v>13970</v>
      </c>
      <c r="F150" s="3" t="s">
        <v>13971</v>
      </c>
      <c r="G150" s="3" t="s">
        <v>13972</v>
      </c>
      <c r="H150" s="7" t="s">
        <v>13973</v>
      </c>
      <c r="I150" s="7" t="s">
        <v>13974</v>
      </c>
      <c r="J150" s="5" t="str">
        <f>I150</f>
        <v>精神波</v>
      </c>
    </row>
    <row r="151">
      <c r="A151" s="5" t="str">
        <f t="shared" si="3"/>
        <v>NAME_MOVE_SPLASH</v>
      </c>
      <c r="B151" s="3" t="s">
        <v>13975</v>
      </c>
      <c r="C151" s="3" t="s">
        <v>13976</v>
      </c>
      <c r="D151" s="3" t="s">
        <v>13977</v>
      </c>
      <c r="E151" s="3" t="s">
        <v>13978</v>
      </c>
      <c r="F151" s="3" t="s">
        <v>10118</v>
      </c>
      <c r="G151" s="5" t="str">
        <f>B151</f>
        <v>Splash</v>
      </c>
      <c r="H151" s="3" t="s">
        <v>13979</v>
      </c>
      <c r="I151" s="3" t="s">
        <v>13980</v>
      </c>
      <c r="J151" s="5" t="str">
        <f>IFERROR(__xludf.DUMMYFUNCTION("GOOGLETRANSLATE(I151,""zh_HANT"",""zh_HANS"")"),"跃起")</f>
        <v>跃起</v>
      </c>
    </row>
    <row r="152">
      <c r="A152" s="5" t="str">
        <f t="shared" si="3"/>
        <v>NAME_MOVE_ACIDARMOR</v>
      </c>
      <c r="B152" s="3" t="s">
        <v>13981</v>
      </c>
      <c r="C152" s="3" t="s">
        <v>13982</v>
      </c>
      <c r="D152" s="3" t="s">
        <v>13983</v>
      </c>
      <c r="E152" s="3" t="s">
        <v>13984</v>
      </c>
      <c r="F152" s="3" t="s">
        <v>13985</v>
      </c>
      <c r="G152" s="3" t="s">
        <v>13986</v>
      </c>
      <c r="H152" s="3" t="s">
        <v>13987</v>
      </c>
      <c r="I152" s="3" t="s">
        <v>13988</v>
      </c>
      <c r="J152" s="5" t="str">
        <f>I152</f>
        <v>溶化</v>
      </c>
    </row>
    <row r="153">
      <c r="A153" s="5" t="str">
        <f t="shared" si="3"/>
        <v>NAME_MOVE_CRABHAMMER</v>
      </c>
      <c r="B153" s="3" t="s">
        <v>13989</v>
      </c>
      <c r="C153" s="3" t="s">
        <v>13990</v>
      </c>
      <c r="D153" s="3" t="s">
        <v>13991</v>
      </c>
      <c r="E153" s="3" t="s">
        <v>13992</v>
      </c>
      <c r="F153" s="3" t="s">
        <v>13993</v>
      </c>
      <c r="G153" s="3" t="s">
        <v>13994</v>
      </c>
      <c r="H153" s="3" t="s">
        <v>13995</v>
      </c>
      <c r="I153" s="3" t="s">
        <v>13996</v>
      </c>
      <c r="J153" s="5" t="str">
        <f>IFERROR(__xludf.DUMMYFUNCTION("GOOGLETRANSLATE(I153,""zh_HANT"",""zh_HANS"")"),"蟹钳锤")</f>
        <v>蟹钳锤</v>
      </c>
    </row>
    <row r="154">
      <c r="A154" s="5" t="str">
        <f t="shared" si="3"/>
        <v>NAME_MOVE_EXPLOSION</v>
      </c>
      <c r="B154" s="3" t="s">
        <v>9809</v>
      </c>
      <c r="C154" s="3" t="s">
        <v>13997</v>
      </c>
      <c r="D154" s="5" t="str">
        <f>B154</f>
        <v>Explosion</v>
      </c>
      <c r="E154" s="5" t="str">
        <f>B154</f>
        <v>Explosion</v>
      </c>
      <c r="F154" s="3" t="s">
        <v>9811</v>
      </c>
      <c r="G154" s="3" t="s">
        <v>13998</v>
      </c>
      <c r="H154" s="3" t="s">
        <v>13999</v>
      </c>
      <c r="I154" s="3" t="s">
        <v>14000</v>
      </c>
      <c r="J154" s="5" t="str">
        <f>I154</f>
        <v>大爆炸</v>
      </c>
    </row>
    <row r="155">
      <c r="A155" s="5" t="str">
        <f t="shared" si="3"/>
        <v>NAME_MOVE_FURYSWIPES</v>
      </c>
      <c r="B155" s="3" t="s">
        <v>14001</v>
      </c>
      <c r="C155" s="3" t="s">
        <v>14002</v>
      </c>
      <c r="D155" s="3" t="s">
        <v>14003</v>
      </c>
      <c r="E155" s="3" t="s">
        <v>14004</v>
      </c>
      <c r="F155" s="3" t="s">
        <v>14005</v>
      </c>
      <c r="G155" s="3" t="s">
        <v>14006</v>
      </c>
      <c r="H155" s="3" t="s">
        <v>14007</v>
      </c>
      <c r="I155" s="3" t="s">
        <v>14008</v>
      </c>
      <c r="J155" s="5" t="str">
        <f>IFERROR(__xludf.DUMMYFUNCTION("GOOGLETRANSLATE(I155,""zh_HANT"",""zh_HANS"")"),"乱抓")</f>
        <v>乱抓</v>
      </c>
    </row>
    <row r="156">
      <c r="A156" s="5" t="str">
        <f t="shared" si="3"/>
        <v>NAME_MOVE_BONEMARANG</v>
      </c>
      <c r="B156" s="3" t="s">
        <v>14009</v>
      </c>
      <c r="C156" s="3" t="s">
        <v>14010</v>
      </c>
      <c r="D156" s="3" t="s">
        <v>14011</v>
      </c>
      <c r="E156" s="3" t="s">
        <v>14012</v>
      </c>
      <c r="F156" s="3" t="s">
        <v>14013</v>
      </c>
      <c r="G156" s="3" t="s">
        <v>14014</v>
      </c>
      <c r="H156" s="3" t="s">
        <v>14015</v>
      </c>
      <c r="I156" s="3" t="s">
        <v>14016</v>
      </c>
      <c r="J156" s="5" t="str">
        <f>IFERROR(__xludf.DUMMYFUNCTION("GOOGLETRANSLATE(I156,""zh_HANT"",""zh_HANS"")"),"骨头回力镖")</f>
        <v>骨头回力镖</v>
      </c>
    </row>
    <row r="157">
      <c r="A157" s="5" t="str">
        <f t="shared" si="3"/>
        <v>NAME_MOVE_REST</v>
      </c>
      <c r="B157" s="3" t="s">
        <v>14017</v>
      </c>
      <c r="C157" s="3" t="s">
        <v>14018</v>
      </c>
      <c r="D157" s="3" t="s">
        <v>14019</v>
      </c>
      <c r="E157" s="3" t="s">
        <v>14020</v>
      </c>
      <c r="F157" s="3" t="s">
        <v>14021</v>
      </c>
      <c r="G157" s="3" t="s">
        <v>14022</v>
      </c>
      <c r="H157" s="3" t="s">
        <v>14023</v>
      </c>
      <c r="I157" s="3" t="s">
        <v>14024</v>
      </c>
      <c r="J157" s="5" t="str">
        <f>IFERROR(__xludf.DUMMYFUNCTION("GOOGLETRANSLATE(I157,""zh_HANT"",""zh_HANS"")"),"睡觉")</f>
        <v>睡觉</v>
      </c>
    </row>
    <row r="158">
      <c r="A158" s="5" t="str">
        <f t="shared" si="3"/>
        <v>NAME_MOVE_ROCKSLIDE</v>
      </c>
      <c r="B158" s="3" t="s">
        <v>14025</v>
      </c>
      <c r="C158" s="3" t="s">
        <v>14026</v>
      </c>
      <c r="D158" s="3" t="s">
        <v>14027</v>
      </c>
      <c r="E158" s="3" t="s">
        <v>14028</v>
      </c>
      <c r="F158" s="3" t="s">
        <v>14029</v>
      </c>
      <c r="G158" s="3" t="s">
        <v>14030</v>
      </c>
      <c r="H158" s="3" t="s">
        <v>14031</v>
      </c>
      <c r="I158" s="3" t="s">
        <v>14032</v>
      </c>
      <c r="J158" s="5" t="str">
        <f>I158</f>
        <v>岩崩</v>
      </c>
    </row>
    <row r="159">
      <c r="A159" s="5" t="str">
        <f t="shared" si="3"/>
        <v>NAME_MOVE_HYPERFANG</v>
      </c>
      <c r="B159" s="3" t="s">
        <v>14033</v>
      </c>
      <c r="C159" s="3" t="s">
        <v>14034</v>
      </c>
      <c r="D159" s="3" t="s">
        <v>14035</v>
      </c>
      <c r="E159" s="3" t="s">
        <v>14036</v>
      </c>
      <c r="F159" s="3" t="s">
        <v>14037</v>
      </c>
      <c r="G159" s="3" t="s">
        <v>14038</v>
      </c>
      <c r="H159" s="3" t="s">
        <v>14039</v>
      </c>
      <c r="I159" s="3" t="s">
        <v>14040</v>
      </c>
      <c r="J159" s="3" t="s">
        <v>14041</v>
      </c>
    </row>
    <row r="160">
      <c r="A160" s="5" t="str">
        <f t="shared" si="3"/>
        <v>NAME_MOVE_SHARPEN</v>
      </c>
      <c r="B160" s="3" t="s">
        <v>14042</v>
      </c>
      <c r="C160" s="3" t="s">
        <v>14043</v>
      </c>
      <c r="D160" s="3" t="s">
        <v>14044</v>
      </c>
      <c r="E160" s="3" t="s">
        <v>14045</v>
      </c>
      <c r="F160" s="3" t="s">
        <v>14046</v>
      </c>
      <c r="G160" s="3" t="s">
        <v>14047</v>
      </c>
      <c r="H160" s="3" t="s">
        <v>14048</v>
      </c>
      <c r="I160" s="3" t="s">
        <v>14049</v>
      </c>
      <c r="J160" s="5" t="str">
        <f>I160</f>
        <v>棱角化</v>
      </c>
    </row>
    <row r="161">
      <c r="A161" s="5" t="str">
        <f t="shared" si="3"/>
        <v>NAME_MOVE_CONVERSION</v>
      </c>
      <c r="B161" s="3" t="s">
        <v>14050</v>
      </c>
      <c r="C161" s="3" t="s">
        <v>14051</v>
      </c>
      <c r="D161" s="5" t="str">
        <f>B161</f>
        <v>Conversion</v>
      </c>
      <c r="E161" s="3" t="s">
        <v>14052</v>
      </c>
      <c r="F161" s="3" t="s">
        <v>14053</v>
      </c>
      <c r="G161" s="3" t="s">
        <v>14054</v>
      </c>
      <c r="H161" s="3" t="s">
        <v>14055</v>
      </c>
      <c r="I161" s="3" t="s">
        <v>14056</v>
      </c>
      <c r="J161" s="5" t="str">
        <f>IFERROR(__xludf.DUMMYFUNCTION("GOOGLETRANSLATE(I161,""zh_HANT"",""zh_HANS"")"),"纹理")</f>
        <v>纹理</v>
      </c>
    </row>
    <row r="162">
      <c r="A162" s="5" t="str">
        <f t="shared" si="3"/>
        <v>NAME_MOVE_TRIATTACK</v>
      </c>
      <c r="B162" s="3" t="s">
        <v>14057</v>
      </c>
      <c r="C162" s="3" t="s">
        <v>14058</v>
      </c>
      <c r="D162" s="3" t="s">
        <v>14059</v>
      </c>
      <c r="E162" s="3" t="s">
        <v>14060</v>
      </c>
      <c r="F162" s="3" t="s">
        <v>14061</v>
      </c>
      <c r="G162" s="3" t="s">
        <v>14062</v>
      </c>
      <c r="H162" s="3" t="s">
        <v>14063</v>
      </c>
      <c r="I162" s="3" t="s">
        <v>14064</v>
      </c>
      <c r="J162" s="5" t="str">
        <f>IFERROR(__xludf.DUMMYFUNCTION("GOOGLETRANSLATE(I162,""zh_HANT"",""zh_HANS"")"),"三重攻击")</f>
        <v>三重攻击</v>
      </c>
    </row>
    <row r="163">
      <c r="A163" s="5" t="str">
        <f t="shared" si="3"/>
        <v>NAME_MOVE_SUPERFANG</v>
      </c>
      <c r="B163" s="3" t="s">
        <v>14065</v>
      </c>
      <c r="C163" s="3" t="s">
        <v>14066</v>
      </c>
      <c r="D163" s="3" t="s">
        <v>14067</v>
      </c>
      <c r="E163" s="3" t="s">
        <v>14068</v>
      </c>
      <c r="F163" s="3" t="s">
        <v>14069</v>
      </c>
      <c r="G163" s="3" t="s">
        <v>14070</v>
      </c>
      <c r="H163" s="3" t="s">
        <v>14071</v>
      </c>
      <c r="I163" s="3" t="s">
        <v>14072</v>
      </c>
      <c r="J163" s="5" t="str">
        <f>IFERROR(__xludf.DUMMYFUNCTION("GOOGLETRANSLATE(I163,""zh_HANT"",""zh_HANS"")"),"愤怒门牙")</f>
        <v>愤怒门牙</v>
      </c>
    </row>
    <row r="164">
      <c r="A164" s="5" t="str">
        <f t="shared" si="3"/>
        <v>NAME_MOVE_SLASH</v>
      </c>
      <c r="B164" s="3" t="s">
        <v>14073</v>
      </c>
      <c r="C164" s="3" t="s">
        <v>14074</v>
      </c>
      <c r="D164" s="3" t="s">
        <v>14075</v>
      </c>
      <c r="E164" s="3" t="s">
        <v>14076</v>
      </c>
      <c r="F164" s="3" t="s">
        <v>14077</v>
      </c>
      <c r="G164" s="3" t="s">
        <v>14078</v>
      </c>
      <c r="H164" s="3" t="s">
        <v>14079</v>
      </c>
      <c r="I164" s="3" t="s">
        <v>14080</v>
      </c>
      <c r="J164" s="5" t="str">
        <f>IFERROR(__xludf.DUMMYFUNCTION("GOOGLETRANSLATE(I164,""zh_HANT"",""zh_HANS"")"),"劈开")</f>
        <v>劈开</v>
      </c>
    </row>
    <row r="165">
      <c r="A165" s="5" t="str">
        <f t="shared" si="3"/>
        <v>NAME_MOVE_SUBSTITUTE</v>
      </c>
      <c r="B165" s="3" t="s">
        <v>14081</v>
      </c>
      <c r="C165" s="3" t="s">
        <v>14082</v>
      </c>
      <c r="D165" s="3" t="s">
        <v>14083</v>
      </c>
      <c r="E165" s="3" t="s">
        <v>14084</v>
      </c>
      <c r="F165" s="3" t="s">
        <v>14085</v>
      </c>
      <c r="G165" s="3" t="s">
        <v>14086</v>
      </c>
      <c r="H165" s="3" t="s">
        <v>14087</v>
      </c>
      <c r="I165" s="3" t="s">
        <v>14088</v>
      </c>
      <c r="J165" s="5" t="str">
        <f>I165</f>
        <v>替身</v>
      </c>
    </row>
    <row r="166">
      <c r="A166" s="5" t="str">
        <f t="shared" si="3"/>
        <v>NAME_MOVE_STRUGGLE</v>
      </c>
      <c r="B166" s="3" t="s">
        <v>14089</v>
      </c>
      <c r="C166" s="3" t="s">
        <v>14090</v>
      </c>
      <c r="D166" s="3" t="s">
        <v>14091</v>
      </c>
      <c r="E166" s="3" t="s">
        <v>14092</v>
      </c>
      <c r="F166" s="3" t="s">
        <v>14093</v>
      </c>
      <c r="G166" s="3" t="s">
        <v>14094</v>
      </c>
      <c r="H166" s="3" t="s">
        <v>14095</v>
      </c>
      <c r="I166" s="3" t="s">
        <v>14096</v>
      </c>
      <c r="J166" s="5" t="str">
        <f>IFERROR(__xludf.DUMMYFUNCTION("GOOGLETRANSLATE(I166,""zh_HANT"",""zh_HANS"")"),"挣扎")</f>
        <v>挣扎</v>
      </c>
    </row>
    <row r="167">
      <c r="A167" s="5" t="str">
        <f t="shared" si="3"/>
        <v>NAME_MOVE_SKETCH</v>
      </c>
      <c r="B167" s="3" t="s">
        <v>14097</v>
      </c>
      <c r="C167" s="3" t="s">
        <v>14098</v>
      </c>
      <c r="D167" s="3" t="s">
        <v>14099</v>
      </c>
      <c r="E167" s="3" t="s">
        <v>14100</v>
      </c>
      <c r="F167" s="3" t="s">
        <v>14101</v>
      </c>
      <c r="G167" s="3" t="s">
        <v>14102</v>
      </c>
      <c r="H167" s="3" t="s">
        <v>14103</v>
      </c>
      <c r="I167" s="3" t="s">
        <v>14104</v>
      </c>
      <c r="J167" s="5" t="str">
        <f>IFERROR(__xludf.DUMMYFUNCTION("GOOGLETRANSLATE(I167,""zh_HANT"",""zh_HANS"")"),"写生")</f>
        <v>写生</v>
      </c>
    </row>
    <row r="168">
      <c r="A168" s="5" t="str">
        <f t="shared" si="3"/>
        <v>NAME_MOVE_TRIPLEKICK</v>
      </c>
      <c r="B168" s="3" t="s">
        <v>14105</v>
      </c>
      <c r="C168" s="3" t="s">
        <v>14106</v>
      </c>
      <c r="D168" s="3" t="s">
        <v>14107</v>
      </c>
      <c r="E168" s="3" t="s">
        <v>14108</v>
      </c>
      <c r="F168" s="3" t="s">
        <v>14109</v>
      </c>
      <c r="G168" s="3" t="s">
        <v>14110</v>
      </c>
      <c r="H168" s="3" t="s">
        <v>14111</v>
      </c>
      <c r="I168" s="3" t="s">
        <v>14112</v>
      </c>
      <c r="J168" s="5" t="str">
        <f>IFERROR(__xludf.DUMMYFUNCTION("GOOGLETRANSLATE(I168,""zh_HANT"",""zh_HANS"")"),"三连踢")</f>
        <v>三连踢</v>
      </c>
    </row>
    <row r="169">
      <c r="A169" s="5" t="str">
        <f t="shared" si="3"/>
        <v>NAME_MOVE_THIEF</v>
      </c>
      <c r="B169" s="3" t="s">
        <v>14113</v>
      </c>
      <c r="C169" s="3" t="s">
        <v>14114</v>
      </c>
      <c r="D169" s="3" t="s">
        <v>14115</v>
      </c>
      <c r="E169" s="3" t="s">
        <v>14116</v>
      </c>
      <c r="F169" s="3" t="s">
        <v>14117</v>
      </c>
      <c r="G169" s="3" t="s">
        <v>14118</v>
      </c>
      <c r="H169" s="3" t="s">
        <v>14119</v>
      </c>
      <c r="I169" s="3" t="s">
        <v>14120</v>
      </c>
      <c r="J169" s="5" t="str">
        <f>I169</f>
        <v>小偷</v>
      </c>
    </row>
    <row r="170">
      <c r="A170" s="5" t="str">
        <f t="shared" si="3"/>
        <v>NAME_MOVE_SPIDERWEB</v>
      </c>
      <c r="B170" s="3" t="s">
        <v>14121</v>
      </c>
      <c r="C170" s="3" t="s">
        <v>14122</v>
      </c>
      <c r="D170" s="3" t="s">
        <v>14123</v>
      </c>
      <c r="E170" s="3" t="s">
        <v>14124</v>
      </c>
      <c r="F170" s="3" t="s">
        <v>14125</v>
      </c>
      <c r="G170" s="3" t="s">
        <v>14126</v>
      </c>
      <c r="H170" s="3" t="s">
        <v>14127</v>
      </c>
      <c r="I170" s="3" t="s">
        <v>14128</v>
      </c>
      <c r="J170" s="5" t="str">
        <f>IFERROR(__xludf.DUMMYFUNCTION("GOOGLETRANSLATE(I170,""zh_HANT"",""zh_HANS"")"),"蛛网")</f>
        <v>蛛网</v>
      </c>
    </row>
    <row r="171">
      <c r="A171" s="5" t="str">
        <f t="shared" si="3"/>
        <v>NAME_MOVE_MINDREADER</v>
      </c>
      <c r="B171" s="3" t="s">
        <v>14129</v>
      </c>
      <c r="C171" s="3" t="s">
        <v>14130</v>
      </c>
      <c r="D171" s="3" t="s">
        <v>14131</v>
      </c>
      <c r="E171" s="3" t="s">
        <v>14132</v>
      </c>
      <c r="F171" s="3" t="s">
        <v>14133</v>
      </c>
      <c r="G171" s="3" t="s">
        <v>14134</v>
      </c>
      <c r="H171" s="3" t="s">
        <v>14135</v>
      </c>
      <c r="I171" s="3" t="s">
        <v>14136</v>
      </c>
      <c r="J171" s="5" t="str">
        <f>I171</f>
        <v>心之眼</v>
      </c>
    </row>
    <row r="172">
      <c r="A172" s="5" t="str">
        <f t="shared" si="3"/>
        <v>NAME_MOVE_NIGHTMARE</v>
      </c>
      <c r="B172" s="3" t="s">
        <v>14137</v>
      </c>
      <c r="C172" s="3" t="s">
        <v>14138</v>
      </c>
      <c r="D172" s="3" t="s">
        <v>14139</v>
      </c>
      <c r="E172" s="3" t="s">
        <v>14140</v>
      </c>
      <c r="F172" s="3" t="s">
        <v>14141</v>
      </c>
      <c r="G172" s="3" t="s">
        <v>14142</v>
      </c>
      <c r="H172" s="3" t="s">
        <v>14143</v>
      </c>
      <c r="I172" s="3" t="s">
        <v>14144</v>
      </c>
      <c r="J172" s="5" t="str">
        <f>IFERROR(__xludf.DUMMYFUNCTION("GOOGLETRANSLATE(I172,""zh_HANT"",""zh_HANS"")"),"恶梦")</f>
        <v>恶梦</v>
      </c>
    </row>
    <row r="173">
      <c r="A173" s="5" t="str">
        <f t="shared" si="3"/>
        <v>NAME_MOVE_FLAMEWHEEL</v>
      </c>
      <c r="B173" s="3" t="s">
        <v>14145</v>
      </c>
      <c r="C173" s="3" t="s">
        <v>14146</v>
      </c>
      <c r="D173" s="3" t="s">
        <v>14147</v>
      </c>
      <c r="E173" s="3" t="s">
        <v>14148</v>
      </c>
      <c r="F173" s="3" t="s">
        <v>14149</v>
      </c>
      <c r="G173" s="3" t="s">
        <v>14150</v>
      </c>
      <c r="H173" s="3" t="s">
        <v>14151</v>
      </c>
      <c r="I173" s="3" t="s">
        <v>14152</v>
      </c>
      <c r="J173" s="5" t="str">
        <f>IFERROR(__xludf.DUMMYFUNCTION("GOOGLETRANSLATE(I173,""zh_HANT"",""zh_HANS"")"),"火焰轮")</f>
        <v>火焰轮</v>
      </c>
    </row>
    <row r="174">
      <c r="A174" s="5" t="str">
        <f t="shared" si="3"/>
        <v>NAME_MOVE_SNORE</v>
      </c>
      <c r="B174" s="3" t="s">
        <v>14153</v>
      </c>
      <c r="C174" s="3" t="s">
        <v>14154</v>
      </c>
      <c r="D174" s="3" t="s">
        <v>14155</v>
      </c>
      <c r="E174" s="3" t="s">
        <v>7676</v>
      </c>
      <c r="F174" s="3" t="s">
        <v>14156</v>
      </c>
      <c r="G174" s="3" t="s">
        <v>14157</v>
      </c>
      <c r="H174" s="3" t="s">
        <v>14158</v>
      </c>
      <c r="I174" s="3" t="s">
        <v>14159</v>
      </c>
      <c r="J174" s="5" t="str">
        <f>I174</f>
        <v>打鼾</v>
      </c>
    </row>
    <row r="175">
      <c r="A175" s="5" t="str">
        <f t="shared" si="3"/>
        <v>NAME_MOVE_CURSE</v>
      </c>
      <c r="B175" s="3" t="s">
        <v>14160</v>
      </c>
      <c r="C175" s="3" t="s">
        <v>14161</v>
      </c>
      <c r="D175" s="3" t="s">
        <v>14162</v>
      </c>
      <c r="E175" s="3" t="s">
        <v>14163</v>
      </c>
      <c r="F175" s="3" t="s">
        <v>14164</v>
      </c>
      <c r="G175" s="3" t="s">
        <v>14165</v>
      </c>
      <c r="H175" s="3" t="s">
        <v>14166</v>
      </c>
      <c r="I175" s="3" t="s">
        <v>14167</v>
      </c>
      <c r="J175" s="3" t="s">
        <v>14168</v>
      </c>
    </row>
    <row r="176">
      <c r="A176" s="5" t="str">
        <f t="shared" si="3"/>
        <v>NAME_MOVE_FLAIL</v>
      </c>
      <c r="B176" s="3" t="s">
        <v>14169</v>
      </c>
      <c r="C176" s="3" t="s">
        <v>11518</v>
      </c>
      <c r="D176" s="3" t="s">
        <v>12667</v>
      </c>
      <c r="E176" s="3" t="s">
        <v>14170</v>
      </c>
      <c r="F176" s="3" t="s">
        <v>14171</v>
      </c>
      <c r="G176" s="3" t="s">
        <v>14172</v>
      </c>
      <c r="H176" s="3" t="s">
        <v>11523</v>
      </c>
      <c r="I176" s="3" t="s">
        <v>11524</v>
      </c>
      <c r="J176" s="5" t="str">
        <f>I176</f>
        <v>抓狂</v>
      </c>
    </row>
    <row r="177">
      <c r="A177" s="5" t="str">
        <f t="shared" si="3"/>
        <v>NAME_MOVE_CONVERSION2</v>
      </c>
      <c r="B177" s="3" t="s">
        <v>14173</v>
      </c>
      <c r="C177" s="3" t="s">
        <v>14174</v>
      </c>
      <c r="D177" s="5" t="str">
        <f t="shared" ref="D177:E177" si="15">CONCATENATE(D161,2)</f>
        <v>Conversion2</v>
      </c>
      <c r="E177" s="5" t="str">
        <f t="shared" si="15"/>
        <v>Umwandlung2</v>
      </c>
      <c r="F177" s="3" t="s">
        <v>14175</v>
      </c>
      <c r="G177" s="5" t="str">
        <f>CONCATENATE(G161,2)</f>
        <v>Conversione2</v>
      </c>
      <c r="H177" s="3" t="s">
        <v>14176</v>
      </c>
      <c r="I177" s="3" t="s">
        <v>14177</v>
      </c>
      <c r="J177" s="5" t="str">
        <f>IFERROR(__xludf.DUMMYFUNCTION("GOOGLETRANSLATE(I177,""zh_HANT"",""zh_HANS"")"),"纹理２")</f>
        <v>纹理２</v>
      </c>
    </row>
    <row r="178">
      <c r="A178" s="5" t="str">
        <f t="shared" si="3"/>
        <v>NAME_MOVE_AEROBLAST</v>
      </c>
      <c r="B178" s="3" t="s">
        <v>14178</v>
      </c>
      <c r="C178" s="3" t="s">
        <v>14179</v>
      </c>
      <c r="D178" s="3" t="s">
        <v>14180</v>
      </c>
      <c r="E178" s="3" t="s">
        <v>14181</v>
      </c>
      <c r="F178" s="3" t="s">
        <v>14182</v>
      </c>
      <c r="G178" s="3" t="s">
        <v>14183</v>
      </c>
      <c r="H178" s="3" t="s">
        <v>14184</v>
      </c>
      <c r="I178" s="3" t="s">
        <v>14185</v>
      </c>
      <c r="J178" s="5" t="str">
        <f>IFERROR(__xludf.DUMMYFUNCTION("GOOGLETRANSLATE(I178,""zh_HANT"",""zh_HANS"")"),"气旋攻击")</f>
        <v>气旋攻击</v>
      </c>
    </row>
    <row r="179">
      <c r="A179" s="5" t="str">
        <f t="shared" si="3"/>
        <v>NAME_MOVE_COTTONSPORE</v>
      </c>
      <c r="B179" s="3" t="s">
        <v>14186</v>
      </c>
      <c r="C179" s="3" t="s">
        <v>14187</v>
      </c>
      <c r="D179" s="3" t="s">
        <v>14188</v>
      </c>
      <c r="E179" s="3" t="s">
        <v>14189</v>
      </c>
      <c r="F179" s="3" t="s">
        <v>14190</v>
      </c>
      <c r="G179" s="3" t="s">
        <v>14191</v>
      </c>
      <c r="H179" s="3" t="s">
        <v>14192</v>
      </c>
      <c r="I179" s="3" t="s">
        <v>14193</v>
      </c>
      <c r="J179" s="5" t="str">
        <f>I179</f>
        <v>棉孢子</v>
      </c>
    </row>
    <row r="180">
      <c r="A180" s="5" t="str">
        <f t="shared" si="3"/>
        <v>NAME_MOVE_REVERSAL</v>
      </c>
      <c r="B180" s="3" t="s">
        <v>14194</v>
      </c>
      <c r="C180" s="3" t="s">
        <v>14195</v>
      </c>
      <c r="D180" s="3" t="s">
        <v>14196</v>
      </c>
      <c r="E180" s="3" t="s">
        <v>14197</v>
      </c>
      <c r="F180" s="3" t="s">
        <v>14198</v>
      </c>
      <c r="G180" s="3" t="s">
        <v>14199</v>
      </c>
      <c r="H180" s="3" t="s">
        <v>14200</v>
      </c>
      <c r="I180" s="3" t="s">
        <v>14201</v>
      </c>
      <c r="J180" s="3" t="s">
        <v>14202</v>
      </c>
    </row>
    <row r="181">
      <c r="A181" s="5" t="str">
        <f t="shared" si="3"/>
        <v>NAME_MOVE_SPITE</v>
      </c>
      <c r="B181" s="3" t="s">
        <v>14203</v>
      </c>
      <c r="C181" s="3" t="s">
        <v>14204</v>
      </c>
      <c r="D181" s="3" t="s">
        <v>14205</v>
      </c>
      <c r="E181" s="3" t="s">
        <v>14206</v>
      </c>
      <c r="F181" s="3" t="s">
        <v>14207</v>
      </c>
      <c r="G181" s="3" t="s">
        <v>14208</v>
      </c>
      <c r="H181" s="3" t="s">
        <v>14209</v>
      </c>
      <c r="I181" s="3" t="s">
        <v>14210</v>
      </c>
      <c r="J181" s="5" t="str">
        <f>I181</f>
        <v>怨恨</v>
      </c>
    </row>
    <row r="182">
      <c r="A182" s="5" t="str">
        <f t="shared" si="3"/>
        <v>NAME_MOVE_POWDERSNOW</v>
      </c>
      <c r="B182" s="3" t="s">
        <v>14211</v>
      </c>
      <c r="C182" s="3" t="s">
        <v>14212</v>
      </c>
      <c r="D182" s="3" t="s">
        <v>9841</v>
      </c>
      <c r="E182" s="3" t="s">
        <v>14213</v>
      </c>
      <c r="F182" s="3" t="s">
        <v>14214</v>
      </c>
      <c r="G182" s="3" t="s">
        <v>14215</v>
      </c>
      <c r="H182" s="3" t="s">
        <v>14216</v>
      </c>
      <c r="I182" s="3" t="s">
        <v>14217</v>
      </c>
      <c r="J182" s="5" t="str">
        <f>IFERROR(__xludf.DUMMYFUNCTION("GOOGLETRANSLATE(I182,""zh_HANT"",""zh_HANS"")"),"细雪")</f>
        <v>细雪</v>
      </c>
    </row>
    <row r="183">
      <c r="A183" s="5" t="str">
        <f t="shared" si="3"/>
        <v>NAME_MOVE_PROTECT</v>
      </c>
      <c r="B183" s="3" t="s">
        <v>14218</v>
      </c>
      <c r="C183" s="3" t="s">
        <v>14219</v>
      </c>
      <c r="D183" s="3" t="s">
        <v>14220</v>
      </c>
      <c r="E183" s="3" t="s">
        <v>9506</v>
      </c>
      <c r="F183" s="3" t="s">
        <v>14221</v>
      </c>
      <c r="G183" s="3" t="s">
        <v>14222</v>
      </c>
      <c r="H183" s="3" t="s">
        <v>14223</v>
      </c>
      <c r="I183" s="3" t="s">
        <v>14224</v>
      </c>
      <c r="J183" s="5" t="str">
        <f t="shared" ref="J183:J184" si="16">I183</f>
        <v>守住</v>
      </c>
    </row>
    <row r="184">
      <c r="A184" s="5" t="str">
        <f t="shared" si="3"/>
        <v>NAME_MOVE_MACHPUNCH</v>
      </c>
      <c r="B184" s="3" t="s">
        <v>14225</v>
      </c>
      <c r="C184" s="3" t="s">
        <v>14226</v>
      </c>
      <c r="D184" s="5" t="str">
        <f>B184</f>
        <v>Mach Punch</v>
      </c>
      <c r="E184" s="3" t="s">
        <v>14227</v>
      </c>
      <c r="F184" s="3" t="s">
        <v>14228</v>
      </c>
      <c r="G184" s="3" t="s">
        <v>14229</v>
      </c>
      <c r="H184" s="3" t="s">
        <v>14230</v>
      </c>
      <c r="I184" s="3" t="s">
        <v>14231</v>
      </c>
      <c r="J184" s="5" t="str">
        <f t="shared" si="16"/>
        <v>音速拳</v>
      </c>
    </row>
    <row r="185">
      <c r="A185" s="5" t="str">
        <f t="shared" si="3"/>
        <v>NAME_MOVE_SCARYFACE</v>
      </c>
      <c r="B185" s="3" t="s">
        <v>14232</v>
      </c>
      <c r="C185" s="3" t="s">
        <v>14233</v>
      </c>
      <c r="D185" s="3" t="s">
        <v>14234</v>
      </c>
      <c r="E185" s="3" t="s">
        <v>14235</v>
      </c>
      <c r="F185" s="3" t="s">
        <v>14236</v>
      </c>
      <c r="G185" s="3" t="s">
        <v>14237</v>
      </c>
      <c r="H185" s="3" t="s">
        <v>14238</v>
      </c>
      <c r="I185" s="3" t="s">
        <v>14239</v>
      </c>
      <c r="J185" s="3" t="s">
        <v>14240</v>
      </c>
    </row>
    <row r="186">
      <c r="A186" s="5" t="str">
        <f t="shared" si="3"/>
        <v>NAME_MOVE_FEINTATTACK</v>
      </c>
      <c r="B186" s="3" t="s">
        <v>14241</v>
      </c>
      <c r="C186" s="3" t="s">
        <v>14242</v>
      </c>
      <c r="D186" s="3" t="s">
        <v>14243</v>
      </c>
      <c r="E186" s="3" t="s">
        <v>14244</v>
      </c>
      <c r="F186" s="3" t="s">
        <v>14245</v>
      </c>
      <c r="G186" s="5" t="str">
        <f>F186</f>
        <v>Finta</v>
      </c>
      <c r="H186" s="3" t="s">
        <v>14246</v>
      </c>
      <c r="I186" s="3" t="s">
        <v>14247</v>
      </c>
      <c r="J186" s="5" t="str">
        <f>IFERROR(__xludf.DUMMYFUNCTION("GOOGLETRANSLATE(I186,""zh_HANT"",""zh_HANS"")"),"出奇一击")</f>
        <v>出奇一击</v>
      </c>
    </row>
    <row r="187">
      <c r="A187" s="5" t="str">
        <f t="shared" si="3"/>
        <v>NAME_MOVE_SWEETKISS</v>
      </c>
      <c r="B187" s="3" t="s">
        <v>14248</v>
      </c>
      <c r="C187" s="3" t="s">
        <v>14249</v>
      </c>
      <c r="D187" s="3" t="s">
        <v>14250</v>
      </c>
      <c r="E187" s="3" t="s">
        <v>14251</v>
      </c>
      <c r="F187" s="3" t="s">
        <v>14252</v>
      </c>
      <c r="G187" s="3" t="s">
        <v>14253</v>
      </c>
      <c r="H187" s="3" t="s">
        <v>14254</v>
      </c>
      <c r="I187" s="3" t="s">
        <v>14255</v>
      </c>
      <c r="J187" s="5" t="str">
        <f t="shared" ref="J187:J188" si="17">I187</f>
        <v>天使之吻</v>
      </c>
    </row>
    <row r="188">
      <c r="A188" s="5" t="str">
        <f t="shared" si="3"/>
        <v>NAME_MOVE_BELLYDRUM</v>
      </c>
      <c r="B188" s="3" t="s">
        <v>14256</v>
      </c>
      <c r="C188" s="3" t="s">
        <v>14257</v>
      </c>
      <c r="D188" s="3" t="s">
        <v>14258</v>
      </c>
      <c r="E188" s="3" t="s">
        <v>14259</v>
      </c>
      <c r="F188" s="3" t="s">
        <v>14260</v>
      </c>
      <c r="G188" s="3" t="s">
        <v>14261</v>
      </c>
      <c r="H188" s="3" t="s">
        <v>14262</v>
      </c>
      <c r="I188" s="3" t="s">
        <v>14263</v>
      </c>
      <c r="J188" s="5" t="str">
        <f t="shared" si="17"/>
        <v>腹鼓</v>
      </c>
    </row>
    <row r="189">
      <c r="A189" s="5" t="str">
        <f t="shared" si="3"/>
        <v>NAME_MOVE_SLUDGEBOMB</v>
      </c>
      <c r="B189" s="3" t="s">
        <v>14264</v>
      </c>
      <c r="C189" s="3" t="s">
        <v>14265</v>
      </c>
      <c r="D189" s="3" t="s">
        <v>14266</v>
      </c>
      <c r="E189" s="3" t="s">
        <v>14267</v>
      </c>
      <c r="F189" s="3" t="s">
        <v>14268</v>
      </c>
      <c r="G189" s="3" t="s">
        <v>14269</v>
      </c>
      <c r="H189" s="3" t="s">
        <v>14270</v>
      </c>
      <c r="I189" s="3" t="s">
        <v>14271</v>
      </c>
      <c r="J189" s="5" t="str">
        <f>IFERROR(__xludf.DUMMYFUNCTION("GOOGLETRANSLATE(I189,""zh_HANT"",""zh_HANS"")"),"污泥炸弹")</f>
        <v>污泥炸弹</v>
      </c>
    </row>
    <row r="190">
      <c r="A190" s="5" t="str">
        <f t="shared" si="3"/>
        <v>NAME_MOVE_MUDSLAP</v>
      </c>
      <c r="B190" s="3" t="s">
        <v>14272</v>
      </c>
      <c r="C190" s="3" t="s">
        <v>14273</v>
      </c>
      <c r="D190" s="3" t="s">
        <v>14274</v>
      </c>
      <c r="E190" s="3" t="s">
        <v>14275</v>
      </c>
      <c r="F190" s="3" t="s">
        <v>14276</v>
      </c>
      <c r="G190" s="3" t="s">
        <v>14277</v>
      </c>
      <c r="H190" s="3" t="s">
        <v>14278</v>
      </c>
      <c r="I190" s="3" t="s">
        <v>14279</v>
      </c>
      <c r="J190" s="5" t="str">
        <f>IFERROR(__xludf.DUMMYFUNCTION("GOOGLETRANSLATE(I190,""zh_HANT"",""zh_HANS"")"),"掷泥")</f>
        <v>掷泥</v>
      </c>
    </row>
    <row r="191">
      <c r="A191" s="5" t="str">
        <f t="shared" si="3"/>
        <v>NAME_MOVE_OCTAZOOKA</v>
      </c>
      <c r="B191" s="3" t="s">
        <v>14280</v>
      </c>
      <c r="C191" s="3" t="s">
        <v>14281</v>
      </c>
      <c r="D191" s="5" t="str">
        <f>B191</f>
        <v>Octazooka</v>
      </c>
      <c r="E191" s="5" t="str">
        <f>B191</f>
        <v>Octazooka</v>
      </c>
      <c r="F191" s="3" t="s">
        <v>14282</v>
      </c>
      <c r="G191" s="5" t="str">
        <f>B191</f>
        <v>Octazooka</v>
      </c>
      <c r="H191" s="3" t="s">
        <v>14283</v>
      </c>
      <c r="I191" s="3" t="s">
        <v>14284</v>
      </c>
      <c r="J191" s="5" t="str">
        <f>IFERROR(__xludf.DUMMYFUNCTION("GOOGLETRANSLATE(I191,""zh_HANT"",""zh_HANS"")"),"章鱼桶炮")</f>
        <v>章鱼桶炮</v>
      </c>
    </row>
    <row r="192">
      <c r="A192" s="5" t="str">
        <f t="shared" si="3"/>
        <v>NAME_MOVE_SPIKES</v>
      </c>
      <c r="B192" s="3" t="s">
        <v>14285</v>
      </c>
      <c r="C192" s="3" t="s">
        <v>14286</v>
      </c>
      <c r="D192" s="3" t="s">
        <v>14287</v>
      </c>
      <c r="E192" s="3" t="s">
        <v>14288</v>
      </c>
      <c r="F192" s="3" t="s">
        <v>14289</v>
      </c>
      <c r="G192" s="3" t="s">
        <v>14290</v>
      </c>
      <c r="H192" s="3" t="s">
        <v>14291</v>
      </c>
      <c r="I192" s="3" t="s">
        <v>14292</v>
      </c>
      <c r="J192" s="5" t="str">
        <f>I192</f>
        <v>撒菱</v>
      </c>
    </row>
    <row r="193">
      <c r="A193" s="5" t="str">
        <f t="shared" si="3"/>
        <v>NAME_MOVE_ZAPCANNON</v>
      </c>
      <c r="B193" s="3" t="s">
        <v>14293</v>
      </c>
      <c r="C193" s="3" t="s">
        <v>14294</v>
      </c>
      <c r="D193" s="3" t="s">
        <v>14295</v>
      </c>
      <c r="E193" s="3" t="s">
        <v>14296</v>
      </c>
      <c r="F193" s="3" t="s">
        <v>14297</v>
      </c>
      <c r="G193" s="3" t="s">
        <v>14298</v>
      </c>
      <c r="H193" s="3" t="s">
        <v>14299</v>
      </c>
      <c r="I193" s="3" t="s">
        <v>14300</v>
      </c>
      <c r="J193" s="5" t="str">
        <f>IFERROR(__xludf.DUMMYFUNCTION("GOOGLETRANSLATE(I193,""zh_HANT"",""zh_HANS"")"),"电磁炮")</f>
        <v>电磁炮</v>
      </c>
    </row>
    <row r="194">
      <c r="A194" s="5" t="str">
        <f t="shared" si="3"/>
        <v>NAME_MOVE_FORESIGHT</v>
      </c>
      <c r="B194" s="3" t="s">
        <v>14301</v>
      </c>
      <c r="C194" s="3" t="s">
        <v>14302</v>
      </c>
      <c r="D194" s="3" t="s">
        <v>14303</v>
      </c>
      <c r="E194" s="3" t="s">
        <v>14304</v>
      </c>
      <c r="F194" s="3" t="s">
        <v>14305</v>
      </c>
      <c r="G194" s="3" t="s">
        <v>14306</v>
      </c>
      <c r="H194" s="3" t="s">
        <v>14307</v>
      </c>
      <c r="I194" s="3" t="s">
        <v>14308</v>
      </c>
      <c r="J194" s="5" t="str">
        <f>IFERROR(__xludf.DUMMYFUNCTION("GOOGLETRANSLATE(I194,""zh_HANT"",""zh_HANS"")"),"识破")</f>
        <v>识破</v>
      </c>
    </row>
    <row r="195">
      <c r="A195" s="5" t="str">
        <f t="shared" si="3"/>
        <v>NAME_MOVE_DESTINYBOND</v>
      </c>
      <c r="B195" s="3" t="s">
        <v>14309</v>
      </c>
      <c r="C195" s="3" t="s">
        <v>14310</v>
      </c>
      <c r="D195" s="3" t="s">
        <v>14311</v>
      </c>
      <c r="E195" s="3" t="s">
        <v>14312</v>
      </c>
      <c r="F195" s="3" t="s">
        <v>14313</v>
      </c>
      <c r="G195" s="3" t="s">
        <v>14314</v>
      </c>
      <c r="H195" s="3" t="s">
        <v>14315</v>
      </c>
      <c r="I195" s="3" t="s">
        <v>14316</v>
      </c>
      <c r="J195" s="5" t="str">
        <f>I195</f>
        <v>同命</v>
      </c>
    </row>
    <row r="196">
      <c r="A196" s="5" t="str">
        <f t="shared" si="3"/>
        <v>NAME_MOVE_PERISHSONG</v>
      </c>
      <c r="B196" s="3" t="s">
        <v>14317</v>
      </c>
      <c r="C196" s="3" t="s">
        <v>14318</v>
      </c>
      <c r="D196" s="3" t="s">
        <v>9174</v>
      </c>
      <c r="E196" s="3" t="s">
        <v>14319</v>
      </c>
      <c r="F196" s="3" t="s">
        <v>14320</v>
      </c>
      <c r="G196" s="3" t="s">
        <v>14321</v>
      </c>
      <c r="H196" s="3" t="s">
        <v>14322</v>
      </c>
      <c r="I196" s="3" t="s">
        <v>14323</v>
      </c>
      <c r="J196" s="3" t="s">
        <v>14324</v>
      </c>
    </row>
    <row r="197">
      <c r="A197" s="5" t="str">
        <f t="shared" si="3"/>
        <v>NAME_MOVE_ICYWIND</v>
      </c>
      <c r="B197" s="3" t="s">
        <v>14325</v>
      </c>
      <c r="C197" s="3" t="s">
        <v>14326</v>
      </c>
      <c r="D197" s="3" t="s">
        <v>14327</v>
      </c>
      <c r="E197" s="3" t="s">
        <v>14328</v>
      </c>
      <c r="F197" s="3" t="s">
        <v>14329</v>
      </c>
      <c r="G197" s="3" t="s">
        <v>14330</v>
      </c>
      <c r="H197" s="3" t="s">
        <v>14331</v>
      </c>
      <c r="I197" s="3" t="s">
        <v>14332</v>
      </c>
      <c r="J197" s="5" t="str">
        <f>IFERROR(__xludf.DUMMYFUNCTION("GOOGLETRANSLATE(I197,""zh_HANT"",""zh_HANS"")"),"冰冻之风")</f>
        <v>冰冻之风</v>
      </c>
    </row>
    <row r="198">
      <c r="A198" s="5" t="str">
        <f t="shared" si="3"/>
        <v>NAME_MOVE_DETECT</v>
      </c>
      <c r="B198" s="3" t="s">
        <v>14333</v>
      </c>
      <c r="C198" s="3" t="s">
        <v>14334</v>
      </c>
      <c r="D198" s="3" t="s">
        <v>14335</v>
      </c>
      <c r="E198" s="3" t="s">
        <v>14336</v>
      </c>
      <c r="F198" s="3" t="s">
        <v>14337</v>
      </c>
      <c r="G198" s="3" t="s">
        <v>14338</v>
      </c>
      <c r="H198" s="3" t="s">
        <v>14339</v>
      </c>
      <c r="I198" s="3" t="s">
        <v>14340</v>
      </c>
      <c r="J198" s="5" t="str">
        <f>I198</f>
        <v>看穿</v>
      </c>
    </row>
    <row r="199">
      <c r="A199" s="5" t="str">
        <f t="shared" si="3"/>
        <v>NAME_MOVE_BONERUSH</v>
      </c>
      <c r="B199" s="3" t="s">
        <v>14341</v>
      </c>
      <c r="C199" s="3" t="s">
        <v>14342</v>
      </c>
      <c r="D199" s="3" t="s">
        <v>14343</v>
      </c>
      <c r="E199" s="3" t="s">
        <v>14344</v>
      </c>
      <c r="F199" s="3" t="s">
        <v>14345</v>
      </c>
      <c r="G199" s="3" t="s">
        <v>14346</v>
      </c>
      <c r="H199" s="7" t="s">
        <v>14347</v>
      </c>
      <c r="I199" s="7" t="s">
        <v>14348</v>
      </c>
      <c r="J199" s="5" t="str">
        <f>IFERROR(__xludf.DUMMYFUNCTION("GOOGLETRANSLATE(I199,""zh_HANT"",""zh_HANS"")"),"骨棒乱打")</f>
        <v>骨棒乱打</v>
      </c>
    </row>
    <row r="200">
      <c r="A200" s="5" t="str">
        <f t="shared" si="3"/>
        <v>NAME_MOVE_LOCKON</v>
      </c>
      <c r="B200" s="3" t="s">
        <v>14349</v>
      </c>
      <c r="C200" s="3" t="s">
        <v>14350</v>
      </c>
      <c r="D200" s="3" t="s">
        <v>14351</v>
      </c>
      <c r="E200" s="3" t="s">
        <v>14352</v>
      </c>
      <c r="F200" s="3" t="s">
        <v>14353</v>
      </c>
      <c r="G200" s="3" t="s">
        <v>14354</v>
      </c>
      <c r="H200" s="7" t="s">
        <v>14355</v>
      </c>
      <c r="I200" s="7" t="s">
        <v>14356</v>
      </c>
      <c r="J200" s="5" t="str">
        <f>IFERROR(__xludf.DUMMYFUNCTION("GOOGLETRANSLATE(I200,""zh_HANT"",""zh_HANS"")"),"锁定")</f>
        <v>锁定</v>
      </c>
    </row>
    <row r="201">
      <c r="A201" s="5" t="str">
        <f t="shared" si="3"/>
        <v>NAME_MOVE_OUTRAGE</v>
      </c>
      <c r="B201" s="3" t="s">
        <v>14357</v>
      </c>
      <c r="C201" s="3" t="s">
        <v>14358</v>
      </c>
      <c r="D201" s="3" t="s">
        <v>14359</v>
      </c>
      <c r="E201" s="3" t="s">
        <v>14360</v>
      </c>
      <c r="F201" s="3" t="s">
        <v>14361</v>
      </c>
      <c r="G201" s="3" t="s">
        <v>14362</v>
      </c>
      <c r="H201" s="7" t="s">
        <v>14363</v>
      </c>
      <c r="I201" s="7" t="s">
        <v>14364</v>
      </c>
      <c r="J201" s="5" t="str">
        <f>IFERROR(__xludf.DUMMYFUNCTION("GOOGLETRANSLATE(I201,""zh_HANT"",""zh_HANS"")"),"逆鳞")</f>
        <v>逆鳞</v>
      </c>
    </row>
    <row r="202">
      <c r="A202" s="5" t="str">
        <f t="shared" si="3"/>
        <v>NAME_MOVE_SANDSTORM</v>
      </c>
      <c r="B202" s="3" t="s">
        <v>14365</v>
      </c>
      <c r="C202" s="3" t="s">
        <v>14366</v>
      </c>
      <c r="D202" s="3" t="s">
        <v>14367</v>
      </c>
      <c r="E202" s="3" t="s">
        <v>14368</v>
      </c>
      <c r="F202" s="3" t="s">
        <v>14369</v>
      </c>
      <c r="G202" s="3" t="s">
        <v>14370</v>
      </c>
      <c r="H202" s="3" t="s">
        <v>14371</v>
      </c>
      <c r="I202" s="3" t="s">
        <v>14372</v>
      </c>
      <c r="J202" s="5" t="str">
        <f>I202</f>
        <v>沙暴</v>
      </c>
    </row>
    <row r="203">
      <c r="A203" s="5" t="str">
        <f t="shared" si="3"/>
        <v>NAME_MOVE_GIGADRAIN</v>
      </c>
      <c r="B203" s="3" t="s">
        <v>14373</v>
      </c>
      <c r="C203" s="3" t="s">
        <v>14374</v>
      </c>
      <c r="D203" s="3" t="s">
        <v>14375</v>
      </c>
      <c r="E203" s="3" t="s">
        <v>14376</v>
      </c>
      <c r="F203" s="3" t="s">
        <v>14377</v>
      </c>
      <c r="G203" s="3" t="s">
        <v>14378</v>
      </c>
      <c r="H203" s="3" t="s">
        <v>14379</v>
      </c>
      <c r="I203" s="3" t="s">
        <v>14380</v>
      </c>
      <c r="J203" s="5" t="str">
        <f>IFERROR(__xludf.DUMMYFUNCTION("GOOGLETRANSLATE(I203,""zh_HANT"",""zh_HANS"")"),"终极吸取")</f>
        <v>终极吸取</v>
      </c>
    </row>
    <row r="204">
      <c r="A204" s="5" t="str">
        <f t="shared" si="3"/>
        <v>NAME_MOVE_ENDURE</v>
      </c>
      <c r="B204" s="3" t="s">
        <v>14381</v>
      </c>
      <c r="C204" s="3" t="s">
        <v>14382</v>
      </c>
      <c r="D204" s="3" t="s">
        <v>14383</v>
      </c>
      <c r="E204" s="3" t="s">
        <v>14384</v>
      </c>
      <c r="F204" s="3" t="s">
        <v>14385</v>
      </c>
      <c r="G204" s="3" t="s">
        <v>9293</v>
      </c>
      <c r="H204" s="3" t="s">
        <v>14386</v>
      </c>
      <c r="I204" s="3" t="s">
        <v>14387</v>
      </c>
      <c r="J204" s="5" t="str">
        <f>I204</f>
        <v>挺住</v>
      </c>
    </row>
    <row r="205">
      <c r="A205" s="5" t="str">
        <f t="shared" si="3"/>
        <v>NAME_MOVE_CHARM</v>
      </c>
      <c r="B205" s="3" t="s">
        <v>14388</v>
      </c>
      <c r="C205" s="3" t="s">
        <v>14389</v>
      </c>
      <c r="D205" s="3" t="s">
        <v>14390</v>
      </c>
      <c r="E205" s="5" t="str">
        <f>D205</f>
        <v>Charme</v>
      </c>
      <c r="F205" s="3" t="s">
        <v>14391</v>
      </c>
      <c r="G205" s="3" t="s">
        <v>14392</v>
      </c>
      <c r="H205" s="3" t="s">
        <v>14393</v>
      </c>
      <c r="I205" s="3" t="s">
        <v>14394</v>
      </c>
      <c r="J205" s="5" t="str">
        <f>IFERROR(__xludf.DUMMYFUNCTION("GOOGLETRANSLATE(I205,""zh_HANT"",""zh_HANS"")"),"撒娇")</f>
        <v>撒娇</v>
      </c>
    </row>
    <row r="206">
      <c r="A206" s="5" t="str">
        <f t="shared" si="3"/>
        <v>NAME_MOVE_ROLLOUT</v>
      </c>
      <c r="B206" s="3" t="s">
        <v>14395</v>
      </c>
      <c r="C206" s="3" t="s">
        <v>14396</v>
      </c>
      <c r="D206" s="3" t="s">
        <v>14397</v>
      </c>
      <c r="E206" s="3" t="s">
        <v>14398</v>
      </c>
      <c r="F206" s="3" t="s">
        <v>14399</v>
      </c>
      <c r="G206" s="3" t="s">
        <v>14400</v>
      </c>
      <c r="H206" s="3" t="s">
        <v>14401</v>
      </c>
      <c r="I206" s="3" t="s">
        <v>14402</v>
      </c>
      <c r="J206" s="5" t="str">
        <f>IFERROR(__xludf.DUMMYFUNCTION("GOOGLETRANSLATE(I206,""zh_HANT"",""zh_HANS"")"),"滚动")</f>
        <v>滚动</v>
      </c>
    </row>
    <row r="207">
      <c r="A207" s="5" t="str">
        <f t="shared" si="3"/>
        <v>NAME_MOVE_FALSESWIPE</v>
      </c>
      <c r="B207" s="3" t="s">
        <v>14403</v>
      </c>
      <c r="C207" s="3" t="s">
        <v>14404</v>
      </c>
      <c r="D207" s="3" t="s">
        <v>14405</v>
      </c>
      <c r="E207" s="3" t="s">
        <v>14406</v>
      </c>
      <c r="F207" s="3" t="s">
        <v>14407</v>
      </c>
      <c r="G207" s="3" t="s">
        <v>14408</v>
      </c>
      <c r="H207" s="3" t="s">
        <v>14409</v>
      </c>
      <c r="I207" s="3" t="s">
        <v>14410</v>
      </c>
      <c r="J207" s="5" t="str">
        <f>IFERROR(__xludf.DUMMYFUNCTION("GOOGLETRANSLATE(I207,""zh_HANT"",""zh_HANS"")"),"点到为止")</f>
        <v>点到为止</v>
      </c>
    </row>
    <row r="208">
      <c r="A208" s="5" t="str">
        <f t="shared" si="3"/>
        <v>NAME_MOVE_SWAGGER</v>
      </c>
      <c r="B208" s="3" t="s">
        <v>14411</v>
      </c>
      <c r="C208" s="3" t="s">
        <v>14412</v>
      </c>
      <c r="D208" s="3" t="s">
        <v>14413</v>
      </c>
      <c r="E208" s="3" t="s">
        <v>14414</v>
      </c>
      <c r="F208" s="3" t="s">
        <v>14415</v>
      </c>
      <c r="G208" s="3" t="s">
        <v>14416</v>
      </c>
      <c r="H208" s="3" t="s">
        <v>14417</v>
      </c>
      <c r="I208" s="3" t="s">
        <v>14418</v>
      </c>
      <c r="J208" s="5" t="str">
        <f>IFERROR(__xludf.DUMMYFUNCTION("GOOGLETRANSLATE(I208,""zh_HANT"",""zh_HANS"")"),"虚张声势")</f>
        <v>虚张声势</v>
      </c>
    </row>
    <row r="209">
      <c r="A209" s="5" t="str">
        <f t="shared" si="3"/>
        <v>NAME_MOVE_MILKDRINK</v>
      </c>
      <c r="B209" s="3" t="s">
        <v>14419</v>
      </c>
      <c r="C209" s="3" t="s">
        <v>14420</v>
      </c>
      <c r="D209" s="3" t="s">
        <v>14421</v>
      </c>
      <c r="E209" s="3" t="s">
        <v>14422</v>
      </c>
      <c r="F209" s="3" t="s">
        <v>14423</v>
      </c>
      <c r="G209" s="3" t="s">
        <v>14424</v>
      </c>
      <c r="H209" s="3" t="s">
        <v>14425</v>
      </c>
      <c r="I209" s="3" t="s">
        <v>14426</v>
      </c>
      <c r="J209" s="5" t="str">
        <f>I209</f>
        <v>喝牛奶</v>
      </c>
    </row>
    <row r="210">
      <c r="A210" s="5" t="str">
        <f t="shared" si="3"/>
        <v>NAME_MOVE_SPARK</v>
      </c>
      <c r="B210" s="3" t="s">
        <v>14427</v>
      </c>
      <c r="C210" s="3" t="s">
        <v>14428</v>
      </c>
      <c r="D210" s="3" t="s">
        <v>14429</v>
      </c>
      <c r="E210" s="3" t="s">
        <v>14430</v>
      </c>
      <c r="F210" s="3" t="s">
        <v>14431</v>
      </c>
      <c r="G210" s="3" t="s">
        <v>14432</v>
      </c>
      <c r="H210" s="3" t="s">
        <v>14433</v>
      </c>
      <c r="I210" s="3" t="s">
        <v>14434</v>
      </c>
      <c r="J210" s="5" t="str">
        <f>IFERROR(__xludf.DUMMYFUNCTION("GOOGLETRANSLATE(I210,""zh_HANT"",""zh_HANS"")"),"电光")</f>
        <v>电光</v>
      </c>
    </row>
    <row r="211">
      <c r="A211" s="5" t="str">
        <f t="shared" si="3"/>
        <v>NAME_MOVE_FURYCUTTER</v>
      </c>
      <c r="B211" s="3" t="s">
        <v>14435</v>
      </c>
      <c r="C211" s="3" t="s">
        <v>14436</v>
      </c>
      <c r="D211" s="3" t="s">
        <v>14437</v>
      </c>
      <c r="E211" s="3" t="s">
        <v>14438</v>
      </c>
      <c r="F211" s="3" t="s">
        <v>14439</v>
      </c>
      <c r="G211" s="3" t="s">
        <v>14440</v>
      </c>
      <c r="H211" s="7" t="s">
        <v>14441</v>
      </c>
      <c r="I211" s="7" t="s">
        <v>14442</v>
      </c>
      <c r="J211" s="5" t="str">
        <f>IFERROR(__xludf.DUMMYFUNCTION("GOOGLETRANSLATE(I211,""zh_HANT"",""zh_HANS"")"),"连斩")</f>
        <v>连斩</v>
      </c>
    </row>
    <row r="212">
      <c r="A212" s="5" t="str">
        <f t="shared" si="3"/>
        <v>NAME_MOVE_STEELWING</v>
      </c>
      <c r="B212" s="3" t="s">
        <v>14443</v>
      </c>
      <c r="C212" s="3" t="s">
        <v>14444</v>
      </c>
      <c r="D212" s="3" t="s">
        <v>14445</v>
      </c>
      <c r="E212" s="3" t="s">
        <v>14446</v>
      </c>
      <c r="F212" s="3" t="s">
        <v>14447</v>
      </c>
      <c r="G212" s="3" t="s">
        <v>14448</v>
      </c>
      <c r="H212" s="7" t="s">
        <v>14449</v>
      </c>
      <c r="I212" s="7" t="s">
        <v>14450</v>
      </c>
      <c r="J212" s="5" t="str">
        <f>IFERROR(__xludf.DUMMYFUNCTION("GOOGLETRANSLATE(I212,""zh_HANT"",""zh_HANS"")"),"钢翼")</f>
        <v>钢翼</v>
      </c>
    </row>
    <row r="213">
      <c r="A213" s="5" t="str">
        <f t="shared" si="3"/>
        <v>NAME_MOVE_MEANLOOK</v>
      </c>
      <c r="B213" s="3" t="s">
        <v>14451</v>
      </c>
      <c r="C213" s="3" t="s">
        <v>14452</v>
      </c>
      <c r="D213" s="3" t="s">
        <v>14453</v>
      </c>
      <c r="E213" s="3" t="s">
        <v>14454</v>
      </c>
      <c r="F213" s="3" t="s">
        <v>14455</v>
      </c>
      <c r="G213" s="3" t="s">
        <v>14456</v>
      </c>
      <c r="H213" s="3" t="s">
        <v>14457</v>
      </c>
      <c r="I213" s="3" t="s">
        <v>14458</v>
      </c>
      <c r="J213" s="5" t="str">
        <f t="shared" ref="J213:J214" si="18">I213</f>
        <v>黑色目光</v>
      </c>
    </row>
    <row r="214">
      <c r="A214" s="5" t="str">
        <f t="shared" si="3"/>
        <v>NAME_MOVE_ATTRACT</v>
      </c>
      <c r="B214" s="3" t="s">
        <v>14459</v>
      </c>
      <c r="C214" s="9" t="s">
        <v>14460</v>
      </c>
      <c r="D214" s="3" t="s">
        <v>14461</v>
      </c>
      <c r="E214" s="3" t="s">
        <v>14462</v>
      </c>
      <c r="F214" s="3" t="s">
        <v>14463</v>
      </c>
      <c r="G214" s="3" t="s">
        <v>14464</v>
      </c>
      <c r="H214" s="3" t="s">
        <v>14465</v>
      </c>
      <c r="I214" s="3" t="s">
        <v>14466</v>
      </c>
      <c r="J214" s="5" t="str">
        <f t="shared" si="18"/>
        <v>迷人</v>
      </c>
    </row>
    <row r="215">
      <c r="A215" s="5" t="str">
        <f t="shared" si="3"/>
        <v>NAME_MOVE_SLEEPTALK</v>
      </c>
      <c r="B215" s="3" t="s">
        <v>14467</v>
      </c>
      <c r="C215" s="3" t="s">
        <v>14468</v>
      </c>
      <c r="D215" s="3" t="s">
        <v>14469</v>
      </c>
      <c r="E215" s="3" t="s">
        <v>14470</v>
      </c>
      <c r="F215" s="3" t="s">
        <v>14471</v>
      </c>
      <c r="G215" s="3" t="s">
        <v>14472</v>
      </c>
      <c r="H215" s="3" t="s">
        <v>14473</v>
      </c>
      <c r="I215" s="3" t="s">
        <v>14474</v>
      </c>
      <c r="J215" s="5" t="str">
        <f>IFERROR(__xludf.DUMMYFUNCTION("GOOGLETRANSLATE(I215,""zh_HANT"",""zh_HANS"")"),"梦话")</f>
        <v>梦话</v>
      </c>
    </row>
    <row r="216">
      <c r="A216" s="5" t="str">
        <f t="shared" si="3"/>
        <v>NAME_MOVE_HEALBELL</v>
      </c>
      <c r="B216" s="3" t="s">
        <v>14475</v>
      </c>
      <c r="C216" s="3" t="s">
        <v>14476</v>
      </c>
      <c r="D216" s="3" t="s">
        <v>14477</v>
      </c>
      <c r="E216" s="3" t="s">
        <v>14478</v>
      </c>
      <c r="F216" s="3" t="s">
        <v>14479</v>
      </c>
      <c r="G216" s="3" t="s">
        <v>14480</v>
      </c>
      <c r="H216" s="3" t="s">
        <v>14481</v>
      </c>
      <c r="I216" s="3" t="s">
        <v>14482</v>
      </c>
      <c r="J216" s="5" t="str">
        <f>IFERROR(__xludf.DUMMYFUNCTION("GOOGLETRANSLATE(I216,""zh_HANT"",""zh_HANS"")"),"治愈铃声")</f>
        <v>治愈铃声</v>
      </c>
    </row>
    <row r="217">
      <c r="A217" s="5" t="str">
        <f t="shared" si="3"/>
        <v>NAME_MOVE_RETURN</v>
      </c>
      <c r="B217" s="3" t="s">
        <v>14483</v>
      </c>
      <c r="C217" s="3" t="s">
        <v>14484</v>
      </c>
      <c r="D217" s="3" t="s">
        <v>14485</v>
      </c>
      <c r="E217" s="3" t="s">
        <v>14486</v>
      </c>
      <c r="F217" s="3" t="s">
        <v>14487</v>
      </c>
      <c r="G217" s="3" t="s">
        <v>14488</v>
      </c>
      <c r="H217" s="3" t="s">
        <v>14489</v>
      </c>
      <c r="I217" s="3" t="s">
        <v>14490</v>
      </c>
      <c r="J217" s="5" t="str">
        <f>IFERROR(__xludf.DUMMYFUNCTION("GOOGLETRANSLATE(I217,""zh_HANT"",""zh_HANS"")"),"报恩")</f>
        <v>报恩</v>
      </c>
    </row>
    <row r="218">
      <c r="A218" s="5" t="str">
        <f t="shared" si="3"/>
        <v>NAME_MOVE_PRESENT</v>
      </c>
      <c r="B218" s="3" t="s">
        <v>14491</v>
      </c>
      <c r="C218" s="3" t="s">
        <v>14492</v>
      </c>
      <c r="D218" s="3" t="s">
        <v>14493</v>
      </c>
      <c r="E218" s="3" t="s">
        <v>14494</v>
      </c>
      <c r="F218" s="3" t="s">
        <v>14495</v>
      </c>
      <c r="G218" s="3" t="s">
        <v>14496</v>
      </c>
      <c r="H218" s="3" t="s">
        <v>14497</v>
      </c>
      <c r="I218" s="3" t="s">
        <v>14498</v>
      </c>
      <c r="J218" s="5" t="str">
        <f>IFERROR(__xludf.DUMMYFUNCTION("GOOGLETRANSLATE(I218,""zh_HANT"",""zh_HANS"")"),"礼物")</f>
        <v>礼物</v>
      </c>
    </row>
    <row r="219">
      <c r="A219" s="5" t="str">
        <f t="shared" si="3"/>
        <v>NAME_MOVE_FRUSTRATION</v>
      </c>
      <c r="B219" s="3" t="s">
        <v>14499</v>
      </c>
      <c r="C219" s="3" t="s">
        <v>14500</v>
      </c>
      <c r="D219" s="5" t="str">
        <f>B219</f>
        <v>Frustration</v>
      </c>
      <c r="E219" s="5" t="str">
        <f>B219</f>
        <v>Frustration</v>
      </c>
      <c r="F219" s="3" t="s">
        <v>14501</v>
      </c>
      <c r="G219" s="3" t="s">
        <v>14502</v>
      </c>
      <c r="H219" s="3" t="s">
        <v>14503</v>
      </c>
      <c r="I219" s="3" t="s">
        <v>14504</v>
      </c>
      <c r="J219" s="5" t="str">
        <f>IFERROR(__xludf.DUMMYFUNCTION("GOOGLETRANSLATE(I219,""zh_HANT"",""zh_HANS"")"),"迁怒")</f>
        <v>迁怒</v>
      </c>
    </row>
    <row r="220">
      <c r="A220" s="5" t="str">
        <f t="shared" si="3"/>
        <v>NAME_MOVE_SAFEGUARD</v>
      </c>
      <c r="B220" s="3" t="s">
        <v>14505</v>
      </c>
      <c r="C220" s="3" t="s">
        <v>14506</v>
      </c>
      <c r="D220" s="3" t="s">
        <v>14507</v>
      </c>
      <c r="E220" s="3" t="s">
        <v>14508</v>
      </c>
      <c r="F220" s="3" t="s">
        <v>14509</v>
      </c>
      <c r="G220" s="3" t="s">
        <v>14510</v>
      </c>
      <c r="H220" s="3" t="s">
        <v>14511</v>
      </c>
      <c r="I220" s="3" t="s">
        <v>14512</v>
      </c>
      <c r="J220" s="5" t="str">
        <f>IFERROR(__xludf.DUMMYFUNCTION("GOOGLETRANSLATE(I220,""zh_HANT"",""zh_HANS"")"),"神秘守护")</f>
        <v>神秘守护</v>
      </c>
    </row>
    <row r="221">
      <c r="A221" s="5" t="str">
        <f t="shared" si="3"/>
        <v>NAME_MOVE_PAINSPLIT</v>
      </c>
      <c r="B221" s="3" t="s">
        <v>14513</v>
      </c>
      <c r="C221" s="3" t="s">
        <v>14514</v>
      </c>
      <c r="D221" s="3" t="s">
        <v>14515</v>
      </c>
      <c r="E221" s="3" t="s">
        <v>14516</v>
      </c>
      <c r="F221" s="3" t="s">
        <v>14517</v>
      </c>
      <c r="G221" s="3" t="s">
        <v>14518</v>
      </c>
      <c r="H221" s="3" t="s">
        <v>14519</v>
      </c>
      <c r="I221" s="3" t="s">
        <v>14520</v>
      </c>
      <c r="J221" s="5" t="str">
        <f>IFERROR(__xludf.DUMMYFUNCTION("GOOGLETRANSLATE(I221,""zh_HANT"",""zh_HANS"")"),"分担痛楚")</f>
        <v>分担痛楚</v>
      </c>
    </row>
    <row r="222">
      <c r="A222" s="5" t="str">
        <f t="shared" si="3"/>
        <v>NAME_MOVE_SACREDFIRE</v>
      </c>
      <c r="B222" s="3" t="s">
        <v>14521</v>
      </c>
      <c r="C222" s="3" t="s">
        <v>14522</v>
      </c>
      <c r="D222" s="3" t="s">
        <v>14523</v>
      </c>
      <c r="E222" s="3" t="s">
        <v>14524</v>
      </c>
      <c r="F222" s="3" t="s">
        <v>14525</v>
      </c>
      <c r="G222" s="3" t="s">
        <v>14526</v>
      </c>
      <c r="H222" s="3" t="s">
        <v>14527</v>
      </c>
      <c r="I222" s="3" t="s">
        <v>14528</v>
      </c>
      <c r="J222" s="5" t="str">
        <f>IFERROR(__xludf.DUMMYFUNCTION("GOOGLETRANSLATE(I222,""zh_HANT"",""zh_HANS"")"),"神圣之火")</f>
        <v>神圣之火</v>
      </c>
    </row>
    <row r="223">
      <c r="A223" s="5" t="str">
        <f t="shared" si="3"/>
        <v>NAME_MOVE_MAGNITUDE</v>
      </c>
      <c r="B223" s="3" t="s">
        <v>14529</v>
      </c>
      <c r="C223" s="3" t="s">
        <v>14530</v>
      </c>
      <c r="D223" s="3" t="s">
        <v>14531</v>
      </c>
      <c r="E223" s="3" t="s">
        <v>14532</v>
      </c>
      <c r="F223" s="3" t="s">
        <v>14533</v>
      </c>
      <c r="G223" s="5" t="str">
        <f>CONCATENATE(F223,"o")</f>
        <v>Magnitudo</v>
      </c>
      <c r="H223" s="3" t="s">
        <v>14534</v>
      </c>
      <c r="I223" s="3" t="s">
        <v>14535</v>
      </c>
      <c r="J223" s="5" t="str">
        <f>IFERROR(__xludf.DUMMYFUNCTION("GOOGLETRANSLATE(I223,""zh_HANT"",""zh_HANS"")"),"震级")</f>
        <v>震级</v>
      </c>
    </row>
    <row r="224">
      <c r="A224" s="5" t="str">
        <f t="shared" si="3"/>
        <v>NAME_MOVE_DYNAMICPUNCH</v>
      </c>
      <c r="B224" s="3" t="s">
        <v>14536</v>
      </c>
      <c r="C224" s="3" t="s">
        <v>14537</v>
      </c>
      <c r="D224" s="3" t="s">
        <v>14538</v>
      </c>
      <c r="E224" s="3" t="s">
        <v>14539</v>
      </c>
      <c r="F224" s="3" t="s">
        <v>14540</v>
      </c>
      <c r="G224" s="3" t="s">
        <v>14541</v>
      </c>
      <c r="H224" s="3" t="s">
        <v>14542</v>
      </c>
      <c r="I224" s="3" t="s">
        <v>14543</v>
      </c>
      <c r="J224" s="5" t="str">
        <f>I224</f>
        <v>爆裂拳</v>
      </c>
    </row>
    <row r="225">
      <c r="A225" s="5" t="str">
        <f t="shared" si="3"/>
        <v>NAME_MOVE_MEGAHORN</v>
      </c>
      <c r="B225" s="3" t="s">
        <v>14544</v>
      </c>
      <c r="C225" s="3" t="s">
        <v>14545</v>
      </c>
      <c r="D225" s="3" t="s">
        <v>14546</v>
      </c>
      <c r="E225" s="3" t="s">
        <v>8486</v>
      </c>
      <c r="F225" s="3" t="s">
        <v>14547</v>
      </c>
      <c r="G225" s="3" t="s">
        <v>14548</v>
      </c>
      <c r="H225" s="3" t="s">
        <v>14549</v>
      </c>
      <c r="I225" s="3" t="s">
        <v>14550</v>
      </c>
      <c r="J225" s="5" t="str">
        <f>IFERROR(__xludf.DUMMYFUNCTION("GOOGLETRANSLATE(I225,""zh_HANT"",""zh_HANS"")"),"超级角击")</f>
        <v>超级角击</v>
      </c>
    </row>
    <row r="226">
      <c r="A226" s="5" t="str">
        <f t="shared" si="3"/>
        <v>NAME_MOVE_DRAGONBREATH</v>
      </c>
      <c r="B226" s="3" t="s">
        <v>14551</v>
      </c>
      <c r="C226" s="3" t="s">
        <v>14552</v>
      </c>
      <c r="D226" s="3" t="s">
        <v>14553</v>
      </c>
      <c r="E226" s="3" t="s">
        <v>14554</v>
      </c>
      <c r="F226" s="3" t="s">
        <v>14555</v>
      </c>
      <c r="G226" s="3" t="s">
        <v>14556</v>
      </c>
      <c r="H226" s="3" t="s">
        <v>14557</v>
      </c>
      <c r="I226" s="3" t="s">
        <v>14558</v>
      </c>
      <c r="J226" s="5" t="str">
        <f>IFERROR(__xludf.DUMMYFUNCTION("GOOGLETRANSLATE(I226,""zh_HANT"",""zh_HANS"")"),"龙息")</f>
        <v>龙息</v>
      </c>
    </row>
    <row r="227">
      <c r="A227" s="5" t="str">
        <f t="shared" si="3"/>
        <v>NAME_MOVE_BATONPASS</v>
      </c>
      <c r="B227" s="3" t="s">
        <v>14559</v>
      </c>
      <c r="C227" s="3" t="s">
        <v>14560</v>
      </c>
      <c r="D227" s="3" t="s">
        <v>14561</v>
      </c>
      <c r="E227" s="3" t="s">
        <v>14562</v>
      </c>
      <c r="F227" s="3" t="s">
        <v>14563</v>
      </c>
      <c r="G227" s="3" t="s">
        <v>14564</v>
      </c>
      <c r="H227" s="3" t="s">
        <v>14565</v>
      </c>
      <c r="I227" s="3" t="s">
        <v>14566</v>
      </c>
      <c r="J227" s="5" t="str">
        <f>I227</f>
        <v>接棒</v>
      </c>
    </row>
    <row r="228">
      <c r="A228" s="5" t="str">
        <f t="shared" si="3"/>
        <v>NAME_MOVE_ENCORE</v>
      </c>
      <c r="B228" s="3" t="s">
        <v>14567</v>
      </c>
      <c r="C228" s="3" t="s">
        <v>14568</v>
      </c>
      <c r="D228" s="5" t="str">
        <f>B228</f>
        <v>Encore</v>
      </c>
      <c r="E228" s="3" t="s">
        <v>14569</v>
      </c>
      <c r="F228" s="3" t="s">
        <v>14570</v>
      </c>
      <c r="G228" s="3" t="s">
        <v>14571</v>
      </c>
      <c r="H228" s="3" t="s">
        <v>14572</v>
      </c>
      <c r="I228" s="3" t="s">
        <v>14573</v>
      </c>
      <c r="J228" s="5" t="str">
        <f>IFERROR(__xludf.DUMMYFUNCTION("GOOGLETRANSLATE(I228,""zh_HANT"",""zh_HANS"")"),"再来一次")</f>
        <v>再来一次</v>
      </c>
    </row>
    <row r="229">
      <c r="A229" s="5" t="str">
        <f t="shared" si="3"/>
        <v>NAME_MOVE_PURSUIT</v>
      </c>
      <c r="B229" s="3" t="s">
        <v>14574</v>
      </c>
      <c r="C229" s="3" t="s">
        <v>14575</v>
      </c>
      <c r="D229" s="3" t="s">
        <v>14576</v>
      </c>
      <c r="E229" s="3" t="s">
        <v>14577</v>
      </c>
      <c r="F229" s="3" t="s">
        <v>14578</v>
      </c>
      <c r="G229" s="3" t="s">
        <v>14579</v>
      </c>
      <c r="H229" s="3" t="s">
        <v>14580</v>
      </c>
      <c r="I229" s="3" t="s">
        <v>14581</v>
      </c>
      <c r="J229" s="5" t="str">
        <f>I229</f>
        <v>追打</v>
      </c>
    </row>
    <row r="230">
      <c r="A230" s="5" t="str">
        <f t="shared" si="3"/>
        <v>NAME_MOVE_RAPIDSPIN</v>
      </c>
      <c r="B230" s="3" t="s">
        <v>14582</v>
      </c>
      <c r="C230" s="3" t="s">
        <v>14583</v>
      </c>
      <c r="D230" s="3" t="s">
        <v>14584</v>
      </c>
      <c r="E230" s="3" t="s">
        <v>14585</v>
      </c>
      <c r="F230" s="3" t="s">
        <v>14586</v>
      </c>
      <c r="G230" s="3" t="s">
        <v>14587</v>
      </c>
      <c r="H230" s="3" t="s">
        <v>14588</v>
      </c>
      <c r="I230" s="3" t="s">
        <v>14589</v>
      </c>
      <c r="J230" s="5" t="str">
        <f>IFERROR(__xludf.DUMMYFUNCTION("GOOGLETRANSLATE(I230,""zh_HANT"",""zh_HANS"")"),"高速旋转")</f>
        <v>高速旋转</v>
      </c>
    </row>
    <row r="231">
      <c r="A231" s="5" t="str">
        <f t="shared" si="3"/>
        <v>NAME_MOVE_SWEETSCENT</v>
      </c>
      <c r="B231" s="3" t="s">
        <v>14590</v>
      </c>
      <c r="C231" s="3" t="s">
        <v>14591</v>
      </c>
      <c r="D231" s="3" t="s">
        <v>14592</v>
      </c>
      <c r="E231" s="3" t="s">
        <v>14593</v>
      </c>
      <c r="F231" s="3" t="s">
        <v>14594</v>
      </c>
      <c r="G231" s="3" t="s">
        <v>14595</v>
      </c>
      <c r="H231" s="3" t="s">
        <v>14596</v>
      </c>
      <c r="I231" s="3" t="s">
        <v>14597</v>
      </c>
      <c r="J231" s="5" t="str">
        <f>IFERROR(__xludf.DUMMYFUNCTION("GOOGLETRANSLATE(I231,""zh_HANT"",""zh_HANS"")"),"甜甜香气")</f>
        <v>甜甜香气</v>
      </c>
    </row>
    <row r="232">
      <c r="A232" s="5" t="str">
        <f t="shared" si="3"/>
        <v>NAME_MOVE_IRONTAIL</v>
      </c>
      <c r="B232" s="3" t="s">
        <v>14598</v>
      </c>
      <c r="C232" s="3" t="s">
        <v>14599</v>
      </c>
      <c r="D232" s="3" t="s">
        <v>14600</v>
      </c>
      <c r="E232" s="3" t="s">
        <v>14601</v>
      </c>
      <c r="F232" s="3" t="s">
        <v>14602</v>
      </c>
      <c r="G232" s="3" t="s">
        <v>14603</v>
      </c>
      <c r="H232" s="3" t="s">
        <v>14604</v>
      </c>
      <c r="I232" s="3" t="s">
        <v>14605</v>
      </c>
      <c r="J232" s="5" t="str">
        <f>IFERROR(__xludf.DUMMYFUNCTION("GOOGLETRANSLATE(I232,""zh_HANT"",""zh_HANS"")"),"铁尾")</f>
        <v>铁尾</v>
      </c>
    </row>
    <row r="233">
      <c r="A233" s="5" t="str">
        <f t="shared" si="3"/>
        <v>NAME_MOVE_METALCLAW</v>
      </c>
      <c r="B233" s="3" t="s">
        <v>14606</v>
      </c>
      <c r="C233" s="3" t="s">
        <v>14607</v>
      </c>
      <c r="D233" s="3" t="s">
        <v>14608</v>
      </c>
      <c r="E233" s="3" t="s">
        <v>14609</v>
      </c>
      <c r="F233" s="3" t="s">
        <v>14610</v>
      </c>
      <c r="G233" s="3" t="s">
        <v>14611</v>
      </c>
      <c r="H233" s="3" t="s">
        <v>14612</v>
      </c>
      <c r="I233" s="3" t="s">
        <v>14613</v>
      </c>
      <c r="J233" s="5" t="str">
        <f>IFERROR(__xludf.DUMMYFUNCTION("GOOGLETRANSLATE(I233,""zh_HANT"",""zh_HANS"")"),"金属爪")</f>
        <v>金属爪</v>
      </c>
    </row>
    <row r="234">
      <c r="A234" s="5" t="str">
        <f t="shared" si="3"/>
        <v>NAME_MOVE_VITALTHROW</v>
      </c>
      <c r="B234" s="3" t="s">
        <v>14614</v>
      </c>
      <c r="C234" s="3" t="s">
        <v>14615</v>
      </c>
      <c r="D234" s="3" t="s">
        <v>14616</v>
      </c>
      <c r="E234" s="3" t="s">
        <v>14617</v>
      </c>
      <c r="F234" s="3" t="s">
        <v>14618</v>
      </c>
      <c r="G234" s="3" t="s">
        <v>14619</v>
      </c>
      <c r="H234" s="3" t="s">
        <v>14620</v>
      </c>
      <c r="I234" s="3" t="s">
        <v>14621</v>
      </c>
      <c r="J234" s="5" t="str">
        <f t="shared" ref="J234:J237" si="19">I234</f>
        <v>借力摔</v>
      </c>
    </row>
    <row r="235">
      <c r="A235" s="5" t="str">
        <f t="shared" si="3"/>
        <v>NAME_MOVE_MORNINGSUN</v>
      </c>
      <c r="B235" s="3" t="s">
        <v>14622</v>
      </c>
      <c r="C235" s="3" t="s">
        <v>14623</v>
      </c>
      <c r="D235" s="3" t="s">
        <v>8547</v>
      </c>
      <c r="E235" s="3" t="s">
        <v>14624</v>
      </c>
      <c r="F235" s="3" t="s">
        <v>14625</v>
      </c>
      <c r="G235" s="3" t="s">
        <v>14626</v>
      </c>
      <c r="H235" s="3" t="s">
        <v>14627</v>
      </c>
      <c r="I235" s="3" t="s">
        <v>14628</v>
      </c>
      <c r="J235" s="5" t="str">
        <f t="shared" si="19"/>
        <v>晨光</v>
      </c>
    </row>
    <row r="236">
      <c r="A236" s="5" t="str">
        <f t="shared" si="3"/>
        <v>NAME_MOVE_SYNTHESIS</v>
      </c>
      <c r="B236" s="3" t="s">
        <v>14629</v>
      </c>
      <c r="C236" s="3" t="s">
        <v>14630</v>
      </c>
      <c r="D236" s="3" t="s">
        <v>14631</v>
      </c>
      <c r="E236" s="3" t="s">
        <v>14632</v>
      </c>
      <c r="F236" s="3" t="s">
        <v>14633</v>
      </c>
      <c r="G236" s="3" t="s">
        <v>14634</v>
      </c>
      <c r="H236" s="3" t="s">
        <v>14635</v>
      </c>
      <c r="I236" s="3" t="s">
        <v>14636</v>
      </c>
      <c r="J236" s="5" t="str">
        <f t="shared" si="19"/>
        <v>光合作用</v>
      </c>
    </row>
    <row r="237">
      <c r="A237" s="5" t="str">
        <f t="shared" si="3"/>
        <v>NAME_MOVE_MOONLIGHT</v>
      </c>
      <c r="B237" s="3" t="s">
        <v>8277</v>
      </c>
      <c r="C237" s="3" t="s">
        <v>14637</v>
      </c>
      <c r="D237" s="3" t="s">
        <v>14638</v>
      </c>
      <c r="E237" s="3" t="s">
        <v>8280</v>
      </c>
      <c r="F237" s="3" t="s">
        <v>8281</v>
      </c>
      <c r="G237" s="3" t="s">
        <v>8282</v>
      </c>
      <c r="H237" s="3" t="s">
        <v>14639</v>
      </c>
      <c r="I237" s="3" t="s">
        <v>8284</v>
      </c>
      <c r="J237" s="5" t="str">
        <f t="shared" si="19"/>
        <v>月光</v>
      </c>
    </row>
    <row r="238">
      <c r="A238" s="5" t="str">
        <f t="shared" si="3"/>
        <v>NAME_MOVE_HIDDENPOWER</v>
      </c>
      <c r="B238" s="3" t="s">
        <v>14640</v>
      </c>
      <c r="C238" s="3" t="s">
        <v>14641</v>
      </c>
      <c r="D238" s="3" t="s">
        <v>14642</v>
      </c>
      <c r="E238" s="3" t="s">
        <v>14643</v>
      </c>
      <c r="F238" s="3" t="s">
        <v>14644</v>
      </c>
      <c r="G238" s="3" t="s">
        <v>14645</v>
      </c>
      <c r="H238" s="3" t="s">
        <v>14646</v>
      </c>
      <c r="I238" s="3" t="s">
        <v>14647</v>
      </c>
      <c r="J238" s="5" t="str">
        <f>IFERROR(__xludf.DUMMYFUNCTION("GOOGLETRANSLATE(I238,""zh_HANT"",""zh_HANS"")"),"觉醒力量")</f>
        <v>觉醒力量</v>
      </c>
    </row>
    <row r="239">
      <c r="A239" s="5" t="str">
        <f t="shared" si="3"/>
        <v>NAME_MOVE_CROSSCHOP</v>
      </c>
      <c r="B239" s="3" t="s">
        <v>14648</v>
      </c>
      <c r="C239" s="3" t="s">
        <v>14649</v>
      </c>
      <c r="D239" s="3" t="s">
        <v>14650</v>
      </c>
      <c r="E239" s="3" t="s">
        <v>14651</v>
      </c>
      <c r="F239" s="3" t="s">
        <v>14652</v>
      </c>
      <c r="G239" s="3" t="s">
        <v>14653</v>
      </c>
      <c r="H239" s="3" t="s">
        <v>14654</v>
      </c>
      <c r="I239" s="3" t="s">
        <v>14655</v>
      </c>
      <c r="J239" s="5" t="str">
        <f>I239</f>
        <v>十字劈</v>
      </c>
    </row>
    <row r="240">
      <c r="A240" s="5" t="str">
        <f t="shared" si="3"/>
        <v>NAME_MOVE_TWISTER</v>
      </c>
      <c r="B240" s="3" t="s">
        <v>14656</v>
      </c>
      <c r="C240" s="3" t="s">
        <v>14657</v>
      </c>
      <c r="D240" s="3" t="s">
        <v>14658</v>
      </c>
      <c r="E240" s="3" t="s">
        <v>14659</v>
      </c>
      <c r="F240" s="3" t="s">
        <v>14660</v>
      </c>
      <c r="G240" s="3" t="s">
        <v>12977</v>
      </c>
      <c r="H240" s="3" t="s">
        <v>14661</v>
      </c>
      <c r="I240" s="3" t="s">
        <v>14662</v>
      </c>
      <c r="J240" s="5" t="str">
        <f>IFERROR(__xludf.DUMMYFUNCTION("GOOGLETRANSLATE(I240,""zh_HANT"",""zh_HANS"")"),"龙卷风")</f>
        <v>龙卷风</v>
      </c>
    </row>
    <row r="241">
      <c r="A241" s="5" t="str">
        <f t="shared" si="3"/>
        <v>NAME_MOVE_RAINDANCE</v>
      </c>
      <c r="B241" s="3" t="s">
        <v>14663</v>
      </c>
      <c r="C241" s="3" t="s">
        <v>14664</v>
      </c>
      <c r="D241" s="3" t="s">
        <v>14665</v>
      </c>
      <c r="E241" s="3" t="s">
        <v>14666</v>
      </c>
      <c r="F241" s="3" t="s">
        <v>14667</v>
      </c>
      <c r="G241" s="3" t="s">
        <v>14668</v>
      </c>
      <c r="H241" s="3" t="s">
        <v>14669</v>
      </c>
      <c r="I241" s="3" t="s">
        <v>14670</v>
      </c>
      <c r="J241" s="5" t="str">
        <f t="shared" ref="J241:J243" si="20">I241</f>
        <v>求雨</v>
      </c>
    </row>
    <row r="242">
      <c r="A242" s="5" t="str">
        <f t="shared" si="3"/>
        <v>NAME_MOVE_SUNNYDAY</v>
      </c>
      <c r="B242" s="3" t="s">
        <v>14671</v>
      </c>
      <c r="C242" s="3" t="s">
        <v>14672</v>
      </c>
      <c r="D242" s="3" t="s">
        <v>14673</v>
      </c>
      <c r="E242" s="3" t="s">
        <v>14674</v>
      </c>
      <c r="F242" s="3" t="s">
        <v>14675</v>
      </c>
      <c r="G242" s="3" t="s">
        <v>14676</v>
      </c>
      <c r="H242" s="3" t="s">
        <v>14677</v>
      </c>
      <c r="I242" s="3" t="s">
        <v>14678</v>
      </c>
      <c r="J242" s="5" t="str">
        <f t="shared" si="20"/>
        <v>大晴天</v>
      </c>
    </row>
    <row r="243">
      <c r="A243" s="5" t="str">
        <f t="shared" si="3"/>
        <v>NAME_MOVE_CRUNCH</v>
      </c>
      <c r="B243" s="3" t="s">
        <v>14679</v>
      </c>
      <c r="C243" s="3" t="s">
        <v>14680</v>
      </c>
      <c r="D243" s="3" t="s">
        <v>14681</v>
      </c>
      <c r="E243" s="3" t="s">
        <v>14682</v>
      </c>
      <c r="F243" s="3" t="s">
        <v>14683</v>
      </c>
      <c r="G243" s="3" t="s">
        <v>14684</v>
      </c>
      <c r="H243" s="3" t="s">
        <v>14685</v>
      </c>
      <c r="I243" s="3" t="s">
        <v>14686</v>
      </c>
      <c r="J243" s="5" t="str">
        <f t="shared" si="20"/>
        <v>咬碎</v>
      </c>
    </row>
    <row r="244">
      <c r="A244" s="5" t="str">
        <f t="shared" si="3"/>
        <v>NAME_MOVE_MIRRORCOAT</v>
      </c>
      <c r="B244" s="3" t="s">
        <v>14687</v>
      </c>
      <c r="C244" s="3" t="s">
        <v>14688</v>
      </c>
      <c r="D244" s="3" t="s">
        <v>14689</v>
      </c>
      <c r="E244" s="3" t="s">
        <v>14690</v>
      </c>
      <c r="F244" s="3" t="s">
        <v>14691</v>
      </c>
      <c r="G244" s="3" t="s">
        <v>14692</v>
      </c>
      <c r="H244" s="3" t="s">
        <v>14693</v>
      </c>
      <c r="I244" s="3" t="s">
        <v>14694</v>
      </c>
      <c r="J244" s="5" t="str">
        <f>IFERROR(__xludf.DUMMYFUNCTION("GOOGLETRANSLATE(I244,""zh_HANT"",""zh_HANS"")"),"镜面反射")</f>
        <v>镜面反射</v>
      </c>
    </row>
    <row r="245">
      <c r="A245" s="5" t="str">
        <f t="shared" si="3"/>
        <v>NAME_MOVE_PSYCHUP</v>
      </c>
      <c r="B245" s="3" t="s">
        <v>14695</v>
      </c>
      <c r="C245" s="3" t="s">
        <v>14696</v>
      </c>
      <c r="D245" s="3" t="s">
        <v>14697</v>
      </c>
      <c r="E245" s="3" t="s">
        <v>14698</v>
      </c>
      <c r="F245" s="3" t="s">
        <v>14699</v>
      </c>
      <c r="G245" s="3" t="s">
        <v>14700</v>
      </c>
      <c r="H245" s="3" t="s">
        <v>14701</v>
      </c>
      <c r="I245" s="3" t="s">
        <v>14702</v>
      </c>
      <c r="J245" s="5" t="str">
        <f t="shared" ref="J245:J248" si="21">I245</f>
        <v>自我暗示</v>
      </c>
    </row>
    <row r="246">
      <c r="A246" s="5" t="str">
        <f t="shared" si="3"/>
        <v>NAME_MOVE_EXTREMESPEED</v>
      </c>
      <c r="B246" s="3" t="s">
        <v>14703</v>
      </c>
      <c r="C246" s="3" t="s">
        <v>14704</v>
      </c>
      <c r="D246" s="3" t="s">
        <v>14705</v>
      </c>
      <c r="E246" s="3" t="s">
        <v>14706</v>
      </c>
      <c r="F246" s="3" t="s">
        <v>14707</v>
      </c>
      <c r="G246" s="3" t="s">
        <v>14708</v>
      </c>
      <c r="H246" s="3" t="s">
        <v>14709</v>
      </c>
      <c r="I246" s="3" t="s">
        <v>14710</v>
      </c>
      <c r="J246" s="5" t="str">
        <f t="shared" si="21"/>
        <v>神速</v>
      </c>
    </row>
    <row r="247">
      <c r="A247" s="5" t="str">
        <f t="shared" si="3"/>
        <v>NAME_MOVE_ANCIENTPOWER</v>
      </c>
      <c r="B247" s="3" t="s">
        <v>14711</v>
      </c>
      <c r="C247" s="3" t="s">
        <v>14712</v>
      </c>
      <c r="D247" s="3" t="s">
        <v>14713</v>
      </c>
      <c r="E247" s="3" t="s">
        <v>14714</v>
      </c>
      <c r="F247" s="3" t="s">
        <v>14715</v>
      </c>
      <c r="G247" s="3" t="s">
        <v>14716</v>
      </c>
      <c r="H247" s="3" t="s">
        <v>14717</v>
      </c>
      <c r="I247" s="3" t="s">
        <v>14718</v>
      </c>
      <c r="J247" s="5" t="str">
        <f t="shared" si="21"/>
        <v>原始之力</v>
      </c>
    </row>
    <row r="248">
      <c r="A248" s="5" t="str">
        <f t="shared" si="3"/>
        <v>NAME_MOVE_SHADOWBALL</v>
      </c>
      <c r="B248" s="3" t="s">
        <v>14719</v>
      </c>
      <c r="C248" s="3" t="s">
        <v>14720</v>
      </c>
      <c r="D248" s="3" t="s">
        <v>14721</v>
      </c>
      <c r="E248" s="3" t="s">
        <v>14722</v>
      </c>
      <c r="F248" s="3" t="s">
        <v>14723</v>
      </c>
      <c r="G248" s="3" t="s">
        <v>14724</v>
      </c>
      <c r="H248" s="3" t="s">
        <v>14725</v>
      </c>
      <c r="I248" s="3" t="s">
        <v>14726</v>
      </c>
      <c r="J248" s="5" t="str">
        <f t="shared" si="21"/>
        <v>暗影球</v>
      </c>
    </row>
    <row r="249">
      <c r="A249" s="5" t="str">
        <f t="shared" si="3"/>
        <v>NAME_MOVE_FUTURESIGHT</v>
      </c>
      <c r="B249" s="3" t="s">
        <v>14727</v>
      </c>
      <c r="C249" s="3" t="s">
        <v>14728</v>
      </c>
      <c r="D249" s="3" t="s">
        <v>14729</v>
      </c>
      <c r="E249" s="3" t="s">
        <v>14730</v>
      </c>
      <c r="F249" s="3" t="s">
        <v>14731</v>
      </c>
      <c r="G249" s="3" t="s">
        <v>14732</v>
      </c>
      <c r="H249" s="3" t="s">
        <v>14733</v>
      </c>
      <c r="I249" s="3" t="s">
        <v>14734</v>
      </c>
      <c r="J249" s="5" t="str">
        <f>IFERROR(__xludf.DUMMYFUNCTION("GOOGLETRANSLATE(I249,""zh_HANT"",""zh_HANS"")"),"预知未来")</f>
        <v>预知未来</v>
      </c>
    </row>
    <row r="250">
      <c r="A250" s="5" t="str">
        <f t="shared" si="3"/>
        <v>NAME_MOVE_ROCKSMASH</v>
      </c>
      <c r="B250" s="3" t="s">
        <v>14735</v>
      </c>
      <c r="C250" s="3" t="s">
        <v>14736</v>
      </c>
      <c r="D250" s="3" t="s">
        <v>14737</v>
      </c>
      <c r="E250" s="3" t="s">
        <v>14738</v>
      </c>
      <c r="F250" s="3" t="s">
        <v>14739</v>
      </c>
      <c r="G250" s="3" t="s">
        <v>14740</v>
      </c>
      <c r="H250" s="7" t="s">
        <v>14741</v>
      </c>
      <c r="I250" s="7" t="s">
        <v>14742</v>
      </c>
      <c r="J250" s="5" t="str">
        <f t="shared" ref="J250:J251" si="22">I250</f>
        <v>碎岩</v>
      </c>
    </row>
    <row r="251">
      <c r="A251" s="5" t="str">
        <f t="shared" si="3"/>
        <v>NAME_MOVE_WHIRLPOOL</v>
      </c>
      <c r="B251" s="3" t="s">
        <v>14743</v>
      </c>
      <c r="C251" s="3" t="s">
        <v>14744</v>
      </c>
      <c r="D251" s="3" t="s">
        <v>14745</v>
      </c>
      <c r="E251" s="5" t="str">
        <f>B251</f>
        <v>Whirlpool</v>
      </c>
      <c r="F251" s="3" t="s">
        <v>10880</v>
      </c>
      <c r="G251" s="3" t="s">
        <v>14746</v>
      </c>
      <c r="H251" s="7" t="s">
        <v>14747</v>
      </c>
      <c r="I251" s="7" t="s">
        <v>14748</v>
      </c>
      <c r="J251" s="5" t="str">
        <f t="shared" si="22"/>
        <v>潮旋</v>
      </c>
    </row>
    <row r="252">
      <c r="A252" s="5" t="str">
        <f t="shared" si="3"/>
        <v>NAME_MOVE_BEATUP</v>
      </c>
      <c r="B252" s="3" t="s">
        <v>14749</v>
      </c>
      <c r="C252" s="3" t="s">
        <v>14750</v>
      </c>
      <c r="D252" s="3" t="s">
        <v>14751</v>
      </c>
      <c r="E252" s="3" t="s">
        <v>14752</v>
      </c>
      <c r="F252" s="3" t="s">
        <v>14753</v>
      </c>
      <c r="G252" s="3" t="s">
        <v>14754</v>
      </c>
      <c r="H252" s="3" t="s">
        <v>14755</v>
      </c>
      <c r="I252" s="3" t="s">
        <v>14756</v>
      </c>
      <c r="J252" s="5" t="str">
        <f>IFERROR(__xludf.DUMMYFUNCTION("GOOGLETRANSLATE(I252,""zh_HANT"",""zh_HANS"")"),"围攻")</f>
        <v>围攻</v>
      </c>
    </row>
    <row r="253">
      <c r="A253" s="5" t="str">
        <f t="shared" si="3"/>
        <v>NAME_MOVE_FAKEOUT</v>
      </c>
      <c r="B253" s="3" t="s">
        <v>14757</v>
      </c>
      <c r="C253" s="3" t="s">
        <v>14758</v>
      </c>
      <c r="D253" s="3" t="s">
        <v>14759</v>
      </c>
      <c r="E253" s="3" t="s">
        <v>14760</v>
      </c>
      <c r="F253" s="3" t="s">
        <v>14761</v>
      </c>
      <c r="G253" s="3" t="s">
        <v>14762</v>
      </c>
      <c r="H253" s="3" t="s">
        <v>14763</v>
      </c>
      <c r="I253" s="3" t="s">
        <v>14764</v>
      </c>
      <c r="J253" s="5" t="str">
        <f>IFERROR(__xludf.DUMMYFUNCTION("GOOGLETRANSLATE(I253,""zh_HANT"",""zh_HANS"")"),"击掌奇袭")</f>
        <v>击掌奇袭</v>
      </c>
    </row>
    <row r="254">
      <c r="A254" s="5" t="str">
        <f t="shared" si="3"/>
        <v>NAME_MOVE_UPROAR</v>
      </c>
      <c r="B254" s="3" t="s">
        <v>14765</v>
      </c>
      <c r="C254" s="3" t="s">
        <v>14766</v>
      </c>
      <c r="D254" s="3" t="s">
        <v>14767</v>
      </c>
      <c r="E254" s="3" t="s">
        <v>14768</v>
      </c>
      <c r="F254" s="3" t="s">
        <v>14769</v>
      </c>
      <c r="G254" s="3" t="s">
        <v>14770</v>
      </c>
      <c r="H254" s="3" t="s">
        <v>14771</v>
      </c>
      <c r="I254" s="3" t="s">
        <v>14772</v>
      </c>
      <c r="J254" s="5" t="str">
        <f>IFERROR(__xludf.DUMMYFUNCTION("GOOGLETRANSLATE(I254,""zh_HANT"",""zh_HANS"")"),"吵闹")</f>
        <v>吵闹</v>
      </c>
    </row>
    <row r="255">
      <c r="A255" s="5" t="str">
        <f t="shared" si="3"/>
        <v>NAME_MOVE_STOCKPILE</v>
      </c>
      <c r="B255" s="3" t="s">
        <v>14773</v>
      </c>
      <c r="C255" s="3" t="s">
        <v>14774</v>
      </c>
      <c r="D255" s="3" t="s">
        <v>14775</v>
      </c>
      <c r="E255" s="3" t="s">
        <v>14776</v>
      </c>
      <c r="F255" s="3" t="s">
        <v>14777</v>
      </c>
      <c r="G255" s="3" t="s">
        <v>14778</v>
      </c>
      <c r="H255" s="3" t="s">
        <v>14779</v>
      </c>
      <c r="I255" s="3" t="s">
        <v>14780</v>
      </c>
      <c r="J255" s="5" t="str">
        <f>I255</f>
        <v>蓄力</v>
      </c>
    </row>
    <row r="256">
      <c r="A256" s="5" t="str">
        <f t="shared" si="3"/>
        <v>NAME_MOVE_SPITUP</v>
      </c>
      <c r="B256" s="3" t="s">
        <v>14781</v>
      </c>
      <c r="C256" s="3" t="s">
        <v>14782</v>
      </c>
      <c r="D256" s="3" t="s">
        <v>14783</v>
      </c>
      <c r="E256" s="3" t="s">
        <v>14784</v>
      </c>
      <c r="F256" s="3" t="s">
        <v>14785</v>
      </c>
      <c r="G256" s="3" t="s">
        <v>14786</v>
      </c>
      <c r="H256" s="3" t="s">
        <v>14787</v>
      </c>
      <c r="I256" s="3" t="s">
        <v>14788</v>
      </c>
      <c r="J256" s="5" t="str">
        <f>IFERROR(__xludf.DUMMYFUNCTION("GOOGLETRANSLATE(I256,""zh_HANT"",""zh_HANS"")"),"喷出")</f>
        <v>喷出</v>
      </c>
    </row>
    <row r="257">
      <c r="A257" s="5" t="str">
        <f t="shared" si="3"/>
        <v>NAME_MOVE_SWALLOW</v>
      </c>
      <c r="B257" s="3" t="s">
        <v>8699</v>
      </c>
      <c r="C257" s="3" t="s">
        <v>14789</v>
      </c>
      <c r="D257" s="3" t="s">
        <v>14790</v>
      </c>
      <c r="E257" s="3" t="s">
        <v>14791</v>
      </c>
      <c r="F257" s="3" t="s">
        <v>14792</v>
      </c>
      <c r="G257" s="3" t="s">
        <v>14793</v>
      </c>
      <c r="H257" s="3" t="s">
        <v>14794</v>
      </c>
      <c r="I257" s="3" t="s">
        <v>14795</v>
      </c>
      <c r="J257" s="5" t="str">
        <f>I257</f>
        <v>吞下</v>
      </c>
    </row>
    <row r="258">
      <c r="A258" s="5" t="str">
        <f t="shared" si="3"/>
        <v>NAME_MOVE_HEATWAVE</v>
      </c>
      <c r="B258" s="3" t="s">
        <v>14796</v>
      </c>
      <c r="C258" s="9" t="s">
        <v>14797</v>
      </c>
      <c r="D258" s="3" t="s">
        <v>14798</v>
      </c>
      <c r="E258" s="3" t="s">
        <v>14799</v>
      </c>
      <c r="F258" s="3" t="s">
        <v>14800</v>
      </c>
      <c r="G258" s="3" t="s">
        <v>14801</v>
      </c>
      <c r="H258" s="3" t="s">
        <v>14802</v>
      </c>
      <c r="I258" s="3" t="s">
        <v>14803</v>
      </c>
      <c r="J258" s="5" t="str">
        <f>IFERROR(__xludf.DUMMYFUNCTION("GOOGLETRANSLATE(I258,""zh_HANT"",""zh_HANS"")"),"热风")</f>
        <v>热风</v>
      </c>
    </row>
    <row r="259">
      <c r="A259" s="5" t="str">
        <f t="shared" si="3"/>
        <v>NAME_MOVE_HAIL</v>
      </c>
      <c r="B259" s="3" t="s">
        <v>14804</v>
      </c>
      <c r="C259" s="3" t="s">
        <v>14805</v>
      </c>
      <c r="D259" s="3" t="s">
        <v>10541</v>
      </c>
      <c r="E259" s="3" t="s">
        <v>14806</v>
      </c>
      <c r="F259" s="3" t="s">
        <v>14807</v>
      </c>
      <c r="G259" s="3" t="s">
        <v>14808</v>
      </c>
      <c r="H259" s="3" t="s">
        <v>14809</v>
      </c>
      <c r="I259" s="3" t="s">
        <v>14810</v>
      </c>
      <c r="J259" s="5" t="str">
        <f>I259</f>
        <v>冰雹</v>
      </c>
    </row>
    <row r="260">
      <c r="A260" s="5" t="str">
        <f t="shared" si="3"/>
        <v>NAME_MOVE_TORMENT</v>
      </c>
      <c r="B260" s="3" t="s">
        <v>14811</v>
      </c>
      <c r="C260" s="3" t="s">
        <v>14812</v>
      </c>
      <c r="D260" s="3" t="s">
        <v>14813</v>
      </c>
      <c r="E260" s="3" t="s">
        <v>14814</v>
      </c>
      <c r="F260" s="3" t="s">
        <v>14815</v>
      </c>
      <c r="G260" s="3" t="s">
        <v>14816</v>
      </c>
      <c r="H260" s="3" t="s">
        <v>14817</v>
      </c>
      <c r="I260" s="3" t="s">
        <v>14818</v>
      </c>
      <c r="J260" s="5" t="str">
        <f>IFERROR(__xludf.DUMMYFUNCTION("GOOGLETRANSLATE(I260,""zh_HANT"",""zh_HANS"")"),"无理取闹")</f>
        <v>无理取闹</v>
      </c>
    </row>
    <row r="261">
      <c r="A261" s="5" t="str">
        <f t="shared" si="3"/>
        <v>NAME_MOVE_FLATTER</v>
      </c>
      <c r="B261" s="3" t="s">
        <v>14819</v>
      </c>
      <c r="C261" s="3" t="s">
        <v>14820</v>
      </c>
      <c r="D261" s="3" t="s">
        <v>14821</v>
      </c>
      <c r="E261" s="3" t="s">
        <v>14822</v>
      </c>
      <c r="F261" s="3" t="s">
        <v>14823</v>
      </c>
      <c r="G261" s="3" t="s">
        <v>14824</v>
      </c>
      <c r="H261" s="3" t="s">
        <v>14825</v>
      </c>
      <c r="I261" s="3" t="s">
        <v>14826</v>
      </c>
      <c r="J261" s="5" t="str">
        <f>I261</f>
        <v>吹捧</v>
      </c>
    </row>
    <row r="262">
      <c r="A262" s="5" t="str">
        <f t="shared" si="3"/>
        <v>NAME_MOVE_WILLOWISP</v>
      </c>
      <c r="B262" s="3" t="s">
        <v>14827</v>
      </c>
      <c r="C262" s="3" t="s">
        <v>8086</v>
      </c>
      <c r="D262" s="3" t="s">
        <v>8087</v>
      </c>
      <c r="E262" s="3" t="s">
        <v>8088</v>
      </c>
      <c r="F262" s="3" t="s">
        <v>8089</v>
      </c>
      <c r="G262" s="3" t="s">
        <v>8090</v>
      </c>
      <c r="H262" s="3" t="s">
        <v>8091</v>
      </c>
      <c r="I262" s="3" t="s">
        <v>8092</v>
      </c>
      <c r="J262" s="3" t="s">
        <v>14828</v>
      </c>
    </row>
    <row r="263">
      <c r="A263" s="5" t="str">
        <f t="shared" si="3"/>
        <v>NAME_MOVE_MEMENTO</v>
      </c>
      <c r="B263" s="3" t="s">
        <v>14829</v>
      </c>
      <c r="C263" s="3" t="s">
        <v>14830</v>
      </c>
      <c r="D263" s="3" t="s">
        <v>14831</v>
      </c>
      <c r="E263" s="5" t="str">
        <f>CONCATENATE(B263,"-Mori")</f>
        <v>Memento-Mori</v>
      </c>
      <c r="F263" s="3" t="s">
        <v>14832</v>
      </c>
      <c r="G263" s="5" t="str">
        <f>B263</f>
        <v>Memento</v>
      </c>
      <c r="H263" s="3" t="s">
        <v>14833</v>
      </c>
      <c r="I263" s="3" t="s">
        <v>14834</v>
      </c>
      <c r="J263" s="5" t="str">
        <f>IFERROR(__xludf.DUMMYFUNCTION("GOOGLETRANSLATE(I263,""zh_HANT"",""zh_HANS"")"),"临别礼物")</f>
        <v>临别礼物</v>
      </c>
    </row>
    <row r="264">
      <c r="A264" s="5" t="str">
        <f t="shared" si="3"/>
        <v>NAME_MOVE_FACADE</v>
      </c>
      <c r="B264" s="3" t="s">
        <v>14835</v>
      </c>
      <c r="C264" s="3" t="s">
        <v>14836</v>
      </c>
      <c r="D264" s="3" t="s">
        <v>14837</v>
      </c>
      <c r="E264" s="3" t="s">
        <v>14838</v>
      </c>
      <c r="F264" s="3" t="s">
        <v>14839</v>
      </c>
      <c r="G264" s="3" t="s">
        <v>14840</v>
      </c>
      <c r="H264" s="3" t="s">
        <v>14841</v>
      </c>
      <c r="I264" s="3" t="s">
        <v>14842</v>
      </c>
      <c r="J264" s="5" t="str">
        <f>IFERROR(__xludf.DUMMYFUNCTION("GOOGLETRANSLATE(I264,""zh_HANT"",""zh_HANS"")"),"硬撑")</f>
        <v>硬撑</v>
      </c>
    </row>
    <row r="265">
      <c r="A265" s="5" t="str">
        <f t="shared" si="3"/>
        <v>NAME_MOVE_FOCUSPUNCH</v>
      </c>
      <c r="B265" s="3" t="s">
        <v>14843</v>
      </c>
      <c r="C265" s="3" t="s">
        <v>14844</v>
      </c>
      <c r="D265" s="3" t="s">
        <v>14845</v>
      </c>
      <c r="E265" s="3" t="s">
        <v>14846</v>
      </c>
      <c r="F265" s="3" t="s">
        <v>14847</v>
      </c>
      <c r="G265" s="3" t="s">
        <v>14848</v>
      </c>
      <c r="H265" s="3" t="s">
        <v>14849</v>
      </c>
      <c r="I265" s="3" t="s">
        <v>14850</v>
      </c>
      <c r="J265" s="5" t="str">
        <f>IFERROR(__xludf.DUMMYFUNCTION("GOOGLETRANSLATE(I265,""zh_HANT"",""zh_HANS"")"),"真气拳")</f>
        <v>真气拳</v>
      </c>
    </row>
    <row r="266">
      <c r="A266" s="5" t="str">
        <f t="shared" si="3"/>
        <v>NAME_MOVE_SMELLINGSALTS</v>
      </c>
      <c r="B266" s="3" t="s">
        <v>14851</v>
      </c>
      <c r="C266" s="3" t="s">
        <v>14852</v>
      </c>
      <c r="D266" s="3" t="s">
        <v>14853</v>
      </c>
      <c r="E266" s="3" t="s">
        <v>14854</v>
      </c>
      <c r="F266" s="3" t="s">
        <v>14855</v>
      </c>
      <c r="G266" s="3" t="s">
        <v>14856</v>
      </c>
      <c r="H266" s="3" t="s">
        <v>14857</v>
      </c>
      <c r="I266" s="3" t="s">
        <v>14858</v>
      </c>
      <c r="J266" s="5" t="str">
        <f t="shared" ref="J266:J268" si="23">I266</f>
        <v>清醒</v>
      </c>
    </row>
    <row r="267">
      <c r="A267" s="5" t="str">
        <f t="shared" si="3"/>
        <v>NAME_MOVE_FOLLOWME</v>
      </c>
      <c r="B267" s="3" t="s">
        <v>14859</v>
      </c>
      <c r="C267" s="3" t="s">
        <v>14860</v>
      </c>
      <c r="D267" s="3" t="s">
        <v>14861</v>
      </c>
      <c r="E267" s="5" t="str">
        <f>B654</f>
        <v>Spotlight</v>
      </c>
      <c r="F267" s="3" t="s">
        <v>10676</v>
      </c>
      <c r="G267" s="3" t="s">
        <v>14862</v>
      </c>
      <c r="H267" s="3" t="s">
        <v>14863</v>
      </c>
      <c r="I267" s="3" t="s">
        <v>14864</v>
      </c>
      <c r="J267" s="5" t="str">
        <f t="shared" si="23"/>
        <v>看我嘛</v>
      </c>
    </row>
    <row r="268">
      <c r="A268" s="5" t="str">
        <f t="shared" si="3"/>
        <v>NAME_MOVE_NATUREPOWER</v>
      </c>
      <c r="B268" s="3" t="s">
        <v>14865</v>
      </c>
      <c r="C268" s="3" t="s">
        <v>14866</v>
      </c>
      <c r="D268" s="3" t="s">
        <v>14867</v>
      </c>
      <c r="E268" s="3" t="s">
        <v>14868</v>
      </c>
      <c r="F268" s="3" t="s">
        <v>14869</v>
      </c>
      <c r="G268" s="3" t="s">
        <v>14870</v>
      </c>
      <c r="H268" s="3" t="s">
        <v>14871</v>
      </c>
      <c r="I268" s="3" t="s">
        <v>14872</v>
      </c>
      <c r="J268" s="5" t="str">
        <f t="shared" si="23"/>
        <v>自然之力</v>
      </c>
    </row>
    <row r="269">
      <c r="A269" s="5" t="str">
        <f t="shared" si="3"/>
        <v>NAME_MOVE_CHARGE</v>
      </c>
      <c r="B269" s="3" t="s">
        <v>13106</v>
      </c>
      <c r="C269" s="3" t="s">
        <v>14873</v>
      </c>
      <c r="D269" s="3" t="s">
        <v>14874</v>
      </c>
      <c r="E269" s="3" t="s">
        <v>14875</v>
      </c>
      <c r="F269" s="3" t="s">
        <v>14876</v>
      </c>
      <c r="G269" s="3" t="s">
        <v>14877</v>
      </c>
      <c r="H269" s="3" t="s">
        <v>14878</v>
      </c>
      <c r="I269" s="3" t="s">
        <v>14879</v>
      </c>
      <c r="J269" s="5" t="str">
        <f>IFERROR(__xludf.DUMMYFUNCTION("GOOGLETRANSLATE(I269,""zh_HANT"",""zh_HANS"")"),"充电")</f>
        <v>充电</v>
      </c>
    </row>
    <row r="270">
      <c r="A270" s="5" t="str">
        <f t="shared" si="3"/>
        <v>NAME_MOVE_TAUNT</v>
      </c>
      <c r="B270" s="3" t="s">
        <v>14880</v>
      </c>
      <c r="C270" s="3" t="s">
        <v>14881</v>
      </c>
      <c r="D270" s="3" t="s">
        <v>14882</v>
      </c>
      <c r="E270" s="3" t="s">
        <v>14883</v>
      </c>
      <c r="F270" s="3" t="s">
        <v>14884</v>
      </c>
      <c r="G270" s="3" t="s">
        <v>14885</v>
      </c>
      <c r="H270" s="3" t="s">
        <v>14886</v>
      </c>
      <c r="I270" s="3" t="s">
        <v>14887</v>
      </c>
      <c r="J270" s="5" t="str">
        <f>IFERROR(__xludf.DUMMYFUNCTION("GOOGLETRANSLATE(I270,""zh_HANT"",""zh_HANS"")"),"挑衅")</f>
        <v>挑衅</v>
      </c>
    </row>
    <row r="271">
      <c r="A271" s="5" t="str">
        <f t="shared" si="3"/>
        <v>NAME_MOVE_HELPINGHAND</v>
      </c>
      <c r="B271" s="3" t="s">
        <v>14888</v>
      </c>
      <c r="C271" s="3" t="s">
        <v>14889</v>
      </c>
      <c r="D271" s="3" t="s">
        <v>14890</v>
      </c>
      <c r="E271" s="3" t="s">
        <v>14891</v>
      </c>
      <c r="F271" s="3" t="s">
        <v>14892</v>
      </c>
      <c r="G271" s="3" t="s">
        <v>14893</v>
      </c>
      <c r="H271" s="3" t="s">
        <v>14894</v>
      </c>
      <c r="I271" s="3" t="s">
        <v>14895</v>
      </c>
      <c r="J271" s="5" t="str">
        <f>IFERROR(__xludf.DUMMYFUNCTION("GOOGLETRANSLATE(I271,""zh_HANT"",""zh_HANS"")"),"帮助")</f>
        <v>帮助</v>
      </c>
    </row>
    <row r="272">
      <c r="A272" s="5" t="str">
        <f t="shared" si="3"/>
        <v>NAME_MOVE_TRICK</v>
      </c>
      <c r="B272" s="3" t="s">
        <v>14896</v>
      </c>
      <c r="C272" s="3" t="s">
        <v>14897</v>
      </c>
      <c r="D272" s="3" t="s">
        <v>14898</v>
      </c>
      <c r="E272" s="5" t="str">
        <f>CONCATENATE(B272,"betrug")</f>
        <v>Trickbetrug</v>
      </c>
      <c r="F272" s="3" t="s">
        <v>14899</v>
      </c>
      <c r="G272" s="3" t="s">
        <v>8995</v>
      </c>
      <c r="H272" s="3" t="s">
        <v>14900</v>
      </c>
      <c r="I272" s="3" t="s">
        <v>14901</v>
      </c>
      <c r="J272" s="5" t="str">
        <f>IFERROR(__xludf.DUMMYFUNCTION("GOOGLETRANSLATE(I272,""zh_HANT"",""zh_HANS"")"),"戏法")</f>
        <v>戏法</v>
      </c>
    </row>
    <row r="273">
      <c r="A273" s="5" t="str">
        <f t="shared" si="3"/>
        <v>NAME_MOVE_ROLEPLAY</v>
      </c>
      <c r="B273" s="3" t="s">
        <v>14902</v>
      </c>
      <c r="C273" s="3" t="s">
        <v>14903</v>
      </c>
      <c r="D273" s="3" t="s">
        <v>8218</v>
      </c>
      <c r="E273" s="3" t="s">
        <v>14904</v>
      </c>
      <c r="F273" s="3" t="s">
        <v>8220</v>
      </c>
      <c r="G273" s="3" t="s">
        <v>14905</v>
      </c>
      <c r="H273" s="3" t="s">
        <v>14906</v>
      </c>
      <c r="I273" s="3" t="s">
        <v>14907</v>
      </c>
      <c r="J273" s="5" t="str">
        <f>I273</f>
        <v>扮演</v>
      </c>
    </row>
    <row r="274">
      <c r="A274" s="5" t="str">
        <f t="shared" si="3"/>
        <v>NAME_MOVE_WISH</v>
      </c>
      <c r="B274" s="3" t="s">
        <v>9371</v>
      </c>
      <c r="C274" s="3" t="s">
        <v>9372</v>
      </c>
      <c r="D274" s="3" t="s">
        <v>14908</v>
      </c>
      <c r="E274" s="3" t="s">
        <v>14909</v>
      </c>
      <c r="F274" s="3" t="s">
        <v>9375</v>
      </c>
      <c r="G274" s="3" t="s">
        <v>9376</v>
      </c>
      <c r="H274" s="3" t="s">
        <v>9377</v>
      </c>
      <c r="I274" s="3" t="s">
        <v>9378</v>
      </c>
      <c r="J274" s="5" t="str">
        <f>IFERROR(__xludf.DUMMYFUNCTION("GOOGLETRANSLATE(I274,""zh_HANT"",""zh_HANS"")"),"祈愿")</f>
        <v>祈愿</v>
      </c>
    </row>
    <row r="275">
      <c r="A275" s="5" t="str">
        <f t="shared" si="3"/>
        <v>NAME_MOVE_ASSIST</v>
      </c>
      <c r="B275" s="3" t="s">
        <v>14910</v>
      </c>
      <c r="C275" s="3" t="s">
        <v>14911</v>
      </c>
      <c r="D275" s="3" t="s">
        <v>14912</v>
      </c>
      <c r="E275" s="3" t="s">
        <v>14913</v>
      </c>
      <c r="F275" s="3" t="s">
        <v>14914</v>
      </c>
      <c r="G275" s="5" t="str">
        <f>CONCATENATE(B275,"ente")</f>
        <v>Assistente</v>
      </c>
      <c r="H275" s="3" t="s">
        <v>14915</v>
      </c>
      <c r="I275" s="3" t="s">
        <v>14916</v>
      </c>
      <c r="J275" s="5" t="str">
        <f t="shared" ref="J275:J276" si="24">I275</f>
        <v>借助</v>
      </c>
    </row>
    <row r="276">
      <c r="A276" s="5" t="str">
        <f t="shared" si="3"/>
        <v>NAME_MOVE_INGRAIN</v>
      </c>
      <c r="B276" s="3" t="s">
        <v>14917</v>
      </c>
      <c r="C276" s="3" t="s">
        <v>14918</v>
      </c>
      <c r="D276" s="3" t="s">
        <v>14919</v>
      </c>
      <c r="E276" s="3" t="s">
        <v>14920</v>
      </c>
      <c r="F276" s="3" t="s">
        <v>14921</v>
      </c>
      <c r="G276" s="3" t="s">
        <v>14922</v>
      </c>
      <c r="H276" s="3" t="s">
        <v>14923</v>
      </c>
      <c r="I276" s="3" t="s">
        <v>14924</v>
      </c>
      <c r="J276" s="5" t="str">
        <f t="shared" si="24"/>
        <v>扎根</v>
      </c>
    </row>
    <row r="277">
      <c r="A277" s="5" t="str">
        <f t="shared" si="3"/>
        <v>NAME_MOVE_SUPERPOWER</v>
      </c>
      <c r="B277" s="3" t="s">
        <v>7625</v>
      </c>
      <c r="C277" s="3" t="s">
        <v>14925</v>
      </c>
      <c r="D277" s="3" t="s">
        <v>14926</v>
      </c>
      <c r="E277" s="3" t="s">
        <v>14927</v>
      </c>
      <c r="F277" s="3" t="s">
        <v>14928</v>
      </c>
      <c r="G277" s="3" t="s">
        <v>14929</v>
      </c>
      <c r="H277" s="3" t="s">
        <v>14930</v>
      </c>
      <c r="I277" s="3" t="s">
        <v>14931</v>
      </c>
      <c r="J277" s="5" t="str">
        <f>IFERROR(__xludf.DUMMYFUNCTION("GOOGLETRANSLATE(I277,""zh_HANT"",""zh_HANS"")"),"蛮力")</f>
        <v>蛮力</v>
      </c>
    </row>
    <row r="278">
      <c r="A278" s="5" t="str">
        <f t="shared" si="3"/>
        <v>NAME_MOVE_MAGICCOAT</v>
      </c>
      <c r="B278" s="3" t="s">
        <v>14932</v>
      </c>
      <c r="C278" s="3" t="s">
        <v>14933</v>
      </c>
      <c r="D278" s="3" t="s">
        <v>14934</v>
      </c>
      <c r="E278" s="3" t="s">
        <v>14935</v>
      </c>
      <c r="F278" s="3" t="s">
        <v>14936</v>
      </c>
      <c r="G278" s="3" t="s">
        <v>14937</v>
      </c>
      <c r="H278" s="3" t="s">
        <v>14938</v>
      </c>
      <c r="I278" s="3" t="s">
        <v>14939</v>
      </c>
      <c r="J278" s="5" t="str">
        <f t="shared" ref="J278:J279" si="25">I278</f>
        <v>魔法反射</v>
      </c>
    </row>
    <row r="279">
      <c r="A279" s="5" t="str">
        <f t="shared" si="3"/>
        <v>NAME_MOVE_RECYCLE</v>
      </c>
      <c r="B279" s="3" t="s">
        <v>14940</v>
      </c>
      <c r="C279" s="3" t="s">
        <v>14941</v>
      </c>
      <c r="D279" s="3" t="s">
        <v>14942</v>
      </c>
      <c r="E279" s="3" t="s">
        <v>14943</v>
      </c>
      <c r="F279" s="3" t="s">
        <v>14944</v>
      </c>
      <c r="G279" s="3" t="s">
        <v>14945</v>
      </c>
      <c r="H279" s="3" t="s">
        <v>14946</v>
      </c>
      <c r="I279" s="3" t="s">
        <v>14947</v>
      </c>
      <c r="J279" s="5" t="str">
        <f t="shared" si="25"/>
        <v>回收利用</v>
      </c>
    </row>
    <row r="280">
      <c r="A280" s="5" t="str">
        <f t="shared" si="3"/>
        <v>NAME_MOVE_REVENGE</v>
      </c>
      <c r="B280" s="3" t="s">
        <v>14948</v>
      </c>
      <c r="C280" s="3" t="s">
        <v>14949</v>
      </c>
      <c r="D280" s="3" t="s">
        <v>14950</v>
      </c>
      <c r="E280" s="3" t="s">
        <v>14951</v>
      </c>
      <c r="F280" s="3" t="s">
        <v>14952</v>
      </c>
      <c r="G280" s="3" t="str">
        <f>D280</f>
        <v>Vendetta</v>
      </c>
      <c r="H280" s="3" t="s">
        <v>14953</v>
      </c>
      <c r="I280" s="3" t="s">
        <v>14954</v>
      </c>
      <c r="J280" s="5" t="str">
        <f>IFERROR(__xludf.DUMMYFUNCTION("GOOGLETRANSLATE(I280,""zh_HANT"",""zh_HANS"")"),"报复")</f>
        <v>报复</v>
      </c>
    </row>
    <row r="281">
      <c r="A281" s="5" t="str">
        <f t="shared" si="3"/>
        <v>NAME_MOVE_BRICKBREAK</v>
      </c>
      <c r="B281" s="3" t="s">
        <v>14955</v>
      </c>
      <c r="C281" s="3" t="s">
        <v>14956</v>
      </c>
      <c r="D281" s="3" t="s">
        <v>14957</v>
      </c>
      <c r="E281" s="3" t="s">
        <v>14958</v>
      </c>
      <c r="F281" s="3" t="s">
        <v>14959</v>
      </c>
      <c r="G281" s="3" t="s">
        <v>14960</v>
      </c>
      <c r="H281" s="3" t="s">
        <v>14961</v>
      </c>
      <c r="I281" s="3" t="s">
        <v>14962</v>
      </c>
      <c r="J281" s="5" t="str">
        <f t="shared" ref="J281:J283" si="26">I281</f>
        <v>劈瓦</v>
      </c>
    </row>
    <row r="282">
      <c r="A282" s="5" t="str">
        <f t="shared" si="3"/>
        <v>NAME_MOVE_YAWN</v>
      </c>
      <c r="B282" s="3" t="s">
        <v>14963</v>
      </c>
      <c r="C282" s="3" t="s">
        <v>14964</v>
      </c>
      <c r="D282" s="3" t="s">
        <v>14965</v>
      </c>
      <c r="E282" s="3" t="s">
        <v>14966</v>
      </c>
      <c r="F282" s="3" t="s">
        <v>14967</v>
      </c>
      <c r="G282" s="3" t="s">
        <v>14968</v>
      </c>
      <c r="H282" s="3" t="s">
        <v>14969</v>
      </c>
      <c r="I282" s="3" t="s">
        <v>14970</v>
      </c>
      <c r="J282" s="5" t="str">
        <f t="shared" si="26"/>
        <v>哈欠</v>
      </c>
    </row>
    <row r="283">
      <c r="A283" s="5" t="str">
        <f t="shared" si="3"/>
        <v>NAME_MOVE_KNOCKOFF</v>
      </c>
      <c r="B283" s="3" t="s">
        <v>14971</v>
      </c>
      <c r="C283" s="3" t="s">
        <v>14972</v>
      </c>
      <c r="D283" s="3" t="s">
        <v>14973</v>
      </c>
      <c r="E283" s="3" t="s">
        <v>14974</v>
      </c>
      <c r="F283" s="3" t="s">
        <v>14975</v>
      </c>
      <c r="G283" s="3" t="s">
        <v>14976</v>
      </c>
      <c r="H283" s="3" t="s">
        <v>14977</v>
      </c>
      <c r="I283" s="3" t="s">
        <v>14978</v>
      </c>
      <c r="J283" s="5" t="str">
        <f t="shared" si="26"/>
        <v>拍落</v>
      </c>
    </row>
    <row r="284">
      <c r="A284" s="5" t="str">
        <f t="shared" si="3"/>
        <v>NAME_MOVE_ENDEAVOR</v>
      </c>
      <c r="B284" s="3" t="s">
        <v>14979</v>
      </c>
      <c r="C284" s="3" t="s">
        <v>14980</v>
      </c>
      <c r="D284" s="3" t="s">
        <v>14981</v>
      </c>
      <c r="E284" s="3" t="s">
        <v>14982</v>
      </c>
      <c r="F284" s="3" t="s">
        <v>14983</v>
      </c>
      <c r="G284" s="3" t="s">
        <v>14984</v>
      </c>
      <c r="H284" s="7" t="s">
        <v>14985</v>
      </c>
      <c r="I284" s="7" t="s">
        <v>14986</v>
      </c>
      <c r="J284" s="5" t="str">
        <f>IFERROR(__xludf.DUMMYFUNCTION("GOOGLETRANSLATE(I284,""zh_HANT"",""zh_HANS"")"),"蛮干")</f>
        <v>蛮干</v>
      </c>
    </row>
    <row r="285">
      <c r="A285" s="5" t="str">
        <f t="shared" si="3"/>
        <v>NAME_MOVE_ERUPTION</v>
      </c>
      <c r="B285" s="3" t="s">
        <v>14987</v>
      </c>
      <c r="C285" s="3" t="s">
        <v>14988</v>
      </c>
      <c r="D285" s="3" t="s">
        <v>14989</v>
      </c>
      <c r="E285" s="5" t="str">
        <f>B285</f>
        <v>Eruption</v>
      </c>
      <c r="F285" s="3" t="s">
        <v>14990</v>
      </c>
      <c r="G285" s="3" t="s">
        <v>14991</v>
      </c>
      <c r="H285" s="7" t="s">
        <v>14992</v>
      </c>
      <c r="I285" s="7" t="s">
        <v>14993</v>
      </c>
      <c r="J285" s="5" t="str">
        <f>IFERROR(__xludf.DUMMYFUNCTION("GOOGLETRANSLATE(I285,""zh_HANT"",""zh_HANS"")"),"喷火")</f>
        <v>喷火</v>
      </c>
    </row>
    <row r="286">
      <c r="A286" s="5" t="str">
        <f t="shared" si="3"/>
        <v>NAME_MOVE_SKILLSWAP</v>
      </c>
      <c r="B286" s="3" t="s">
        <v>14994</v>
      </c>
      <c r="C286" s="3" t="s">
        <v>14995</v>
      </c>
      <c r="D286" s="3" t="s">
        <v>14996</v>
      </c>
      <c r="E286" s="3" t="s">
        <v>14997</v>
      </c>
      <c r="F286" s="3" t="s">
        <v>14998</v>
      </c>
      <c r="G286" s="3" t="s">
        <v>14999</v>
      </c>
      <c r="H286" s="7" t="s">
        <v>15000</v>
      </c>
      <c r="I286" s="7" t="s">
        <v>15001</v>
      </c>
      <c r="J286" s="5" t="str">
        <f>IFERROR(__xludf.DUMMYFUNCTION("GOOGLETRANSLATE(I286,""zh_HANT"",""zh_HANS"")"),"特性互换")</f>
        <v>特性互换</v>
      </c>
    </row>
    <row r="287">
      <c r="A287" s="5" t="str">
        <f t="shared" si="3"/>
        <v>NAME_MOVE_IMPRISON</v>
      </c>
      <c r="B287" s="3" t="s">
        <v>15002</v>
      </c>
      <c r="C287" s="3" t="s">
        <v>9677</v>
      </c>
      <c r="D287" s="3" t="s">
        <v>15003</v>
      </c>
      <c r="E287" s="3" t="s">
        <v>15004</v>
      </c>
      <c r="F287" s="3" t="s">
        <v>15005</v>
      </c>
      <c r="G287" s="3" t="s">
        <v>15006</v>
      </c>
      <c r="H287" s="7" t="s">
        <v>9682</v>
      </c>
      <c r="I287" s="7" t="s">
        <v>9683</v>
      </c>
      <c r="J287" s="5" t="str">
        <f>I287</f>
        <v>封印</v>
      </c>
    </row>
    <row r="288">
      <c r="A288" s="5" t="str">
        <f t="shared" si="3"/>
        <v>NAME_MOVE_REFRESH</v>
      </c>
      <c r="B288" s="3" t="s">
        <v>15007</v>
      </c>
      <c r="C288" s="3" t="s">
        <v>15008</v>
      </c>
      <c r="D288" s="3" t="s">
        <v>15009</v>
      </c>
      <c r="E288" s="3" t="s">
        <v>15010</v>
      </c>
      <c r="F288" s="3" t="s">
        <v>15011</v>
      </c>
      <c r="G288" s="3" t="s">
        <v>15012</v>
      </c>
      <c r="H288" s="7" t="s">
        <v>15013</v>
      </c>
      <c r="I288" s="7" t="s">
        <v>15014</v>
      </c>
      <c r="J288" s="5" t="str">
        <f>IFERROR(__xludf.DUMMYFUNCTION("GOOGLETRANSLATE(I288,""zh_HANT"",""zh_HANS"")"),"焕然一新")</f>
        <v>焕然一新</v>
      </c>
    </row>
    <row r="289">
      <c r="A289" s="5" t="str">
        <f t="shared" si="3"/>
        <v>NAME_MOVE_GRUDGE</v>
      </c>
      <c r="B289" s="3" t="s">
        <v>15015</v>
      </c>
      <c r="C289" s="3" t="s">
        <v>15016</v>
      </c>
      <c r="D289" s="3" t="s">
        <v>15017</v>
      </c>
      <c r="E289" s="3" t="s">
        <v>15018</v>
      </c>
      <c r="F289" s="3" t="s">
        <v>15019</v>
      </c>
      <c r="G289" s="3" t="s">
        <v>15020</v>
      </c>
      <c r="H289" s="7" t="s">
        <v>15021</v>
      </c>
      <c r="I289" s="7" t="s">
        <v>15022</v>
      </c>
      <c r="J289" s="5" t="str">
        <f>I289</f>
        <v>怨念</v>
      </c>
    </row>
    <row r="290">
      <c r="A290" s="5" t="str">
        <f t="shared" si="3"/>
        <v>NAME_MOVE_SNATCH</v>
      </c>
      <c r="B290" s="3" t="s">
        <v>15023</v>
      </c>
      <c r="C290" s="3" t="s">
        <v>15024</v>
      </c>
      <c r="D290" s="3" t="s">
        <v>15025</v>
      </c>
      <c r="E290" s="3" t="s">
        <v>15026</v>
      </c>
      <c r="F290" s="3" t="s">
        <v>15027</v>
      </c>
      <c r="G290" s="3" t="s">
        <v>15028</v>
      </c>
      <c r="H290" s="3" t="s">
        <v>15029</v>
      </c>
      <c r="I290" s="3" t="s">
        <v>15030</v>
      </c>
      <c r="J290" s="3" t="s">
        <v>15031</v>
      </c>
    </row>
    <row r="291">
      <c r="A291" s="5" t="str">
        <f t="shared" si="3"/>
        <v>NAME_MOVE_SECRETPOWER</v>
      </c>
      <c r="B291" s="3" t="s">
        <v>15032</v>
      </c>
      <c r="C291" s="3" t="s">
        <v>15033</v>
      </c>
      <c r="D291" s="3" t="s">
        <v>15034</v>
      </c>
      <c r="E291" s="3" t="s">
        <v>15035</v>
      </c>
      <c r="F291" s="3" t="s">
        <v>15036</v>
      </c>
      <c r="G291" s="3" t="s">
        <v>15037</v>
      </c>
      <c r="H291" s="3" t="s">
        <v>15038</v>
      </c>
      <c r="I291" s="3" t="s">
        <v>15039</v>
      </c>
      <c r="J291" s="5" t="str">
        <f>I291</f>
        <v>秘密之力</v>
      </c>
    </row>
    <row r="292">
      <c r="A292" s="5" t="str">
        <f t="shared" si="3"/>
        <v>NAME_MOVE_DIVE</v>
      </c>
      <c r="B292" s="3" t="s">
        <v>15040</v>
      </c>
      <c r="C292" s="3" t="s">
        <v>15041</v>
      </c>
      <c r="D292" s="3" t="s">
        <v>15042</v>
      </c>
      <c r="E292" s="3" t="s">
        <v>8570</v>
      </c>
      <c r="F292" s="3" t="s">
        <v>8572</v>
      </c>
      <c r="G292" s="3" t="s">
        <v>15043</v>
      </c>
      <c r="H292" s="3" t="s">
        <v>15044</v>
      </c>
      <c r="I292" s="3" t="s">
        <v>8574</v>
      </c>
      <c r="J292" s="5" t="str">
        <f>IFERROR(__xludf.DUMMYFUNCTION("GOOGLETRANSLATE(I292,""zh_HANT"",""zh_HANS"")"),"潜水")</f>
        <v>潜水</v>
      </c>
    </row>
    <row r="293">
      <c r="A293" s="5" t="str">
        <f t="shared" si="3"/>
        <v>NAME_MOVE_ARMTHRUST</v>
      </c>
      <c r="B293" s="3" t="s">
        <v>15045</v>
      </c>
      <c r="C293" s="3" t="s">
        <v>15046</v>
      </c>
      <c r="D293" s="3" t="s">
        <v>15047</v>
      </c>
      <c r="E293" s="3" t="s">
        <v>15048</v>
      </c>
      <c r="F293" s="3" t="s">
        <v>15049</v>
      </c>
      <c r="G293" s="3" t="s">
        <v>15050</v>
      </c>
      <c r="H293" s="3" t="s">
        <v>15051</v>
      </c>
      <c r="I293" s="3" t="s">
        <v>15052</v>
      </c>
      <c r="J293" s="5" t="str">
        <f>I293</f>
        <v>猛推</v>
      </c>
    </row>
    <row r="294">
      <c r="A294" s="5" t="str">
        <f t="shared" si="3"/>
        <v>NAME_MOVE_CAMOUFLAGE</v>
      </c>
      <c r="B294" s="3" t="s">
        <v>15053</v>
      </c>
      <c r="C294" s="3" t="s">
        <v>15054</v>
      </c>
      <c r="D294" s="3" t="s">
        <v>15053</v>
      </c>
      <c r="E294" s="3" t="s">
        <v>15055</v>
      </c>
      <c r="F294" s="3" t="s">
        <v>15056</v>
      </c>
      <c r="G294" s="3" t="s">
        <v>15057</v>
      </c>
      <c r="H294" s="3" t="s">
        <v>15058</v>
      </c>
      <c r="I294" s="3" t="s">
        <v>15059</v>
      </c>
      <c r="J294" s="5" t="str">
        <f>IFERROR(__xludf.DUMMYFUNCTION("GOOGLETRANSLATE(I294,""zh_HANT"",""zh_HANS"")"),"保护色")</f>
        <v>保护色</v>
      </c>
    </row>
    <row r="295">
      <c r="A295" s="5" t="str">
        <f t="shared" si="3"/>
        <v>NAME_MOVE_TAILGLOW</v>
      </c>
      <c r="B295" s="3" t="s">
        <v>15060</v>
      </c>
      <c r="C295" s="3" t="s">
        <v>15061</v>
      </c>
      <c r="D295" s="3" t="s">
        <v>15062</v>
      </c>
      <c r="E295" s="3" t="s">
        <v>15063</v>
      </c>
      <c r="F295" s="3" t="s">
        <v>15064</v>
      </c>
      <c r="G295" s="3" t="s">
        <v>15065</v>
      </c>
      <c r="H295" s="3" t="s">
        <v>8914</v>
      </c>
      <c r="I295" s="3" t="s">
        <v>15066</v>
      </c>
      <c r="J295" s="5" t="str">
        <f>IFERROR(__xludf.DUMMYFUNCTION("GOOGLETRANSLATE(I295,""zh_HANT"",""zh_HANS"")"),"萤火")</f>
        <v>萤火</v>
      </c>
    </row>
    <row r="296">
      <c r="A296" s="5" t="str">
        <f t="shared" si="3"/>
        <v>NAME_MOVE_LUSTERPURGE</v>
      </c>
      <c r="B296" s="3" t="s">
        <v>15067</v>
      </c>
      <c r="C296" s="3" t="s">
        <v>15068</v>
      </c>
      <c r="D296" s="3" t="s">
        <v>15069</v>
      </c>
      <c r="E296" s="3" t="s">
        <v>15070</v>
      </c>
      <c r="F296" s="3" t="s">
        <v>15071</v>
      </c>
      <c r="G296" s="3" t="s">
        <v>15072</v>
      </c>
      <c r="H296" s="3" t="s">
        <v>15073</v>
      </c>
      <c r="I296" s="3" t="s">
        <v>15074</v>
      </c>
      <c r="J296" s="5" t="str">
        <f>IFERROR(__xludf.DUMMYFUNCTION("GOOGLETRANSLATE(I296,""zh_HANT"",""zh_HANS"")"),"洁净光芒")</f>
        <v>洁净光芒</v>
      </c>
    </row>
    <row r="297">
      <c r="A297" s="5" t="str">
        <f t="shared" si="3"/>
        <v>NAME_MOVE_MISTBALL</v>
      </c>
      <c r="B297" s="3" t="s">
        <v>15075</v>
      </c>
      <c r="C297" s="3" t="s">
        <v>15076</v>
      </c>
      <c r="D297" s="3" t="s">
        <v>15077</v>
      </c>
      <c r="E297" s="3" t="s">
        <v>15078</v>
      </c>
      <c r="F297" s="3" t="s">
        <v>15079</v>
      </c>
      <c r="G297" s="3" t="s">
        <v>15080</v>
      </c>
      <c r="H297" s="3" t="s">
        <v>15081</v>
      </c>
      <c r="I297" s="3" t="s">
        <v>15082</v>
      </c>
      <c r="J297" s="5" t="str">
        <f>IFERROR(__xludf.DUMMYFUNCTION("GOOGLETRANSLATE(I297,""zh_HANT"",""zh_HANS"")"),"薄雾球")</f>
        <v>薄雾球</v>
      </c>
    </row>
    <row r="298">
      <c r="A298" s="5" t="str">
        <f t="shared" si="3"/>
        <v>NAME_MOVE_FEATHERDANCE</v>
      </c>
      <c r="B298" s="3" t="s">
        <v>15083</v>
      </c>
      <c r="C298" s="3" t="s">
        <v>15084</v>
      </c>
      <c r="D298" s="3" t="s">
        <v>15085</v>
      </c>
      <c r="E298" s="3" t="s">
        <v>15086</v>
      </c>
      <c r="F298" s="3" t="s">
        <v>15087</v>
      </c>
      <c r="G298" s="3" t="s">
        <v>15088</v>
      </c>
      <c r="H298" s="3" t="s">
        <v>15089</v>
      </c>
      <c r="I298" s="3" t="s">
        <v>15090</v>
      </c>
      <c r="J298" s="5" t="str">
        <f>I298</f>
        <v>羽毛舞</v>
      </c>
    </row>
    <row r="299">
      <c r="A299" s="5" t="str">
        <f t="shared" si="3"/>
        <v>NAME_MOVE_TEETERDANCE</v>
      </c>
      <c r="B299" s="3" t="s">
        <v>15091</v>
      </c>
      <c r="C299" s="3" t="s">
        <v>15092</v>
      </c>
      <c r="D299" s="3" t="s">
        <v>15093</v>
      </c>
      <c r="E299" s="3" t="s">
        <v>15094</v>
      </c>
      <c r="F299" s="3" t="s">
        <v>15095</v>
      </c>
      <c r="G299" s="3" t="s">
        <v>15096</v>
      </c>
      <c r="H299" s="3" t="s">
        <v>15097</v>
      </c>
      <c r="I299" s="3" t="s">
        <v>15098</v>
      </c>
      <c r="J299" s="5" t="str">
        <f>IFERROR(__xludf.DUMMYFUNCTION("GOOGLETRANSLATE(I299,""zh_HANT"",""zh_HANS"")"),"摇晃舞")</f>
        <v>摇晃舞</v>
      </c>
    </row>
    <row r="300">
      <c r="A300" s="5" t="str">
        <f t="shared" si="3"/>
        <v>NAME_MOVE_BLAZEKICK</v>
      </c>
      <c r="B300" s="3" t="s">
        <v>15099</v>
      </c>
      <c r="C300" s="3" t="s">
        <v>15100</v>
      </c>
      <c r="D300" s="3" t="s">
        <v>15101</v>
      </c>
      <c r="E300" s="3" t="s">
        <v>15102</v>
      </c>
      <c r="F300" s="3" t="s">
        <v>15103</v>
      </c>
      <c r="G300" s="3" t="s">
        <v>15104</v>
      </c>
      <c r="H300" s="7" t="s">
        <v>15105</v>
      </c>
      <c r="I300" s="7" t="s">
        <v>15106</v>
      </c>
      <c r="J300" s="5" t="str">
        <f t="shared" ref="J300:J303" si="27">I300</f>
        <v>火焰踢</v>
      </c>
    </row>
    <row r="301">
      <c r="A301" s="5" t="str">
        <f t="shared" si="3"/>
        <v>NAME_MOVE_MUDSPORT</v>
      </c>
      <c r="B301" s="3" t="s">
        <v>15107</v>
      </c>
      <c r="C301" s="3" t="s">
        <v>15108</v>
      </c>
      <c r="D301" s="3" t="s">
        <v>15109</v>
      </c>
      <c r="E301" s="3" t="s">
        <v>15110</v>
      </c>
      <c r="F301" s="3" t="s">
        <v>15111</v>
      </c>
      <c r="G301" s="3" t="s">
        <v>15112</v>
      </c>
      <c r="H301" s="7" t="s">
        <v>15113</v>
      </c>
      <c r="I301" s="7" t="s">
        <v>15114</v>
      </c>
      <c r="J301" s="5" t="str">
        <f t="shared" si="27"/>
        <v>玩泥巴</v>
      </c>
    </row>
    <row r="302">
      <c r="A302" s="5" t="str">
        <f t="shared" si="3"/>
        <v>NAME_MOVE_ICEBALL</v>
      </c>
      <c r="B302" s="3" t="s">
        <v>15115</v>
      </c>
      <c r="C302" s="3" t="s">
        <v>15116</v>
      </c>
      <c r="D302" s="3" t="s">
        <v>15117</v>
      </c>
      <c r="E302" s="3" t="s">
        <v>15118</v>
      </c>
      <c r="F302" s="3" t="s">
        <v>15119</v>
      </c>
      <c r="G302" s="3" t="s">
        <v>15120</v>
      </c>
      <c r="H302" s="7" t="s">
        <v>15121</v>
      </c>
      <c r="I302" s="7" t="s">
        <v>15122</v>
      </c>
      <c r="J302" s="5" t="str">
        <f t="shared" si="27"/>
        <v>冰球</v>
      </c>
    </row>
    <row r="303">
      <c r="A303" s="5" t="str">
        <f t="shared" si="3"/>
        <v>NAME_MOVE_NEEDLEARM</v>
      </c>
      <c r="B303" s="3" t="s">
        <v>15123</v>
      </c>
      <c r="C303" s="3" t="s">
        <v>15124</v>
      </c>
      <c r="D303" s="3" t="s">
        <v>15125</v>
      </c>
      <c r="E303" s="3" t="s">
        <v>15126</v>
      </c>
      <c r="F303" s="3" t="s">
        <v>15127</v>
      </c>
      <c r="G303" s="3" t="s">
        <v>15128</v>
      </c>
      <c r="H303" s="7" t="s">
        <v>15129</v>
      </c>
      <c r="I303" s="7" t="s">
        <v>15130</v>
      </c>
      <c r="J303" s="5" t="str">
        <f t="shared" si="27"/>
        <v>尖刺臂</v>
      </c>
    </row>
    <row r="304">
      <c r="A304" s="5" t="str">
        <f t="shared" si="3"/>
        <v>NAME_MOVE_SLACKOFF</v>
      </c>
      <c r="B304" s="3" t="s">
        <v>15131</v>
      </c>
      <c r="C304" s="3" t="s">
        <v>15132</v>
      </c>
      <c r="D304" s="3" t="s">
        <v>15133</v>
      </c>
      <c r="E304" s="3" t="s">
        <v>15134</v>
      </c>
      <c r="F304" s="3" t="s">
        <v>15135</v>
      </c>
      <c r="G304" s="3" t="s">
        <v>15136</v>
      </c>
      <c r="H304" s="3" t="s">
        <v>15137</v>
      </c>
      <c r="I304" s="3" t="s">
        <v>15138</v>
      </c>
      <c r="J304" s="5" t="str">
        <f>IFERROR(__xludf.DUMMYFUNCTION("GOOGLETRANSLATE(I304,""zh_HANT"",""zh_HANS"")"),"偷懒")</f>
        <v>偷懒</v>
      </c>
    </row>
    <row r="305">
      <c r="A305" s="5" t="str">
        <f t="shared" si="3"/>
        <v>NAME_MOVE_HYPERVOICE</v>
      </c>
      <c r="B305" s="3" t="s">
        <v>15139</v>
      </c>
      <c r="C305" s="3" t="s">
        <v>15140</v>
      </c>
      <c r="D305" s="3" t="s">
        <v>15141</v>
      </c>
      <c r="E305" s="3" t="s">
        <v>15142</v>
      </c>
      <c r="F305" s="3" t="s">
        <v>15143</v>
      </c>
      <c r="G305" s="3" t="s">
        <v>15144</v>
      </c>
      <c r="H305" s="3" t="s">
        <v>15145</v>
      </c>
      <c r="I305" s="3" t="s">
        <v>15146</v>
      </c>
      <c r="J305" s="5" t="str">
        <f>IFERROR(__xludf.DUMMYFUNCTION("GOOGLETRANSLATE(I305,""zh_HANT"",""zh_HANS"")"),"巨声")</f>
        <v>巨声</v>
      </c>
    </row>
    <row r="306">
      <c r="A306" s="5" t="str">
        <f t="shared" si="3"/>
        <v>NAME_MOVE_POISONFANG</v>
      </c>
      <c r="B306" s="3" t="s">
        <v>15147</v>
      </c>
      <c r="C306" s="3" t="s">
        <v>15148</v>
      </c>
      <c r="D306" s="3" t="s">
        <v>15149</v>
      </c>
      <c r="E306" s="3" t="s">
        <v>15150</v>
      </c>
      <c r="F306" s="3" t="s">
        <v>15151</v>
      </c>
      <c r="G306" s="3" t="s">
        <v>15152</v>
      </c>
      <c r="H306" s="3" t="s">
        <v>15153</v>
      </c>
      <c r="I306" s="3" t="s">
        <v>15154</v>
      </c>
      <c r="J306" s="5" t="str">
        <f>IFERROR(__xludf.DUMMYFUNCTION("GOOGLETRANSLATE(I306,""zh_HANT"",""zh_HANS"")"),"剧毒牙")</f>
        <v>剧毒牙</v>
      </c>
    </row>
    <row r="307">
      <c r="A307" s="5" t="str">
        <f t="shared" si="3"/>
        <v>NAME_MOVE_CRUSHCLAW</v>
      </c>
      <c r="B307" s="3" t="s">
        <v>15155</v>
      </c>
      <c r="C307" s="3" t="s">
        <v>15156</v>
      </c>
      <c r="D307" s="3" t="s">
        <v>15157</v>
      </c>
      <c r="E307" s="3" t="s">
        <v>15158</v>
      </c>
      <c r="F307" s="3" t="s">
        <v>15159</v>
      </c>
      <c r="G307" s="3" t="s">
        <v>15160</v>
      </c>
      <c r="H307" s="3" t="s">
        <v>15161</v>
      </c>
      <c r="I307" s="3" t="s">
        <v>15162</v>
      </c>
      <c r="J307" s="5" t="str">
        <f t="shared" ref="J307:J308" si="28">I307</f>
        <v>撕裂爪</v>
      </c>
    </row>
    <row r="308">
      <c r="A308" s="5" t="str">
        <f t="shared" si="3"/>
        <v>NAME_MOVE_BLASTBURN</v>
      </c>
      <c r="B308" s="3" t="s">
        <v>15163</v>
      </c>
      <c r="C308" s="3" t="s">
        <v>15164</v>
      </c>
      <c r="D308" s="3" t="s">
        <v>15165</v>
      </c>
      <c r="E308" s="3" t="s">
        <v>15166</v>
      </c>
      <c r="F308" s="3" t="s">
        <v>15167</v>
      </c>
      <c r="G308" s="3" t="s">
        <v>15168</v>
      </c>
      <c r="H308" s="3" t="s">
        <v>15169</v>
      </c>
      <c r="I308" s="3" t="s">
        <v>15170</v>
      </c>
      <c r="J308" s="5" t="str">
        <f t="shared" si="28"/>
        <v>爆炸烈焰</v>
      </c>
    </row>
    <row r="309">
      <c r="A309" s="5" t="str">
        <f t="shared" si="3"/>
        <v>NAME_MOVE_HYDROCANNON</v>
      </c>
      <c r="B309" s="3" t="s">
        <v>15171</v>
      </c>
      <c r="C309" s="3" t="s">
        <v>15172</v>
      </c>
      <c r="D309" s="3" t="s">
        <v>15173</v>
      </c>
      <c r="E309" s="3" t="s">
        <v>15174</v>
      </c>
      <c r="F309" s="3" t="s">
        <v>15175</v>
      </c>
      <c r="G309" s="3" t="s">
        <v>15176</v>
      </c>
      <c r="H309" s="3" t="s">
        <v>15177</v>
      </c>
      <c r="I309" s="3" t="s">
        <v>15178</v>
      </c>
      <c r="J309" s="5" t="str">
        <f>IFERROR(__xludf.DUMMYFUNCTION("GOOGLETRANSLATE(I309,""zh_HANT"",""zh_HANS"")"),"加农水炮")</f>
        <v>加农水炮</v>
      </c>
    </row>
    <row r="310">
      <c r="A310" s="5" t="str">
        <f t="shared" si="3"/>
        <v>NAME_MOVE_METEORMASH</v>
      </c>
      <c r="B310" s="3" t="s">
        <v>15179</v>
      </c>
      <c r="C310" s="3" t="s">
        <v>15180</v>
      </c>
      <c r="D310" s="3" t="s">
        <v>15181</v>
      </c>
      <c r="E310" s="3" t="s">
        <v>15182</v>
      </c>
      <c r="F310" s="3" t="s">
        <v>15183</v>
      </c>
      <c r="G310" s="3" t="s">
        <v>15184</v>
      </c>
      <c r="H310" s="3" t="s">
        <v>15185</v>
      </c>
      <c r="I310" s="3" t="s">
        <v>15186</v>
      </c>
      <c r="J310" s="5" t="str">
        <f>I310</f>
        <v>彗星拳</v>
      </c>
    </row>
    <row r="311">
      <c r="A311" s="5" t="str">
        <f t="shared" si="3"/>
        <v>NAME_MOVE_ASTONISH</v>
      </c>
      <c r="B311" s="3" t="s">
        <v>15187</v>
      </c>
      <c r="C311" s="3" t="s">
        <v>15188</v>
      </c>
      <c r="D311" s="3" t="s">
        <v>15189</v>
      </c>
      <c r="E311" s="3" t="s">
        <v>15190</v>
      </c>
      <c r="F311" s="3" t="s">
        <v>15191</v>
      </c>
      <c r="G311" s="3" t="s">
        <v>15192</v>
      </c>
      <c r="H311" s="3" t="s">
        <v>15193</v>
      </c>
      <c r="I311" s="3" t="s">
        <v>15194</v>
      </c>
      <c r="J311" s="5" t="str">
        <f>IFERROR(__xludf.DUMMYFUNCTION("GOOGLETRANSLATE(I311,""zh_HANT"",""zh_HANS"")"),"惊吓")</f>
        <v>惊吓</v>
      </c>
    </row>
    <row r="312">
      <c r="A312" s="5" t="str">
        <f t="shared" si="3"/>
        <v>NAME_MOVE_WEATHERBALL</v>
      </c>
      <c r="B312" s="3" t="s">
        <v>15195</v>
      </c>
      <c r="C312" s="3" t="s">
        <v>15196</v>
      </c>
      <c r="D312" s="3" t="s">
        <v>15197</v>
      </c>
      <c r="E312" s="3" t="s">
        <v>15198</v>
      </c>
      <c r="F312" s="3" t="s">
        <v>15199</v>
      </c>
      <c r="G312" s="3" t="s">
        <v>15200</v>
      </c>
      <c r="H312" s="3" t="s">
        <v>15201</v>
      </c>
      <c r="I312" s="3" t="s">
        <v>15202</v>
      </c>
      <c r="J312" s="5" t="str">
        <f>IFERROR(__xludf.DUMMYFUNCTION("GOOGLETRANSLATE(I312,""zh_HANT"",""zh_HANS"")"),"气象球")</f>
        <v>气象球</v>
      </c>
    </row>
    <row r="313">
      <c r="A313" s="5" t="str">
        <f t="shared" si="3"/>
        <v>NAME_MOVE_AROMATHERAPY</v>
      </c>
      <c r="B313" s="3" t="s">
        <v>15203</v>
      </c>
      <c r="C313" s="3" t="s">
        <v>15204</v>
      </c>
      <c r="D313" s="3" t="s">
        <v>15205</v>
      </c>
      <c r="E313" s="3" t="s">
        <v>15206</v>
      </c>
      <c r="F313" s="3" t="s">
        <v>15207</v>
      </c>
      <c r="G313" s="3" t="s">
        <v>15207</v>
      </c>
      <c r="H313" s="3" t="s">
        <v>15208</v>
      </c>
      <c r="I313" s="3" t="s">
        <v>15209</v>
      </c>
      <c r="J313" s="5" t="str">
        <f>IFERROR(__xludf.DUMMYFUNCTION("GOOGLETRANSLATE(I313,""zh_HANT"",""zh_HANS"")"),"芳香治疗")</f>
        <v>芳香治疗</v>
      </c>
    </row>
    <row r="314">
      <c r="A314" s="5" t="str">
        <f t="shared" si="3"/>
        <v>NAME_MOVE_FAKETEARS</v>
      </c>
      <c r="B314" s="3" t="s">
        <v>15210</v>
      </c>
      <c r="C314" s="3" t="s">
        <v>15211</v>
      </c>
      <c r="D314" s="3" t="s">
        <v>15212</v>
      </c>
      <c r="E314" s="3" t="s">
        <v>15213</v>
      </c>
      <c r="F314" s="3" t="s">
        <v>15214</v>
      </c>
      <c r="G314" s="3" t="s">
        <v>15215</v>
      </c>
      <c r="H314" s="3" t="s">
        <v>15216</v>
      </c>
      <c r="I314" s="3" t="s">
        <v>15217</v>
      </c>
      <c r="J314" s="5" t="str">
        <f>I314</f>
        <v>假哭</v>
      </c>
    </row>
    <row r="315">
      <c r="A315" s="5" t="str">
        <f t="shared" si="3"/>
        <v>NAME_MOVE_AIRCUTTER</v>
      </c>
      <c r="B315" s="3" t="s">
        <v>15218</v>
      </c>
      <c r="C315" s="3" t="s">
        <v>15219</v>
      </c>
      <c r="D315" s="3" t="s">
        <v>15220</v>
      </c>
      <c r="E315" s="3" t="s">
        <v>15221</v>
      </c>
      <c r="F315" s="3" t="s">
        <v>15222</v>
      </c>
      <c r="G315" s="3" t="s">
        <v>15223</v>
      </c>
      <c r="H315" s="3" t="s">
        <v>15224</v>
      </c>
      <c r="I315" s="3" t="s">
        <v>15225</v>
      </c>
      <c r="J315" s="5" t="str">
        <f>IFERROR(__xludf.DUMMYFUNCTION("GOOGLETRANSLATE(I315,""zh_HANT"",""zh_HANS"")"),"空气利刃")</f>
        <v>空气利刃</v>
      </c>
    </row>
    <row r="316">
      <c r="A316" s="5" t="str">
        <f t="shared" si="3"/>
        <v>NAME_MOVE_OVERHEAT</v>
      </c>
      <c r="B316" s="3" t="s">
        <v>15226</v>
      </c>
      <c r="C316" s="3" t="s">
        <v>15227</v>
      </c>
      <c r="D316" s="3" t="s">
        <v>15228</v>
      </c>
      <c r="E316" s="3" t="s">
        <v>15229</v>
      </c>
      <c r="F316" s="3" t="s">
        <v>15230</v>
      </c>
      <c r="G316" s="3" t="s">
        <v>15231</v>
      </c>
      <c r="H316" s="3" t="s">
        <v>15232</v>
      </c>
      <c r="I316" s="3" t="s">
        <v>15233</v>
      </c>
      <c r="J316" s="5" t="str">
        <f>IFERROR(__xludf.DUMMYFUNCTION("GOOGLETRANSLATE(I316,""zh_HANT"",""zh_HANS"")"),"过热")</f>
        <v>过热</v>
      </c>
    </row>
    <row r="317">
      <c r="A317" s="5" t="str">
        <f t="shared" si="3"/>
        <v>NAME_MOVE_ODORSLEUTH</v>
      </c>
      <c r="B317" s="3" t="s">
        <v>15234</v>
      </c>
      <c r="C317" s="3" t="s">
        <v>15235</v>
      </c>
      <c r="D317" s="3" t="s">
        <v>15236</v>
      </c>
      <c r="E317" s="3" t="s">
        <v>15237</v>
      </c>
      <c r="F317" s="3" t="s">
        <v>15238</v>
      </c>
      <c r="G317" s="3" t="s">
        <v>15239</v>
      </c>
      <c r="H317" s="3" t="s">
        <v>15240</v>
      </c>
      <c r="I317" s="3" t="s">
        <v>15241</v>
      </c>
      <c r="J317" s="5" t="str">
        <f>IFERROR(__xludf.DUMMYFUNCTION("GOOGLETRANSLATE(I317,""zh_HANT"",""zh_HANS"")"),"气味侦测")</f>
        <v>气味侦测</v>
      </c>
    </row>
    <row r="318">
      <c r="A318" s="5" t="str">
        <f t="shared" si="3"/>
        <v>NAME_MOVE_ROCKTOMB</v>
      </c>
      <c r="B318" s="3" t="s">
        <v>15242</v>
      </c>
      <c r="C318" s="3" t="s">
        <v>15243</v>
      </c>
      <c r="D318" s="3" t="s">
        <v>15244</v>
      </c>
      <c r="E318" s="3" t="s">
        <v>15245</v>
      </c>
      <c r="F318" s="3" t="s">
        <v>15246</v>
      </c>
      <c r="G318" s="3" t="s">
        <v>15247</v>
      </c>
      <c r="H318" s="3" t="s">
        <v>15248</v>
      </c>
      <c r="I318" s="3" t="s">
        <v>15249</v>
      </c>
      <c r="J318" s="5" t="str">
        <f>IFERROR(__xludf.DUMMYFUNCTION("GOOGLETRANSLATE(I318,""zh_HANT"",""zh_HANS"")"),"岩石封锁")</f>
        <v>岩石封锁</v>
      </c>
    </row>
    <row r="319">
      <c r="A319" s="5" t="str">
        <f t="shared" si="3"/>
        <v>NAME_MOVE_SILVERWIND</v>
      </c>
      <c r="B319" s="3" t="s">
        <v>15250</v>
      </c>
      <c r="C319" s="3" t="s">
        <v>15251</v>
      </c>
      <c r="D319" s="3" t="s">
        <v>15252</v>
      </c>
      <c r="E319" s="3" t="s">
        <v>15253</v>
      </c>
      <c r="F319" s="3" t="s">
        <v>15254</v>
      </c>
      <c r="G319" s="3" t="s">
        <v>15255</v>
      </c>
      <c r="H319" s="3" t="s">
        <v>15256</v>
      </c>
      <c r="I319" s="3" t="s">
        <v>15257</v>
      </c>
      <c r="J319" s="5" t="str">
        <f>IFERROR(__xludf.DUMMYFUNCTION("GOOGLETRANSLATE(I319,""zh_HANT"",""zh_HANS"")"),"银色旋风")</f>
        <v>银色旋风</v>
      </c>
    </row>
    <row r="320">
      <c r="A320" s="5" t="str">
        <f t="shared" si="3"/>
        <v>NAME_MOVE_METALSOUND</v>
      </c>
      <c r="B320" s="3" t="s">
        <v>15258</v>
      </c>
      <c r="C320" s="3" t="s">
        <v>15259</v>
      </c>
      <c r="D320" s="3" t="s">
        <v>15260</v>
      </c>
      <c r="E320" s="3" t="s">
        <v>15261</v>
      </c>
      <c r="F320" s="3" t="s">
        <v>15262</v>
      </c>
      <c r="G320" s="3" t="s">
        <v>15263</v>
      </c>
      <c r="H320" s="3" t="s">
        <v>15264</v>
      </c>
      <c r="I320" s="3" t="s">
        <v>15265</v>
      </c>
      <c r="J320" s="5" t="str">
        <f>IFERROR(__xludf.DUMMYFUNCTION("GOOGLETRANSLATE(I320,""zh_HANT"",""zh_HANS"")"),"金属音")</f>
        <v>金属音</v>
      </c>
    </row>
    <row r="321">
      <c r="A321" s="5" t="str">
        <f t="shared" si="3"/>
        <v>NAME_MOVE_GRASSWHISTLE</v>
      </c>
      <c r="B321" s="3" t="s">
        <v>15266</v>
      </c>
      <c r="C321" s="3" t="s">
        <v>15267</v>
      </c>
      <c r="D321" s="3" t="s">
        <v>15268</v>
      </c>
      <c r="E321" s="3" t="s">
        <v>15269</v>
      </c>
      <c r="F321" s="3" t="s">
        <v>15270</v>
      </c>
      <c r="G321" s="3" t="s">
        <v>15271</v>
      </c>
      <c r="H321" s="3" t="s">
        <v>15272</v>
      </c>
      <c r="I321" s="3" t="s">
        <v>15273</v>
      </c>
      <c r="J321" s="5" t="str">
        <f>IFERROR(__xludf.DUMMYFUNCTION("GOOGLETRANSLATE(I321,""zh_HANT"",""zh_HANS"")"),"草笛")</f>
        <v>草笛</v>
      </c>
    </row>
    <row r="322">
      <c r="A322" s="5" t="str">
        <f t="shared" si="3"/>
        <v>NAME_MOVE_TICKLE</v>
      </c>
      <c r="B322" s="3" t="s">
        <v>15274</v>
      </c>
      <c r="C322" s="3" t="s">
        <v>15275</v>
      </c>
      <c r="D322" s="3" t="s">
        <v>15276</v>
      </c>
      <c r="E322" s="3" t="s">
        <v>15277</v>
      </c>
      <c r="F322" s="3" t="s">
        <v>15278</v>
      </c>
      <c r="G322" s="3" t="s">
        <v>15279</v>
      </c>
      <c r="H322" s="3" t="s">
        <v>15280</v>
      </c>
      <c r="I322" s="3" t="s">
        <v>15281</v>
      </c>
      <c r="J322" s="5" t="str">
        <f>IFERROR(__xludf.DUMMYFUNCTION("GOOGLETRANSLATE(I322,""zh_HANT"",""zh_HANS"")"),"挠痒")</f>
        <v>挠痒</v>
      </c>
    </row>
    <row r="323">
      <c r="A323" s="5" t="str">
        <f t="shared" si="3"/>
        <v>NAME_MOVE_COSMICPOWER</v>
      </c>
      <c r="B323" s="3" t="s">
        <v>15282</v>
      </c>
      <c r="C323" s="3" t="s">
        <v>15283</v>
      </c>
      <c r="D323" s="3" t="s">
        <v>15284</v>
      </c>
      <c r="E323" s="3" t="s">
        <v>15285</v>
      </c>
      <c r="F323" s="3" t="s">
        <v>15286</v>
      </c>
      <c r="G323" s="3" t="s">
        <v>15287</v>
      </c>
      <c r="H323" s="3" t="s">
        <v>15288</v>
      </c>
      <c r="I323" s="3" t="s">
        <v>15289</v>
      </c>
      <c r="J323" s="5" t="str">
        <f>I323</f>
        <v>宇宙力量</v>
      </c>
    </row>
    <row r="324">
      <c r="A324" s="5" t="str">
        <f t="shared" si="3"/>
        <v>NAME_MOVE_WATERSPOUT</v>
      </c>
      <c r="B324" s="3" t="s">
        <v>15290</v>
      </c>
      <c r="C324" s="3" t="s">
        <v>15291</v>
      </c>
      <c r="D324" s="3" t="s">
        <v>15292</v>
      </c>
      <c r="E324" s="3" t="s">
        <v>15293</v>
      </c>
      <c r="F324" s="3" t="s">
        <v>15294</v>
      </c>
      <c r="G324" s="3" t="s">
        <v>11160</v>
      </c>
      <c r="H324" s="3" t="s">
        <v>15295</v>
      </c>
      <c r="I324" s="3" t="s">
        <v>15296</v>
      </c>
      <c r="J324" s="5" t="str">
        <f>IFERROR(__xludf.DUMMYFUNCTION("GOOGLETRANSLATE(I324,""zh_HANT"",""zh_HANS"")"),"喷水")</f>
        <v>喷水</v>
      </c>
    </row>
    <row r="325">
      <c r="A325" s="5" t="str">
        <f t="shared" si="3"/>
        <v>NAME_MOVE_SIGNALBEAM</v>
      </c>
      <c r="B325" s="3" t="s">
        <v>15297</v>
      </c>
      <c r="C325" s="3" t="s">
        <v>15298</v>
      </c>
      <c r="D325" s="3" t="s">
        <v>15299</v>
      </c>
      <c r="E325" s="3" t="s">
        <v>15300</v>
      </c>
      <c r="F325" s="3" t="s">
        <v>15301</v>
      </c>
      <c r="G325" s="3" t="s">
        <v>15302</v>
      </c>
      <c r="H325" s="3" t="s">
        <v>15303</v>
      </c>
      <c r="I325" s="3" t="s">
        <v>15304</v>
      </c>
      <c r="J325" s="5" t="str">
        <f>IFERROR(__xludf.DUMMYFUNCTION("GOOGLETRANSLATE(I325,""zh_HANT"",""zh_HANS"")"),"信号光束")</f>
        <v>信号光束</v>
      </c>
    </row>
    <row r="326">
      <c r="A326" s="5" t="str">
        <f t="shared" si="3"/>
        <v>NAME_MOVE_SHADOWPUNCH</v>
      </c>
      <c r="B326" s="3" t="s">
        <v>15305</v>
      </c>
      <c r="C326" s="3" t="s">
        <v>15306</v>
      </c>
      <c r="D326" s="3" t="s">
        <v>15307</v>
      </c>
      <c r="E326" s="3" t="s">
        <v>15308</v>
      </c>
      <c r="F326" s="3" t="s">
        <v>15309</v>
      </c>
      <c r="G326" s="3" t="s">
        <v>15310</v>
      </c>
      <c r="H326" s="3" t="s">
        <v>15311</v>
      </c>
      <c r="I326" s="3" t="s">
        <v>15312</v>
      </c>
      <c r="J326" s="5" t="str">
        <f t="shared" ref="J326:J327" si="29">I326</f>
        <v>暗影拳</v>
      </c>
    </row>
    <row r="327">
      <c r="A327" s="5" t="str">
        <f t="shared" si="3"/>
        <v>NAME_MOVE_EXTRASENSORY</v>
      </c>
      <c r="B327" s="3" t="s">
        <v>15313</v>
      </c>
      <c r="C327" s="3" t="s">
        <v>15314</v>
      </c>
      <c r="D327" s="3" t="s">
        <v>15315</v>
      </c>
      <c r="E327" s="3" t="s">
        <v>15316</v>
      </c>
      <c r="F327" s="3" t="s">
        <v>15317</v>
      </c>
      <c r="G327" s="3" t="s">
        <v>15318</v>
      </c>
      <c r="H327" s="3" t="s">
        <v>15319</v>
      </c>
      <c r="I327" s="3" t="s">
        <v>15320</v>
      </c>
      <c r="J327" s="5" t="str">
        <f t="shared" si="29"/>
        <v>神通力</v>
      </c>
    </row>
    <row r="328">
      <c r="A328" s="5" t="str">
        <f t="shared" si="3"/>
        <v>NAME_MOVE_SKYUPPERCUT</v>
      </c>
      <c r="B328" s="3" t="s">
        <v>15321</v>
      </c>
      <c r="C328" s="3" t="s">
        <v>15322</v>
      </c>
      <c r="D328" s="3" t="s">
        <v>15323</v>
      </c>
      <c r="E328" s="3" t="s">
        <v>15324</v>
      </c>
      <c r="F328" s="3" t="s">
        <v>15325</v>
      </c>
      <c r="G328" s="3" t="s">
        <v>15326</v>
      </c>
      <c r="H328" s="3" t="s">
        <v>15327</v>
      </c>
      <c r="I328" s="3" t="s">
        <v>15328</v>
      </c>
      <c r="J328" s="5" t="str">
        <f>IFERROR(__xludf.DUMMYFUNCTION("GOOGLETRANSLATE(I328,""zh_HANT"",""zh_HANS"")"),"冲天拳")</f>
        <v>冲天拳</v>
      </c>
    </row>
    <row r="329">
      <c r="A329" s="5" t="str">
        <f t="shared" si="3"/>
        <v>NAME_MOVE_SANDTOMB</v>
      </c>
      <c r="B329" s="3" t="s">
        <v>15329</v>
      </c>
      <c r="C329" s="3" t="s">
        <v>15330</v>
      </c>
      <c r="D329" s="3" t="s">
        <v>15331</v>
      </c>
      <c r="E329" s="3" t="s">
        <v>15332</v>
      </c>
      <c r="F329" s="3" t="s">
        <v>15333</v>
      </c>
      <c r="G329" s="3" t="s">
        <v>15334</v>
      </c>
      <c r="H329" s="3" t="s">
        <v>15335</v>
      </c>
      <c r="I329" s="3" t="s">
        <v>15336</v>
      </c>
      <c r="J329" s="3" t="s">
        <v>15337</v>
      </c>
    </row>
    <row r="330">
      <c r="A330" s="5" t="str">
        <f t="shared" si="3"/>
        <v>NAME_MOVE_SHEERCOLD</v>
      </c>
      <c r="B330" s="3" t="s">
        <v>15338</v>
      </c>
      <c r="C330" s="3" t="s">
        <v>15339</v>
      </c>
      <c r="D330" s="3" t="s">
        <v>15340</v>
      </c>
      <c r="E330" s="3" t="s">
        <v>15341</v>
      </c>
      <c r="F330" s="3" t="s">
        <v>15342</v>
      </c>
      <c r="G330" s="3" t="s">
        <v>15343</v>
      </c>
      <c r="H330" s="3" t="s">
        <v>15344</v>
      </c>
      <c r="I330" s="3" t="s">
        <v>15345</v>
      </c>
      <c r="J330" s="5" t="str">
        <f>IFERROR(__xludf.DUMMYFUNCTION("GOOGLETRANSLATE(I330,""zh_HANT"",""zh_HANS"")"),"绝对零度")</f>
        <v>绝对零度</v>
      </c>
    </row>
    <row r="331">
      <c r="A331" s="5" t="str">
        <f t="shared" si="3"/>
        <v>NAME_MOVE_MUDDYWATER</v>
      </c>
      <c r="B331" s="3" t="s">
        <v>15346</v>
      </c>
      <c r="C331" s="3" t="s">
        <v>15347</v>
      </c>
      <c r="D331" s="3" t="s">
        <v>15348</v>
      </c>
      <c r="E331" s="3" t="s">
        <v>15349</v>
      </c>
      <c r="F331" s="3" t="s">
        <v>15350</v>
      </c>
      <c r="G331" s="3" t="s">
        <v>15351</v>
      </c>
      <c r="H331" s="3" t="s">
        <v>15352</v>
      </c>
      <c r="I331" s="3" t="s">
        <v>15353</v>
      </c>
      <c r="J331" s="5" t="str">
        <f>IFERROR(__xludf.DUMMYFUNCTION("GOOGLETRANSLATE(I331,""zh_HANT"",""zh_HANS"")"),"浊流")</f>
        <v>浊流</v>
      </c>
    </row>
    <row r="332">
      <c r="A332" s="5" t="str">
        <f t="shared" si="3"/>
        <v>NAME_MOVE_BULLETSEED</v>
      </c>
      <c r="B332" s="3" t="s">
        <v>15354</v>
      </c>
      <c r="C332" s="3" t="s">
        <v>15355</v>
      </c>
      <c r="D332" s="3" t="s">
        <v>15356</v>
      </c>
      <c r="E332" s="3" t="s">
        <v>15357</v>
      </c>
      <c r="F332" s="3" t="s">
        <v>15358</v>
      </c>
      <c r="G332" s="3" t="s">
        <v>15359</v>
      </c>
      <c r="H332" s="3" t="s">
        <v>15360</v>
      </c>
      <c r="I332" s="3" t="s">
        <v>15361</v>
      </c>
      <c r="J332" s="5" t="str">
        <f>IFERROR(__xludf.DUMMYFUNCTION("GOOGLETRANSLATE(I332,""zh_HANT"",""zh_HANS"")"),"种子机关枪")</f>
        <v>种子机关枪</v>
      </c>
    </row>
    <row r="333">
      <c r="A333" s="5" t="str">
        <f t="shared" si="3"/>
        <v>NAME_MOVE_AERIALACE</v>
      </c>
      <c r="B333" s="3" t="s">
        <v>15362</v>
      </c>
      <c r="C333" s="3" t="s">
        <v>15363</v>
      </c>
      <c r="D333" s="3" t="s">
        <v>15364</v>
      </c>
      <c r="E333" s="3" t="s">
        <v>15365</v>
      </c>
      <c r="F333" s="3" t="s">
        <v>15366</v>
      </c>
      <c r="G333" s="3" t="s">
        <v>15367</v>
      </c>
      <c r="H333" s="3" t="s">
        <v>15368</v>
      </c>
      <c r="I333" s="3" t="s">
        <v>15369</v>
      </c>
      <c r="J333" s="5" t="str">
        <f>I333</f>
        <v>燕返</v>
      </c>
    </row>
    <row r="334">
      <c r="A334" s="5" t="str">
        <f t="shared" si="3"/>
        <v>NAME_MOVE_ICICLESPEAR</v>
      </c>
      <c r="B334" s="3" t="s">
        <v>15370</v>
      </c>
      <c r="C334" s="3" t="s">
        <v>15371</v>
      </c>
      <c r="D334" s="3" t="s">
        <v>15372</v>
      </c>
      <c r="E334" s="3" t="s">
        <v>15373</v>
      </c>
      <c r="F334" s="3" t="s">
        <v>15374</v>
      </c>
      <c r="G334" s="3" t="s">
        <v>15375</v>
      </c>
      <c r="H334" s="3" t="s">
        <v>15376</v>
      </c>
      <c r="I334" s="3" t="s">
        <v>15377</v>
      </c>
      <c r="J334" s="5" t="str">
        <f>IFERROR(__xludf.DUMMYFUNCTION("GOOGLETRANSLATE(I334,""zh_HANT"",""zh_HANS"")"),"冰锥")</f>
        <v>冰锥</v>
      </c>
    </row>
    <row r="335">
      <c r="A335" s="5" t="str">
        <f t="shared" si="3"/>
        <v>NAME_MOVE_IRONDEFENSE</v>
      </c>
      <c r="B335" s="3" t="s">
        <v>15378</v>
      </c>
      <c r="C335" s="3" t="s">
        <v>15379</v>
      </c>
      <c r="D335" s="3" t="s">
        <v>15380</v>
      </c>
      <c r="E335" s="3" t="s">
        <v>15381</v>
      </c>
      <c r="F335" s="3" t="s">
        <v>15382</v>
      </c>
      <c r="G335" s="3" t="s">
        <v>15383</v>
      </c>
      <c r="H335" s="3" t="s">
        <v>15384</v>
      </c>
      <c r="I335" s="3" t="s">
        <v>15385</v>
      </c>
      <c r="J335" s="5" t="str">
        <f>IFERROR(__xludf.DUMMYFUNCTION("GOOGLETRANSLATE(I335,""zh_HANT"",""zh_HANS"")"),"铁壁")</f>
        <v>铁壁</v>
      </c>
    </row>
    <row r="336">
      <c r="A336" s="5" t="str">
        <f t="shared" si="3"/>
        <v>NAME_MOVE_BLOCK</v>
      </c>
      <c r="B336" s="3" t="s">
        <v>15386</v>
      </c>
      <c r="C336" s="3" t="s">
        <v>15387</v>
      </c>
      <c r="D336" s="3" t="s">
        <v>12020</v>
      </c>
      <c r="E336" s="3" t="s">
        <v>15388</v>
      </c>
      <c r="F336" s="3" t="s">
        <v>15389</v>
      </c>
      <c r="G336" s="3" t="s">
        <v>15390</v>
      </c>
      <c r="H336" s="3" t="s">
        <v>15391</v>
      </c>
      <c r="I336" s="3" t="s">
        <v>15392</v>
      </c>
      <c r="J336" s="5" t="str">
        <f>IFERROR(__xludf.DUMMYFUNCTION("GOOGLETRANSLATE(I336,""zh_HANT"",""zh_HANS"")"),"挡路")</f>
        <v>挡路</v>
      </c>
    </row>
    <row r="337">
      <c r="A337" s="5" t="str">
        <f t="shared" si="3"/>
        <v>NAME_MOVE_HOWL</v>
      </c>
      <c r="B337" s="3" t="s">
        <v>15393</v>
      </c>
      <c r="C337" s="3" t="s">
        <v>15394</v>
      </c>
      <c r="D337" s="3" t="s">
        <v>15395</v>
      </c>
      <c r="E337" s="3" t="s">
        <v>15396</v>
      </c>
      <c r="F337" s="3" t="s">
        <v>15397</v>
      </c>
      <c r="G337" s="3" t="s">
        <v>15398</v>
      </c>
      <c r="H337" s="3" t="s">
        <v>15399</v>
      </c>
      <c r="I337" s="3" t="s">
        <v>15400</v>
      </c>
      <c r="J337" s="5" t="str">
        <f>IFERROR(__xludf.DUMMYFUNCTION("GOOGLETRANSLATE(I337,""zh_HANT"",""zh_HANS"")"),"长嚎")</f>
        <v>长嚎</v>
      </c>
    </row>
    <row r="338">
      <c r="A338" s="5" t="str">
        <f t="shared" si="3"/>
        <v>NAME_MOVE_DRAGONCLAW</v>
      </c>
      <c r="B338" s="3" t="s">
        <v>15401</v>
      </c>
      <c r="C338" s="3" t="s">
        <v>15402</v>
      </c>
      <c r="D338" s="3" t="s">
        <v>15403</v>
      </c>
      <c r="E338" s="3" t="s">
        <v>15404</v>
      </c>
      <c r="F338" s="3" t="s">
        <v>15405</v>
      </c>
      <c r="G338" s="3" t="s">
        <v>15406</v>
      </c>
      <c r="H338" s="3" t="s">
        <v>15407</v>
      </c>
      <c r="I338" s="3" t="s">
        <v>15408</v>
      </c>
      <c r="J338" s="5" t="str">
        <f>IFERROR(__xludf.DUMMYFUNCTION("GOOGLETRANSLATE(I338,""zh_HANT"",""zh_HANS"")"),"龙爪")</f>
        <v>龙爪</v>
      </c>
    </row>
    <row r="339">
      <c r="A339" s="5" t="str">
        <f t="shared" si="3"/>
        <v>NAME_MOVE_FRENZYPLANT</v>
      </c>
      <c r="B339" s="3" t="s">
        <v>15409</v>
      </c>
      <c r="C339" s="3" t="s">
        <v>15410</v>
      </c>
      <c r="D339" s="3" t="s">
        <v>15411</v>
      </c>
      <c r="E339" s="3" t="s">
        <v>15412</v>
      </c>
      <c r="F339" s="3" t="s">
        <v>15413</v>
      </c>
      <c r="G339" s="3" t="s">
        <v>15414</v>
      </c>
      <c r="H339" s="3" t="s">
        <v>15415</v>
      </c>
      <c r="I339" s="3" t="s">
        <v>15416</v>
      </c>
      <c r="J339" s="5" t="str">
        <f>IFERROR(__xludf.DUMMYFUNCTION("GOOGLETRANSLATE(I339,""zh_HANT"",""zh_HANS"")"),"疯狂植物")</f>
        <v>疯狂植物</v>
      </c>
    </row>
    <row r="340">
      <c r="A340" s="5" t="str">
        <f t="shared" si="3"/>
        <v>NAME_MOVE_BULKUP</v>
      </c>
      <c r="B340" s="3" t="s">
        <v>15417</v>
      </c>
      <c r="C340" s="3" t="s">
        <v>15418</v>
      </c>
      <c r="D340" s="3" t="s">
        <v>15419</v>
      </c>
      <c r="E340" s="3" t="s">
        <v>15420</v>
      </c>
      <c r="F340" s="3" t="s">
        <v>15421</v>
      </c>
      <c r="G340" s="3" t="s">
        <v>15422</v>
      </c>
      <c r="H340" s="3" t="s">
        <v>15423</v>
      </c>
      <c r="I340" s="3" t="s">
        <v>15424</v>
      </c>
      <c r="J340" s="5" t="str">
        <f>I340</f>
        <v>健美</v>
      </c>
    </row>
    <row r="341">
      <c r="A341" s="5" t="str">
        <f t="shared" si="3"/>
        <v>NAME_MOVE_BOUNCE</v>
      </c>
      <c r="B341" s="3" t="s">
        <v>15425</v>
      </c>
      <c r="C341" s="3" t="s">
        <v>15426</v>
      </c>
      <c r="D341" s="3" t="s">
        <v>15427</v>
      </c>
      <c r="E341" s="3" t="s">
        <v>15428</v>
      </c>
      <c r="F341" s="3" t="s">
        <v>15429</v>
      </c>
      <c r="G341" s="3" t="s">
        <v>15430</v>
      </c>
      <c r="H341" s="3" t="s">
        <v>15431</v>
      </c>
      <c r="I341" s="3" t="s">
        <v>15432</v>
      </c>
      <c r="J341" s="5" t="str">
        <f>IFERROR(__xludf.DUMMYFUNCTION("GOOGLETRANSLATE(I341,""zh_HANT"",""zh_HANS"")"),"弹跳")</f>
        <v>弹跳</v>
      </c>
    </row>
    <row r="342">
      <c r="A342" s="5" t="str">
        <f t="shared" si="3"/>
        <v>NAME_MOVE_MUDSHOT</v>
      </c>
      <c r="B342" s="3" t="s">
        <v>15433</v>
      </c>
      <c r="C342" s="3" t="s">
        <v>15434</v>
      </c>
      <c r="D342" s="3" t="s">
        <v>15435</v>
      </c>
      <c r="E342" s="3" t="s">
        <v>15436</v>
      </c>
      <c r="F342" s="3" t="s">
        <v>15437</v>
      </c>
      <c r="G342" s="3" t="s">
        <v>15438</v>
      </c>
      <c r="H342" s="3" t="s">
        <v>15439</v>
      </c>
      <c r="I342" s="3" t="s">
        <v>15440</v>
      </c>
      <c r="J342" s="5" t="str">
        <f>IFERROR(__xludf.DUMMYFUNCTION("GOOGLETRANSLATE(I342,""zh_HANT"",""zh_HANS"")"),"泥巴射击")</f>
        <v>泥巴射击</v>
      </c>
    </row>
    <row r="343">
      <c r="A343" s="5" t="str">
        <f t="shared" si="3"/>
        <v>NAME_MOVE_POISONTAIL</v>
      </c>
      <c r="B343" s="3" t="s">
        <v>15441</v>
      </c>
      <c r="C343" s="3" t="s">
        <v>15442</v>
      </c>
      <c r="D343" s="3" t="s">
        <v>15443</v>
      </c>
      <c r="E343" s="3" t="s">
        <v>15444</v>
      </c>
      <c r="F343" s="3" t="s">
        <v>15445</v>
      </c>
      <c r="G343" s="3" t="s">
        <v>15446</v>
      </c>
      <c r="H343" s="3" t="s">
        <v>15447</v>
      </c>
      <c r="I343" s="3" t="s">
        <v>15448</v>
      </c>
      <c r="J343" s="5" t="str">
        <f t="shared" ref="J343:J344" si="30">I343</f>
        <v>毒尾</v>
      </c>
    </row>
    <row r="344">
      <c r="A344" s="5" t="str">
        <f t="shared" si="3"/>
        <v>NAME_MOVE_COVET</v>
      </c>
      <c r="B344" s="3" t="s">
        <v>15449</v>
      </c>
      <c r="C344" s="3" t="s">
        <v>15450</v>
      </c>
      <c r="D344" s="3" t="s">
        <v>15451</v>
      </c>
      <c r="E344" s="3" t="s">
        <v>15452</v>
      </c>
      <c r="F344" s="3" t="s">
        <v>15453</v>
      </c>
      <c r="G344" s="3" t="s">
        <v>15454</v>
      </c>
      <c r="H344" s="3" t="s">
        <v>15455</v>
      </c>
      <c r="I344" s="3" t="s">
        <v>15456</v>
      </c>
      <c r="J344" s="5" t="str">
        <f t="shared" si="30"/>
        <v>渴望</v>
      </c>
    </row>
    <row r="345">
      <c r="A345" s="5" t="str">
        <f t="shared" si="3"/>
        <v>NAME_MOVE_VOLTTACKLE</v>
      </c>
      <c r="B345" s="3" t="s">
        <v>15457</v>
      </c>
      <c r="C345" s="3" t="s">
        <v>15458</v>
      </c>
      <c r="D345" s="3" t="s">
        <v>15459</v>
      </c>
      <c r="E345" s="3" t="s">
        <v>15460</v>
      </c>
      <c r="F345" s="3" t="s">
        <v>15461</v>
      </c>
      <c r="G345" s="3" t="s">
        <v>15462</v>
      </c>
      <c r="H345" s="3" t="s">
        <v>15463</v>
      </c>
      <c r="I345" s="3" t="s">
        <v>15464</v>
      </c>
      <c r="J345" s="5" t="str">
        <f>IFERROR(__xludf.DUMMYFUNCTION("GOOGLETRANSLATE(I345,""zh_HANT"",""zh_HANS"")"),"伏特攻击")</f>
        <v>伏特攻击</v>
      </c>
    </row>
    <row r="346">
      <c r="A346" s="5" t="str">
        <f t="shared" si="3"/>
        <v>NAME_MOVE_MAGICALLEAF</v>
      </c>
      <c r="B346" s="3" t="s">
        <v>15465</v>
      </c>
      <c r="C346" s="3" t="s">
        <v>15466</v>
      </c>
      <c r="D346" s="3" t="s">
        <v>15467</v>
      </c>
      <c r="E346" s="3" t="s">
        <v>15468</v>
      </c>
      <c r="F346" s="3" t="s">
        <v>15469</v>
      </c>
      <c r="G346" s="3" t="s">
        <v>15470</v>
      </c>
      <c r="H346" s="3" t="s">
        <v>15471</v>
      </c>
      <c r="I346" s="3" t="s">
        <v>15472</v>
      </c>
      <c r="J346" s="5" t="str">
        <f>IFERROR(__xludf.DUMMYFUNCTION("GOOGLETRANSLATE(I346,""zh_HANT"",""zh_HANS"")"),"魔法叶")</f>
        <v>魔法叶</v>
      </c>
    </row>
    <row r="347">
      <c r="A347" s="5" t="str">
        <f t="shared" si="3"/>
        <v>NAME_MOVE_WATERSPORT</v>
      </c>
      <c r="B347" s="3" t="s">
        <v>15473</v>
      </c>
      <c r="C347" s="3" t="s">
        <v>15474</v>
      </c>
      <c r="D347" s="3" t="s">
        <v>15475</v>
      </c>
      <c r="E347" s="3" t="s">
        <v>15476</v>
      </c>
      <c r="F347" s="3" t="s">
        <v>15477</v>
      </c>
      <c r="G347" s="3" t="s">
        <v>15478</v>
      </c>
      <c r="H347" s="3" t="s">
        <v>15479</v>
      </c>
      <c r="I347" s="3" t="s">
        <v>15480</v>
      </c>
      <c r="J347" s="5" t="str">
        <f t="shared" ref="J347:J348" si="31">I347</f>
        <v>玩水</v>
      </c>
    </row>
    <row r="348">
      <c r="A348" s="5" t="str">
        <f t="shared" si="3"/>
        <v>NAME_MOVE_CALMMIND</v>
      </c>
      <c r="B348" s="3" t="s">
        <v>15481</v>
      </c>
      <c r="C348" s="3" t="s">
        <v>8884</v>
      </c>
      <c r="D348" s="3" t="s">
        <v>15482</v>
      </c>
      <c r="E348" s="3" t="s">
        <v>15483</v>
      </c>
      <c r="F348" s="3" t="s">
        <v>15484</v>
      </c>
      <c r="G348" s="3" t="s">
        <v>15485</v>
      </c>
      <c r="H348" s="3" t="s">
        <v>8887</v>
      </c>
      <c r="I348" s="3" t="s">
        <v>8888</v>
      </c>
      <c r="J348" s="5" t="str">
        <f t="shared" si="31"/>
        <v>冥想</v>
      </c>
    </row>
    <row r="349">
      <c r="A349" s="5" t="str">
        <f t="shared" si="3"/>
        <v>NAME_MOVE_LEAFBLADE</v>
      </c>
      <c r="B349" s="3" t="s">
        <v>15486</v>
      </c>
      <c r="C349" s="3" t="s">
        <v>15487</v>
      </c>
      <c r="D349" s="3" t="s">
        <v>15488</v>
      </c>
      <c r="E349" s="3" t="s">
        <v>15489</v>
      </c>
      <c r="F349" s="3" t="s">
        <v>15490</v>
      </c>
      <c r="G349" s="3" t="s">
        <v>15491</v>
      </c>
      <c r="H349" s="7" t="s">
        <v>15492</v>
      </c>
      <c r="I349" s="7" t="s">
        <v>15493</v>
      </c>
      <c r="J349" s="5" t="str">
        <f>IFERROR(__xludf.DUMMYFUNCTION("GOOGLETRANSLATE(I349,""zh_HANT"",""zh_HANS"")"),"叶刃")</f>
        <v>叶刃</v>
      </c>
    </row>
    <row r="350">
      <c r="A350" s="5" t="str">
        <f t="shared" si="3"/>
        <v>NAME_MOVE_DRAGONDANCE</v>
      </c>
      <c r="B350" s="3" t="s">
        <v>15494</v>
      </c>
      <c r="C350" s="3" t="s">
        <v>15495</v>
      </c>
      <c r="D350" s="3" t="s">
        <v>15496</v>
      </c>
      <c r="E350" s="3" t="s">
        <v>15497</v>
      </c>
      <c r="F350" s="3" t="s">
        <v>15498</v>
      </c>
      <c r="G350" s="3" t="s">
        <v>15499</v>
      </c>
      <c r="H350" s="7" t="s">
        <v>15500</v>
      </c>
      <c r="I350" s="7" t="s">
        <v>15501</v>
      </c>
      <c r="J350" s="5" t="str">
        <f>IFERROR(__xludf.DUMMYFUNCTION("GOOGLETRANSLATE(I350,""zh_HANT"",""zh_HANS"")"),"龙之舞")</f>
        <v>龙之舞</v>
      </c>
    </row>
    <row r="351">
      <c r="A351" s="5" t="str">
        <f t="shared" si="3"/>
        <v>NAME_MOVE_ROCKBLAST</v>
      </c>
      <c r="B351" s="3" t="s">
        <v>15502</v>
      </c>
      <c r="C351" s="3" t="s">
        <v>15503</v>
      </c>
      <c r="D351" s="3" t="s">
        <v>15504</v>
      </c>
      <c r="E351" s="3" t="s">
        <v>15505</v>
      </c>
      <c r="F351" s="3" t="s">
        <v>15506</v>
      </c>
      <c r="G351" s="3" t="s">
        <v>15507</v>
      </c>
      <c r="H351" s="7" t="s">
        <v>15508</v>
      </c>
      <c r="I351" s="7" t="s">
        <v>15509</v>
      </c>
      <c r="J351" s="5" t="str">
        <f>IFERROR(__xludf.DUMMYFUNCTION("GOOGLETRANSLATE(I351,""zh_HANT"",""zh_HANS"")"),"岩石爆击")</f>
        <v>岩石爆击</v>
      </c>
    </row>
    <row r="352">
      <c r="A352" s="5" t="str">
        <f t="shared" si="3"/>
        <v>NAME_MOVE_SHOCKWAVE</v>
      </c>
      <c r="B352" s="3" t="s">
        <v>15510</v>
      </c>
      <c r="C352" s="3" t="s">
        <v>15511</v>
      </c>
      <c r="D352" s="3" t="s">
        <v>15512</v>
      </c>
      <c r="E352" s="3" t="s">
        <v>15513</v>
      </c>
      <c r="F352" s="3" t="s">
        <v>15514</v>
      </c>
      <c r="G352" s="3" t="s">
        <v>15515</v>
      </c>
      <c r="H352" s="7" t="s">
        <v>15516</v>
      </c>
      <c r="I352" s="7" t="s">
        <v>15517</v>
      </c>
      <c r="J352" s="5" t="str">
        <f>IFERROR(__xludf.DUMMYFUNCTION("GOOGLETRANSLATE(I352,""zh_HANT"",""zh_HANS"")"),"电击波")</f>
        <v>电击波</v>
      </c>
    </row>
    <row r="353">
      <c r="A353" s="5" t="str">
        <f t="shared" si="3"/>
        <v>NAME_MOVE_WATERPULSE</v>
      </c>
      <c r="B353" s="3" t="s">
        <v>15518</v>
      </c>
      <c r="C353" s="3" t="s">
        <v>15519</v>
      </c>
      <c r="D353" s="3" t="s">
        <v>15520</v>
      </c>
      <c r="E353" s="3" t="s">
        <v>15521</v>
      </c>
      <c r="F353" s="3" t="s">
        <v>15522</v>
      </c>
      <c r="G353" s="3" t="s">
        <v>15523</v>
      </c>
      <c r="H353" s="7" t="s">
        <v>15524</v>
      </c>
      <c r="I353" s="7" t="s">
        <v>15525</v>
      </c>
      <c r="J353" s="5" t="str">
        <f>IFERROR(__xludf.DUMMYFUNCTION("GOOGLETRANSLATE(I353,""zh_HANT"",""zh_HANS"")"),"水之波动")</f>
        <v>水之波动</v>
      </c>
    </row>
    <row r="354">
      <c r="A354" s="5" t="str">
        <f t="shared" si="3"/>
        <v>NAME_MOVE_DOOMDESIRE</v>
      </c>
      <c r="B354" s="3" t="s">
        <v>15526</v>
      </c>
      <c r="C354" s="3" t="s">
        <v>15527</v>
      </c>
      <c r="D354" s="3" t="s">
        <v>15528</v>
      </c>
      <c r="E354" s="3" t="s">
        <v>15529</v>
      </c>
      <c r="F354" s="3" t="s">
        <v>15530</v>
      </c>
      <c r="G354" s="3" t="s">
        <v>15531</v>
      </c>
      <c r="H354" s="7" t="s">
        <v>15532</v>
      </c>
      <c r="I354" s="7" t="s">
        <v>15533</v>
      </c>
      <c r="J354" s="5" t="str">
        <f>IFERROR(__xludf.DUMMYFUNCTION("GOOGLETRANSLATE(I354,""zh_HANT"",""zh_HANS"")"),"破灭之愿")</f>
        <v>破灭之愿</v>
      </c>
    </row>
    <row r="355">
      <c r="A355" s="5" t="str">
        <f t="shared" si="3"/>
        <v>NAME_MOVE_PSYCHOBOOST</v>
      </c>
      <c r="B355" s="3" t="s">
        <v>15534</v>
      </c>
      <c r="C355" s="3" t="s">
        <v>15535</v>
      </c>
      <c r="D355" s="3" t="s">
        <v>15536</v>
      </c>
      <c r="E355" s="3" t="s">
        <v>15537</v>
      </c>
      <c r="F355" s="3" t="s">
        <v>15538</v>
      </c>
      <c r="G355" s="3" t="s">
        <v>15539</v>
      </c>
      <c r="H355" s="7" t="s">
        <v>15540</v>
      </c>
      <c r="I355" s="7" t="s">
        <v>15541</v>
      </c>
      <c r="J355" s="5" t="str">
        <f>IFERROR(__xludf.DUMMYFUNCTION("GOOGLETRANSLATE(I355,""zh_HANT"",""zh_HANS"")"),"精神突进")</f>
        <v>精神突进</v>
      </c>
    </row>
    <row r="356">
      <c r="A356" s="5" t="str">
        <f t="shared" si="3"/>
        <v>NAME_MOVE_ROOST</v>
      </c>
      <c r="B356" s="3" t="s">
        <v>15542</v>
      </c>
      <c r="C356" s="3" t="s">
        <v>15543</v>
      </c>
      <c r="D356" s="3" t="s">
        <v>15544</v>
      </c>
      <c r="E356" s="3" t="s">
        <v>15545</v>
      </c>
      <c r="F356" s="3" t="s">
        <v>15546</v>
      </c>
      <c r="G356" s="3" t="s">
        <v>15547</v>
      </c>
      <c r="H356" s="7" t="s">
        <v>15548</v>
      </c>
      <c r="I356" s="7" t="s">
        <v>15549</v>
      </c>
      <c r="J356" s="5" t="str">
        <f>IFERROR(__xludf.DUMMYFUNCTION("GOOGLETRANSLATE(I356,""zh_HANT"",""zh_HANS"")"),"羽栖")</f>
        <v>羽栖</v>
      </c>
    </row>
    <row r="357">
      <c r="A357" s="5" t="str">
        <f t="shared" si="3"/>
        <v>NAME_MOVE_GRAVITY</v>
      </c>
      <c r="B357" s="3" t="s">
        <v>15550</v>
      </c>
      <c r="C357" s="3" t="s">
        <v>15551</v>
      </c>
      <c r="D357" s="3" t="s">
        <v>15552</v>
      </c>
      <c r="E357" s="3" t="s">
        <v>15553</v>
      </c>
      <c r="F357" s="3" t="s">
        <v>15554</v>
      </c>
      <c r="G357" s="3" t="s">
        <v>15555</v>
      </c>
      <c r="H357" s="3" t="s">
        <v>15556</v>
      </c>
      <c r="I357" s="3" t="s">
        <v>15557</v>
      </c>
      <c r="J357" s="5" t="str">
        <f>I357</f>
        <v>重力</v>
      </c>
    </row>
    <row r="358">
      <c r="A358" s="5" t="str">
        <f t="shared" si="3"/>
        <v>NAME_MOVE_MIRACLEEYE</v>
      </c>
      <c r="B358" s="3" t="s">
        <v>15558</v>
      </c>
      <c r="C358" s="3" t="s">
        <v>15559</v>
      </c>
      <c r="D358" s="3" t="s">
        <v>15560</v>
      </c>
      <c r="E358" s="3" t="s">
        <v>15561</v>
      </c>
      <c r="F358" s="3" t="s">
        <v>15562</v>
      </c>
      <c r="G358" s="3" t="s">
        <v>15563</v>
      </c>
      <c r="H358" s="3" t="s">
        <v>15564</v>
      </c>
      <c r="I358" s="3" t="s">
        <v>15565</v>
      </c>
      <c r="J358" s="5" t="str">
        <f>IFERROR(__xludf.DUMMYFUNCTION("GOOGLETRANSLATE(I358,""zh_HANT"",""zh_HANS"")"),"奇迹之眼")</f>
        <v>奇迹之眼</v>
      </c>
    </row>
    <row r="359">
      <c r="A359" s="5" t="str">
        <f t="shared" si="3"/>
        <v>NAME_MOVE_WAKEUPSLAP</v>
      </c>
      <c r="B359" s="3" t="s">
        <v>15566</v>
      </c>
      <c r="C359" s="3" t="s">
        <v>15567</v>
      </c>
      <c r="D359" s="3" t="s">
        <v>15568</v>
      </c>
      <c r="E359" s="3" t="s">
        <v>15569</v>
      </c>
      <c r="F359" s="3" t="s">
        <v>15570</v>
      </c>
      <c r="G359" s="3" t="s">
        <v>15571</v>
      </c>
      <c r="H359" s="3" t="s">
        <v>15572</v>
      </c>
      <c r="I359" s="3" t="s">
        <v>15573</v>
      </c>
      <c r="J359" s="5" t="str">
        <f>IFERROR(__xludf.DUMMYFUNCTION("GOOGLETRANSLATE(I359,""zh_HANT"",""zh_HANS"")"),"唤醒巴掌")</f>
        <v>唤醒巴掌</v>
      </c>
    </row>
    <row r="360">
      <c r="A360" s="5" t="str">
        <f t="shared" si="3"/>
        <v>NAME_MOVE_HAMMERARM</v>
      </c>
      <c r="B360" s="3" t="s">
        <v>15574</v>
      </c>
      <c r="C360" s="3" t="s">
        <v>15575</v>
      </c>
      <c r="D360" s="3" t="s">
        <v>15576</v>
      </c>
      <c r="E360" s="3" t="s">
        <v>15577</v>
      </c>
      <c r="F360" s="3" t="s">
        <v>15578</v>
      </c>
      <c r="G360" s="3" t="s">
        <v>15579</v>
      </c>
      <c r="H360" s="3" t="s">
        <v>15580</v>
      </c>
      <c r="I360" s="3" t="s">
        <v>15581</v>
      </c>
      <c r="J360" s="5" t="str">
        <f>IFERROR(__xludf.DUMMYFUNCTION("GOOGLETRANSLATE(I360,""zh_HANT"",""zh_HANS"")"),"臂锤")</f>
        <v>臂锤</v>
      </c>
    </row>
    <row r="361">
      <c r="A361" s="5" t="str">
        <f t="shared" si="3"/>
        <v>NAME_MOVE_GYROBALL</v>
      </c>
      <c r="B361" s="3" t="s">
        <v>15582</v>
      </c>
      <c r="C361" s="3" t="s">
        <v>15583</v>
      </c>
      <c r="D361" s="3" t="s">
        <v>15584</v>
      </c>
      <c r="E361" s="3" t="s">
        <v>15585</v>
      </c>
      <c r="F361" s="3" t="s">
        <v>15586</v>
      </c>
      <c r="G361" s="3" t="s">
        <v>15587</v>
      </c>
      <c r="H361" s="3" t="s">
        <v>15588</v>
      </c>
      <c r="I361" s="3" t="s">
        <v>15589</v>
      </c>
      <c r="J361" s="5" t="str">
        <f>I361</f>
        <v>陀螺球</v>
      </c>
    </row>
    <row r="362">
      <c r="A362" s="5" t="str">
        <f t="shared" si="3"/>
        <v>NAME_MOVE_HEALINGWISH</v>
      </c>
      <c r="B362" s="3" t="s">
        <v>15590</v>
      </c>
      <c r="C362" s="3" t="s">
        <v>15591</v>
      </c>
      <c r="D362" s="3" t="s">
        <v>15592</v>
      </c>
      <c r="E362" s="3" t="s">
        <v>15593</v>
      </c>
      <c r="F362" s="3" t="s">
        <v>15594</v>
      </c>
      <c r="G362" s="3" t="s">
        <v>15595</v>
      </c>
      <c r="H362" s="3" t="s">
        <v>15596</v>
      </c>
      <c r="I362" s="3" t="s">
        <v>15597</v>
      </c>
      <c r="J362" s="5" t="str">
        <f>IFERROR(__xludf.DUMMYFUNCTION("GOOGLETRANSLATE(I362,""zh_HANT"",""zh_HANS"")"),"治愈之愿")</f>
        <v>治愈之愿</v>
      </c>
    </row>
    <row r="363">
      <c r="A363" s="5" t="str">
        <f t="shared" si="3"/>
        <v>NAME_MOVE_BRINE</v>
      </c>
      <c r="B363" s="3" t="s">
        <v>15598</v>
      </c>
      <c r="C363" s="3" t="s">
        <v>15599</v>
      </c>
      <c r="D363" s="3" t="s">
        <v>15600</v>
      </c>
      <c r="E363" s="3" t="s">
        <v>15601</v>
      </c>
      <c r="F363" s="3" t="s">
        <v>15602</v>
      </c>
      <c r="G363" s="3" t="s">
        <v>15603</v>
      </c>
      <c r="H363" s="3" t="s">
        <v>15604</v>
      </c>
      <c r="I363" s="3" t="s">
        <v>15605</v>
      </c>
      <c r="J363" s="5" t="str">
        <f>IFERROR(__xludf.DUMMYFUNCTION("GOOGLETRANSLATE(I363,""zh_HANT"",""zh_HANS"")"),"盐水")</f>
        <v>盐水</v>
      </c>
    </row>
    <row r="364">
      <c r="A364" s="5" t="str">
        <f t="shared" si="3"/>
        <v>NAME_MOVE_NATURALGIFT</v>
      </c>
      <c r="B364" s="3" t="s">
        <v>15606</v>
      </c>
      <c r="C364" s="3" t="s">
        <v>15607</v>
      </c>
      <c r="D364" s="3" t="s">
        <v>15608</v>
      </c>
      <c r="E364" s="3" t="s">
        <v>15609</v>
      </c>
      <c r="F364" s="3" t="s">
        <v>15610</v>
      </c>
      <c r="G364" s="3" t="s">
        <v>15611</v>
      </c>
      <c r="H364" s="3" t="s">
        <v>15612</v>
      </c>
      <c r="I364" s="3" t="s">
        <v>15613</v>
      </c>
      <c r="J364" s="5" t="str">
        <f t="shared" ref="J364:J366" si="32">I364</f>
        <v>自然之恩</v>
      </c>
    </row>
    <row r="365">
      <c r="A365" s="5" t="str">
        <f t="shared" si="3"/>
        <v>NAME_MOVE_FEINT</v>
      </c>
      <c r="B365" s="3" t="s">
        <v>15614</v>
      </c>
      <c r="C365" s="3" t="s">
        <v>15615</v>
      </c>
      <c r="D365" s="3" t="s">
        <v>15616</v>
      </c>
      <c r="E365" s="3" t="s">
        <v>15617</v>
      </c>
      <c r="F365" s="3" t="s">
        <v>15618</v>
      </c>
      <c r="G365" s="3" t="s">
        <v>15619</v>
      </c>
      <c r="H365" s="3" t="s">
        <v>15620</v>
      </c>
      <c r="I365" s="3" t="s">
        <v>15621</v>
      </c>
      <c r="J365" s="5" t="str">
        <f t="shared" si="32"/>
        <v>佯攻</v>
      </c>
    </row>
    <row r="366">
      <c r="A366" s="5" t="str">
        <f t="shared" si="3"/>
        <v>NAME_MOVE_PLUCK</v>
      </c>
      <c r="B366" s="3" t="s">
        <v>15622</v>
      </c>
      <c r="C366" s="3" t="s">
        <v>15623</v>
      </c>
      <c r="D366" s="3" t="s">
        <v>15624</v>
      </c>
      <c r="E366" s="3" t="s">
        <v>15625</v>
      </c>
      <c r="F366" s="3" t="s">
        <v>15626</v>
      </c>
      <c r="G366" s="3" t="s">
        <v>15627</v>
      </c>
      <c r="H366" s="3" t="s">
        <v>15628</v>
      </c>
      <c r="I366" s="3" t="s">
        <v>15629</v>
      </c>
      <c r="J366" s="5" t="str">
        <f t="shared" si="32"/>
        <v>啄食</v>
      </c>
    </row>
    <row r="367">
      <c r="A367" s="5" t="str">
        <f t="shared" si="3"/>
        <v>NAME_MOVE_TAILWIND</v>
      </c>
      <c r="B367" s="3" t="s">
        <v>15630</v>
      </c>
      <c r="C367" s="3" t="s">
        <v>15631</v>
      </c>
      <c r="D367" s="3" t="s">
        <v>15632</v>
      </c>
      <c r="E367" s="3" t="s">
        <v>15633</v>
      </c>
      <c r="F367" s="3" t="s">
        <v>15634</v>
      </c>
      <c r="G367" s="3" t="s">
        <v>15635</v>
      </c>
      <c r="H367" s="3" t="s">
        <v>15636</v>
      </c>
      <c r="I367" s="3" t="s">
        <v>15637</v>
      </c>
      <c r="J367" s="5" t="str">
        <f>IFERROR(__xludf.DUMMYFUNCTION("GOOGLETRANSLATE(I367,""zh_HANT"",""zh_HANS"")"),"顺风")</f>
        <v>顺风</v>
      </c>
    </row>
    <row r="368">
      <c r="A368" s="5" t="str">
        <f t="shared" si="3"/>
        <v>NAME_MOVE_ACUPRESSURE</v>
      </c>
      <c r="B368" s="3" t="s">
        <v>15638</v>
      </c>
      <c r="C368" s="3" t="s">
        <v>15639</v>
      </c>
      <c r="D368" s="3" t="s">
        <v>15640</v>
      </c>
      <c r="E368" s="3" t="s">
        <v>15641</v>
      </c>
      <c r="F368" s="3" t="s">
        <v>15642</v>
      </c>
      <c r="G368" s="3" t="s">
        <v>15643</v>
      </c>
      <c r="H368" s="3" t="s">
        <v>15644</v>
      </c>
      <c r="I368" s="3" t="s">
        <v>15645</v>
      </c>
      <c r="J368" s="5" t="str">
        <f>IFERROR(__xludf.DUMMYFUNCTION("GOOGLETRANSLATE(I368,""zh_HANT"",""zh_HANS"")"),"点穴")</f>
        <v>点穴</v>
      </c>
    </row>
    <row r="369">
      <c r="A369" s="5" t="str">
        <f t="shared" si="3"/>
        <v>NAME_MOVE_METALBURST</v>
      </c>
      <c r="B369" s="3" t="s">
        <v>15646</v>
      </c>
      <c r="C369" s="3" t="s">
        <v>15647</v>
      </c>
      <c r="D369" s="3" t="s">
        <v>15648</v>
      </c>
      <c r="E369" s="3" t="s">
        <v>15649</v>
      </c>
      <c r="F369" s="3" t="s">
        <v>15650</v>
      </c>
      <c r="G369" s="3" t="s">
        <v>15651</v>
      </c>
      <c r="H369" s="3" t="s">
        <v>15652</v>
      </c>
      <c r="I369" s="3" t="s">
        <v>15653</v>
      </c>
      <c r="J369" s="5" t="str">
        <f>IFERROR(__xludf.DUMMYFUNCTION("GOOGLETRANSLATE(I369,""zh_HANT"",""zh_HANS"")"),"金属爆炸")</f>
        <v>金属爆炸</v>
      </c>
    </row>
    <row r="370">
      <c r="A370" s="5" t="str">
        <f t="shared" si="3"/>
        <v>NAME_MOVE_UTURN</v>
      </c>
      <c r="B370" s="3" t="s">
        <v>15654</v>
      </c>
      <c r="C370" s="3" t="s">
        <v>15655</v>
      </c>
      <c r="D370" s="3" t="s">
        <v>15656</v>
      </c>
      <c r="E370" s="3" t="s">
        <v>15657</v>
      </c>
      <c r="F370" s="3" t="s">
        <v>15658</v>
      </c>
      <c r="G370" s="3" t="s">
        <v>15659</v>
      </c>
      <c r="H370" s="3" t="s">
        <v>15660</v>
      </c>
      <c r="I370" s="3" t="s">
        <v>15661</v>
      </c>
      <c r="J370" s="5" t="str">
        <f>I370</f>
        <v>急速折返</v>
      </c>
    </row>
    <row r="371">
      <c r="A371" s="5" t="str">
        <f t="shared" si="3"/>
        <v>NAME_MOVE_CLOSECOMBAT</v>
      </c>
      <c r="B371" s="3" t="s">
        <v>15662</v>
      </c>
      <c r="C371" s="3" t="s">
        <v>15663</v>
      </c>
      <c r="D371" s="3" t="s">
        <v>15662</v>
      </c>
      <c r="E371" s="3" t="s">
        <v>15664</v>
      </c>
      <c r="F371" s="3" t="s">
        <v>15665</v>
      </c>
      <c r="G371" s="3" t="s">
        <v>15666</v>
      </c>
      <c r="H371" s="3" t="s">
        <v>15667</v>
      </c>
      <c r="I371" s="3" t="s">
        <v>15668</v>
      </c>
      <c r="J371" s="5" t="str">
        <f>IFERROR(__xludf.DUMMYFUNCTION("GOOGLETRANSLATE(I371,""zh_HANT"",""zh_HANS"")"),"近身战")</f>
        <v>近身战</v>
      </c>
    </row>
    <row r="372">
      <c r="A372" s="5" t="str">
        <f t="shared" si="3"/>
        <v>NAME_MOVE_PAYBACK</v>
      </c>
      <c r="B372" s="3" t="s">
        <v>15669</v>
      </c>
      <c r="C372" s="3" t="s">
        <v>15670</v>
      </c>
      <c r="D372" s="3" t="s">
        <v>15671</v>
      </c>
      <c r="E372" s="3" t="s">
        <v>15672</v>
      </c>
      <c r="F372" s="3" t="s">
        <v>14950</v>
      </c>
      <c r="G372" s="3" t="s">
        <v>15673</v>
      </c>
      <c r="H372" s="3" t="s">
        <v>15674</v>
      </c>
      <c r="I372" s="3" t="s">
        <v>15675</v>
      </c>
      <c r="J372" s="5" t="str">
        <f>IFERROR(__xludf.DUMMYFUNCTION("GOOGLETRANSLATE(I372,""zh_HANT"",""zh_HANS"")"),"以牙还牙")</f>
        <v>以牙还牙</v>
      </c>
    </row>
    <row r="373">
      <c r="A373" s="5" t="str">
        <f t="shared" si="3"/>
        <v>NAME_MOVE_ASSURANCE</v>
      </c>
      <c r="B373" s="3" t="s">
        <v>15676</v>
      </c>
      <c r="C373" s="3" t="s">
        <v>15677</v>
      </c>
      <c r="D373" s="3" t="s">
        <v>15676</v>
      </c>
      <c r="E373" s="3" t="s">
        <v>15678</v>
      </c>
      <c r="F373" s="3" t="s">
        <v>15679</v>
      </c>
      <c r="G373" s="3" t="s">
        <v>15680</v>
      </c>
      <c r="H373" s="3" t="s">
        <v>15681</v>
      </c>
      <c r="I373" s="3" t="s">
        <v>15682</v>
      </c>
      <c r="J373" s="5" t="str">
        <f>IFERROR(__xludf.DUMMYFUNCTION("GOOGLETRANSLATE(I373,""zh_HANT"",""zh_HANS"")"),"恶意追击")</f>
        <v>恶意追击</v>
      </c>
    </row>
    <row r="374">
      <c r="A374" s="5" t="str">
        <f t="shared" si="3"/>
        <v>NAME_MOVE_EMBARGO</v>
      </c>
      <c r="B374" s="3" t="s">
        <v>15683</v>
      </c>
      <c r="C374" s="3" t="s">
        <v>15684</v>
      </c>
      <c r="D374" s="3" t="s">
        <v>15683</v>
      </c>
      <c r="E374" s="3" t="s">
        <v>15685</v>
      </c>
      <c r="F374" s="3" t="s">
        <v>15683</v>
      </c>
      <c r="G374" s="3" t="s">
        <v>15686</v>
      </c>
      <c r="H374" s="3" t="s">
        <v>15687</v>
      </c>
      <c r="I374" s="3" t="s">
        <v>15688</v>
      </c>
      <c r="J374" s="5" t="str">
        <f>I374</f>
        <v>查封</v>
      </c>
    </row>
    <row r="375">
      <c r="A375" s="5" t="str">
        <f t="shared" si="3"/>
        <v>NAME_MOVE_FLING</v>
      </c>
      <c r="B375" s="3" t="s">
        <v>15689</v>
      </c>
      <c r="C375" s="3" t="s">
        <v>15690</v>
      </c>
      <c r="D375" s="3" t="s">
        <v>15691</v>
      </c>
      <c r="E375" s="3" t="s">
        <v>15692</v>
      </c>
      <c r="F375" s="3" t="s">
        <v>11727</v>
      </c>
      <c r="G375" s="3" t="s">
        <v>15693</v>
      </c>
      <c r="H375" s="3" t="s">
        <v>15694</v>
      </c>
      <c r="I375" s="3" t="s">
        <v>15695</v>
      </c>
      <c r="J375" s="5" t="str">
        <f>IFERROR(__xludf.DUMMYFUNCTION("GOOGLETRANSLATE(I375,""zh_HANT"",""zh_HANS"")"),"投掷")</f>
        <v>投掷</v>
      </c>
    </row>
    <row r="376">
      <c r="A376" s="5" t="str">
        <f t="shared" si="3"/>
        <v>NAME_MOVE_PSYCHOSHIFT</v>
      </c>
      <c r="B376" s="3" t="s">
        <v>15696</v>
      </c>
      <c r="C376" s="3" t="s">
        <v>15697</v>
      </c>
      <c r="D376" s="3" t="s">
        <v>15698</v>
      </c>
      <c r="E376" s="3" t="s">
        <v>15699</v>
      </c>
      <c r="F376" s="3" t="s">
        <v>15700</v>
      </c>
      <c r="G376" s="3" t="s">
        <v>15701</v>
      </c>
      <c r="H376" s="3" t="s">
        <v>15702</v>
      </c>
      <c r="I376" s="3" t="s">
        <v>15703</v>
      </c>
      <c r="J376" s="5" t="str">
        <f>IFERROR(__xludf.DUMMYFUNCTION("GOOGLETRANSLATE(I376,""zh_HANT"",""zh_HANS"")"),"精神转移")</f>
        <v>精神转移</v>
      </c>
    </row>
    <row r="377">
      <c r="A377" s="5" t="str">
        <f t="shared" si="3"/>
        <v>NAME_MOVE_TRUMPCARD</v>
      </c>
      <c r="B377" s="3" t="s">
        <v>15704</v>
      </c>
      <c r="C377" s="3" t="s">
        <v>15705</v>
      </c>
      <c r="D377" s="3" t="s">
        <v>15706</v>
      </c>
      <c r="E377" s="3" t="s">
        <v>15707</v>
      </c>
      <c r="F377" s="3" t="s">
        <v>15708</v>
      </c>
      <c r="G377" s="3" t="s">
        <v>15709</v>
      </c>
      <c r="H377" s="3" t="s">
        <v>15710</v>
      </c>
      <c r="I377" s="3" t="s">
        <v>15711</v>
      </c>
      <c r="J377" s="5" t="str">
        <f>I377</f>
        <v>王牌</v>
      </c>
    </row>
    <row r="378">
      <c r="A378" s="5" t="str">
        <f t="shared" si="3"/>
        <v>NAME_MOVE_HEALBLOCK</v>
      </c>
      <c r="B378" s="3" t="s">
        <v>15712</v>
      </c>
      <c r="C378" s="3" t="s">
        <v>15713</v>
      </c>
      <c r="D378" s="3" t="s">
        <v>15714</v>
      </c>
      <c r="E378" s="3" t="s">
        <v>15715</v>
      </c>
      <c r="F378" s="3" t="s">
        <v>15716</v>
      </c>
      <c r="G378" s="3" t="s">
        <v>15716</v>
      </c>
      <c r="H378" s="3" t="s">
        <v>15717</v>
      </c>
      <c r="I378" s="3" t="s">
        <v>15718</v>
      </c>
      <c r="J378" s="5" t="str">
        <f>IFERROR(__xludf.DUMMYFUNCTION("GOOGLETRANSLATE(I378,""zh_HANT"",""zh_HANS"")"),"回复封锁")</f>
        <v>回复封锁</v>
      </c>
    </row>
    <row r="379">
      <c r="A379" s="5" t="str">
        <f t="shared" si="3"/>
        <v>NAME_MOVE_WRINGOUT</v>
      </c>
      <c r="B379" s="3" t="s">
        <v>15719</v>
      </c>
      <c r="C379" s="3" t="s">
        <v>15720</v>
      </c>
      <c r="D379" s="3" t="s">
        <v>15721</v>
      </c>
      <c r="E379" s="3" t="s">
        <v>15722</v>
      </c>
      <c r="F379" s="3" t="s">
        <v>15723</v>
      </c>
      <c r="G379" s="3" t="s">
        <v>15724</v>
      </c>
      <c r="H379" s="3" t="s">
        <v>15725</v>
      </c>
      <c r="I379" s="3" t="s">
        <v>15726</v>
      </c>
      <c r="J379" s="5" t="str">
        <f>IFERROR(__xludf.DUMMYFUNCTION("GOOGLETRANSLATE(I379,""zh_HANT"",""zh_HANS"")"),"绞紧")</f>
        <v>绞紧</v>
      </c>
    </row>
    <row r="380">
      <c r="A380" s="5" t="str">
        <f t="shared" si="3"/>
        <v>NAME_MOVE_POWERTRICK</v>
      </c>
      <c r="B380" s="3" t="s">
        <v>15727</v>
      </c>
      <c r="C380" s="3" t="s">
        <v>15728</v>
      </c>
      <c r="D380" s="3" t="s">
        <v>15729</v>
      </c>
      <c r="E380" s="3" t="s">
        <v>15730</v>
      </c>
      <c r="F380" s="3" t="s">
        <v>15731</v>
      </c>
      <c r="G380" s="3" t="s">
        <v>15732</v>
      </c>
      <c r="H380" s="3" t="s">
        <v>15733</v>
      </c>
      <c r="I380" s="3" t="s">
        <v>15734</v>
      </c>
      <c r="J380" s="5" t="str">
        <f>IFERROR(__xludf.DUMMYFUNCTION("GOOGLETRANSLATE(I380,""zh_HANT"",""zh_HANS"")"),"力量戏法")</f>
        <v>力量戏法</v>
      </c>
    </row>
    <row r="381">
      <c r="A381" s="5" t="str">
        <f t="shared" si="3"/>
        <v>NAME_MOVE_GASTROACID</v>
      </c>
      <c r="B381" s="3" t="s">
        <v>15735</v>
      </c>
      <c r="C381" s="3" t="s">
        <v>15736</v>
      </c>
      <c r="D381" s="3" t="s">
        <v>15737</v>
      </c>
      <c r="E381" s="3" t="s">
        <v>15738</v>
      </c>
      <c r="F381" s="3" t="s">
        <v>15739</v>
      </c>
      <c r="G381" s="3" t="s">
        <v>15740</v>
      </c>
      <c r="H381" s="3" t="s">
        <v>15741</v>
      </c>
      <c r="I381" s="3" t="s">
        <v>15742</v>
      </c>
      <c r="J381" s="5" t="str">
        <f>I381</f>
        <v>胃液</v>
      </c>
    </row>
    <row r="382">
      <c r="A382" s="5" t="str">
        <f t="shared" si="3"/>
        <v>NAME_MOVE_LUCKYCHANT</v>
      </c>
      <c r="B382" s="3" t="s">
        <v>15743</v>
      </c>
      <c r="C382" s="3" t="s">
        <v>15744</v>
      </c>
      <c r="D382" s="3" t="s">
        <v>15745</v>
      </c>
      <c r="E382" s="3" t="s">
        <v>15746</v>
      </c>
      <c r="F382" s="3" t="s">
        <v>15747</v>
      </c>
      <c r="G382" s="3" t="s">
        <v>15748</v>
      </c>
      <c r="H382" s="3" t="s">
        <v>15749</v>
      </c>
      <c r="I382" s="3" t="s">
        <v>15750</v>
      </c>
      <c r="J382" s="5" t="str">
        <f>IFERROR(__xludf.DUMMYFUNCTION("GOOGLETRANSLATE(I382,""zh_HANT"",""zh_HANS"")"),"幸运咒语")</f>
        <v>幸运咒语</v>
      </c>
    </row>
    <row r="383">
      <c r="A383" s="5" t="str">
        <f t="shared" si="3"/>
        <v>NAME_MOVE_MEFIRST</v>
      </c>
      <c r="B383" s="3" t="s">
        <v>15751</v>
      </c>
      <c r="C383" s="3" t="s">
        <v>15752</v>
      </c>
      <c r="D383" s="3" t="s">
        <v>15753</v>
      </c>
      <c r="E383" s="3" t="s">
        <v>15754</v>
      </c>
      <c r="F383" s="3" t="s">
        <v>15755</v>
      </c>
      <c r="G383" s="3" t="s">
        <v>15756</v>
      </c>
      <c r="H383" s="3" t="s">
        <v>15757</v>
      </c>
      <c r="I383" s="3" t="s">
        <v>15750</v>
      </c>
      <c r="J383" s="5" t="str">
        <f>IFERROR(__xludf.DUMMYFUNCTION("GOOGLETRANSLATE(I383,""zh_HANT"",""zh_HANS"")"),"幸运咒语")</f>
        <v>幸运咒语</v>
      </c>
    </row>
    <row r="384">
      <c r="A384" s="5" t="str">
        <f t="shared" si="3"/>
        <v>NAME_MOVE_COPYCAT</v>
      </c>
      <c r="B384" s="3" t="s">
        <v>15758</v>
      </c>
      <c r="C384" s="3" t="s">
        <v>15759</v>
      </c>
      <c r="D384" s="3" t="s">
        <v>15760</v>
      </c>
      <c r="E384" s="3" t="s">
        <v>15761</v>
      </c>
      <c r="F384" s="3" t="s">
        <v>15762</v>
      </c>
      <c r="G384" s="3" t="s">
        <v>15763</v>
      </c>
      <c r="H384" s="3" t="s">
        <v>15764</v>
      </c>
      <c r="I384" s="3" t="s">
        <v>15765</v>
      </c>
      <c r="J384" s="5" t="str">
        <f>I384</f>
        <v>仿效</v>
      </c>
    </row>
    <row r="385">
      <c r="A385" s="5" t="str">
        <f t="shared" si="3"/>
        <v>NAME_MOVE_POWERSWAP</v>
      </c>
      <c r="B385" s="3" t="s">
        <v>15766</v>
      </c>
      <c r="C385" s="3" t="s">
        <v>15767</v>
      </c>
      <c r="D385" s="3" t="s">
        <v>15768</v>
      </c>
      <c r="E385" s="3" t="s">
        <v>15769</v>
      </c>
      <c r="F385" s="3" t="s">
        <v>15770</v>
      </c>
      <c r="G385" s="3" t="s">
        <v>15771</v>
      </c>
      <c r="H385" s="3" t="s">
        <v>15772</v>
      </c>
      <c r="I385" s="3" t="s">
        <v>15773</v>
      </c>
      <c r="J385" s="5" t="str">
        <f>IFERROR(__xludf.DUMMYFUNCTION("GOOGLETRANSLATE(I385,""zh_HANT"",""zh_HANS"")"),"力量互换")</f>
        <v>力量互换</v>
      </c>
    </row>
    <row r="386">
      <c r="A386" s="5" t="str">
        <f t="shared" si="3"/>
        <v>NAME_MOVE_GUARDSWAP</v>
      </c>
      <c r="B386" s="3" t="s">
        <v>15774</v>
      </c>
      <c r="C386" s="3" t="s">
        <v>15775</v>
      </c>
      <c r="D386" s="3" t="s">
        <v>15776</v>
      </c>
      <c r="E386" s="3" t="s">
        <v>15777</v>
      </c>
      <c r="F386" s="3" t="s">
        <v>15778</v>
      </c>
      <c r="G386" s="3" t="s">
        <v>15779</v>
      </c>
      <c r="H386" s="3" t="s">
        <v>15780</v>
      </c>
      <c r="I386" s="3" t="s">
        <v>15781</v>
      </c>
      <c r="J386" s="5" t="str">
        <f>IFERROR(__xludf.DUMMYFUNCTION("GOOGLETRANSLATE(I386,""zh_HANT"",""zh_HANS"")"),"防守互换")</f>
        <v>防守互换</v>
      </c>
    </row>
    <row r="387">
      <c r="A387" s="5" t="str">
        <f t="shared" si="3"/>
        <v>NAME_MOVE_PUNISHMENT</v>
      </c>
      <c r="B387" s="3" t="s">
        <v>15782</v>
      </c>
      <c r="C387" s="3" t="s">
        <v>15783</v>
      </c>
      <c r="D387" s="3" t="s">
        <v>15784</v>
      </c>
      <c r="E387" s="3" t="s">
        <v>15785</v>
      </c>
      <c r="F387" s="3" t="s">
        <v>15786</v>
      </c>
      <c r="G387" s="3" t="s">
        <v>15787</v>
      </c>
      <c r="H387" s="3" t="s">
        <v>15788</v>
      </c>
      <c r="I387" s="3" t="s">
        <v>15789</v>
      </c>
      <c r="J387" s="5" t="str">
        <f>IFERROR(__xludf.DUMMYFUNCTION("GOOGLETRANSLATE(I387,""zh_HANT"",""zh_HANS"")"),"惩罚")</f>
        <v>惩罚</v>
      </c>
    </row>
    <row r="388">
      <c r="A388" s="5" t="str">
        <f t="shared" si="3"/>
        <v>NAME_MOVE_LASTRESORT</v>
      </c>
      <c r="B388" s="3" t="s">
        <v>15790</v>
      </c>
      <c r="C388" s="3" t="s">
        <v>15791</v>
      </c>
      <c r="D388" s="3" t="s">
        <v>15792</v>
      </c>
      <c r="E388" s="3" t="s">
        <v>15793</v>
      </c>
      <c r="F388" s="3" t="s">
        <v>15794</v>
      </c>
      <c r="G388" s="3" t="s">
        <v>15795</v>
      </c>
      <c r="H388" s="3" t="s">
        <v>15796</v>
      </c>
      <c r="I388" s="3" t="s">
        <v>15797</v>
      </c>
      <c r="J388" s="5" t="str">
        <f>I388</f>
        <v>珍藏</v>
      </c>
    </row>
    <row r="389">
      <c r="A389" s="5" t="str">
        <f t="shared" si="3"/>
        <v>NAME_MOVE_WORRYSEED</v>
      </c>
      <c r="B389" s="3" t="s">
        <v>15798</v>
      </c>
      <c r="C389" s="3" t="s">
        <v>15799</v>
      </c>
      <c r="D389" s="3" t="s">
        <v>15800</v>
      </c>
      <c r="E389" s="3" t="s">
        <v>15801</v>
      </c>
      <c r="F389" s="3" t="s">
        <v>15802</v>
      </c>
      <c r="G389" s="3" t="s">
        <v>15803</v>
      </c>
      <c r="H389" s="3" t="s">
        <v>15804</v>
      </c>
      <c r="I389" s="3" t="s">
        <v>15805</v>
      </c>
      <c r="J389" s="5" t="str">
        <f>IFERROR(__xludf.DUMMYFUNCTION("GOOGLETRANSLATE(I389,""zh_HANT"",""zh_HANS"")"),"烦恼种子")</f>
        <v>烦恼种子</v>
      </c>
    </row>
    <row r="390">
      <c r="A390" s="5" t="str">
        <f t="shared" si="3"/>
        <v>NAME_MOVE_SUCKERPUNCH</v>
      </c>
      <c r="B390" s="3" t="s">
        <v>15806</v>
      </c>
      <c r="C390" s="3" t="s">
        <v>15807</v>
      </c>
      <c r="D390" s="3" t="s">
        <v>15808</v>
      </c>
      <c r="E390" s="3" t="s">
        <v>15809</v>
      </c>
      <c r="F390" s="3" t="s">
        <v>15810</v>
      </c>
      <c r="G390" s="3" t="s">
        <v>15811</v>
      </c>
      <c r="H390" s="3" t="s">
        <v>15812</v>
      </c>
      <c r="I390" s="3" t="s">
        <v>15813</v>
      </c>
      <c r="J390" s="5" t="str">
        <f>IFERROR(__xludf.DUMMYFUNCTION("GOOGLETRANSLATE(I390,""zh_HANT"",""zh_HANS"")"),"突袭")</f>
        <v>突袭</v>
      </c>
    </row>
    <row r="391">
      <c r="A391" s="5" t="str">
        <f t="shared" si="3"/>
        <v>NAME_MOVE_TOXICSPIKES</v>
      </c>
      <c r="B391" s="3" t="s">
        <v>15814</v>
      </c>
      <c r="C391" s="3" t="s">
        <v>15815</v>
      </c>
      <c r="D391" s="3" t="s">
        <v>15816</v>
      </c>
      <c r="E391" s="3" t="s">
        <v>15817</v>
      </c>
      <c r="F391" s="3" t="s">
        <v>15818</v>
      </c>
      <c r="G391" s="3" t="s">
        <v>15819</v>
      </c>
      <c r="H391" s="3" t="s">
        <v>15820</v>
      </c>
      <c r="I391" s="3" t="s">
        <v>15821</v>
      </c>
      <c r="J391" s="5" t="str">
        <f>I391</f>
        <v>毒菱</v>
      </c>
    </row>
    <row r="392">
      <c r="A392" s="5" t="str">
        <f t="shared" si="3"/>
        <v>NAME_MOVE_HEARTSWAP</v>
      </c>
      <c r="B392" s="3" t="s">
        <v>15822</v>
      </c>
      <c r="C392" s="3" t="s">
        <v>15823</v>
      </c>
      <c r="D392" s="3" t="s">
        <v>15824</v>
      </c>
      <c r="E392" s="3" t="s">
        <v>15825</v>
      </c>
      <c r="F392" s="3" t="s">
        <v>15826</v>
      </c>
      <c r="G392" s="3" t="s">
        <v>15827</v>
      </c>
      <c r="H392" s="3" t="s">
        <v>15828</v>
      </c>
      <c r="I392" s="3" t="s">
        <v>15829</v>
      </c>
      <c r="J392" s="5" t="str">
        <f>IFERROR(__xludf.DUMMYFUNCTION("GOOGLETRANSLATE(I392,""zh_HANT"",""zh_HANS"")"),"心灵互换")</f>
        <v>心灵互换</v>
      </c>
    </row>
    <row r="393">
      <c r="A393" s="5" t="str">
        <f t="shared" si="3"/>
        <v>NAME_MOVE_AQUARING</v>
      </c>
      <c r="B393" s="3" t="s">
        <v>15830</v>
      </c>
      <c r="C393" s="3" t="s">
        <v>15831</v>
      </c>
      <c r="D393" s="3" t="s">
        <v>15832</v>
      </c>
      <c r="E393" s="3" t="s">
        <v>15833</v>
      </c>
      <c r="F393" s="3" t="s">
        <v>15834</v>
      </c>
      <c r="G393" s="3" t="s">
        <v>15835</v>
      </c>
      <c r="H393" s="3" t="s">
        <v>15836</v>
      </c>
      <c r="I393" s="3" t="s">
        <v>15837</v>
      </c>
      <c r="J393" s="5" t="str">
        <f>IFERROR(__xludf.DUMMYFUNCTION("GOOGLETRANSLATE(I393,""zh_HANT"",""zh_HANS"")"),"水流环")</f>
        <v>水流环</v>
      </c>
    </row>
    <row r="394">
      <c r="A394" s="5" t="str">
        <f t="shared" si="3"/>
        <v>NAME_MOVE_MAGNETRISE</v>
      </c>
      <c r="B394" s="3" t="s">
        <v>15838</v>
      </c>
      <c r="C394" s="3" t="s">
        <v>15839</v>
      </c>
      <c r="D394" s="3" t="s">
        <v>15840</v>
      </c>
      <c r="E394" s="3" t="s">
        <v>15841</v>
      </c>
      <c r="F394" s="3" t="s">
        <v>15842</v>
      </c>
      <c r="G394" s="3" t="s">
        <v>15843</v>
      </c>
      <c r="H394" s="3" t="s">
        <v>15844</v>
      </c>
      <c r="I394" s="3" t="s">
        <v>15845</v>
      </c>
      <c r="J394" s="5" t="str">
        <f>IFERROR(__xludf.DUMMYFUNCTION("GOOGLETRANSLATE(I394,""zh_HANT"",""zh_HANS"")"),"电磁飘浮")</f>
        <v>电磁飘浮</v>
      </c>
    </row>
    <row r="395">
      <c r="A395" s="5" t="str">
        <f t="shared" si="3"/>
        <v>NAME_MOVE_FLAREBLITZ</v>
      </c>
      <c r="B395" s="3" t="s">
        <v>15846</v>
      </c>
      <c r="C395" s="3" t="s">
        <v>15847</v>
      </c>
      <c r="D395" s="3" t="s">
        <v>15848</v>
      </c>
      <c r="E395" s="3" t="s">
        <v>15849</v>
      </c>
      <c r="F395" s="3" t="s">
        <v>15850</v>
      </c>
      <c r="G395" s="3" t="s">
        <v>15851</v>
      </c>
      <c r="H395" s="3" t="s">
        <v>15852</v>
      </c>
      <c r="I395" s="3" t="s">
        <v>15853</v>
      </c>
      <c r="J395" s="5" t="str">
        <f>IFERROR(__xludf.DUMMYFUNCTION("GOOGLETRANSLATE(I395,""zh_HANT"",""zh_HANS"")"),"闪焰冲锋")</f>
        <v>闪焰冲锋</v>
      </c>
    </row>
    <row r="396">
      <c r="A396" s="5" t="str">
        <f t="shared" si="3"/>
        <v>NAME_MOVE_FORCEPALM</v>
      </c>
      <c r="B396" s="3" t="s">
        <v>15854</v>
      </c>
      <c r="C396" s="3" t="s">
        <v>15855</v>
      </c>
      <c r="D396" s="3" t="s">
        <v>15856</v>
      </c>
      <c r="E396" s="3" t="s">
        <v>15857</v>
      </c>
      <c r="F396" s="3" t="s">
        <v>15858</v>
      </c>
      <c r="G396" s="3" t="s">
        <v>15859</v>
      </c>
      <c r="H396" s="3" t="s">
        <v>15860</v>
      </c>
      <c r="I396" s="3" t="s">
        <v>15861</v>
      </c>
      <c r="J396" s="5" t="str">
        <f>IFERROR(__xludf.DUMMYFUNCTION("GOOGLETRANSLATE(I396,""zh_HANT"",""zh_HANS"")"),"发劲")</f>
        <v>发劲</v>
      </c>
    </row>
    <row r="397">
      <c r="A397" s="5" t="str">
        <f t="shared" si="3"/>
        <v>NAME_MOVE_AURASPHERE</v>
      </c>
      <c r="B397" s="3" t="s">
        <v>15862</v>
      </c>
      <c r="C397" s="3" t="s">
        <v>15863</v>
      </c>
      <c r="D397" s="3" t="s">
        <v>15864</v>
      </c>
      <c r="E397" s="3" t="s">
        <v>15865</v>
      </c>
      <c r="F397" s="3" t="s">
        <v>15866</v>
      </c>
      <c r="G397" s="3" t="s">
        <v>15867</v>
      </c>
      <c r="H397" s="3" t="s">
        <v>15868</v>
      </c>
      <c r="I397" s="3" t="s">
        <v>15869</v>
      </c>
      <c r="J397" s="5" t="str">
        <f>IFERROR(__xludf.DUMMYFUNCTION("GOOGLETRANSLATE(I397,""zh_HANT"",""zh_HANS"")"),"波导弹")</f>
        <v>波导弹</v>
      </c>
    </row>
    <row r="398">
      <c r="A398" s="5" t="str">
        <f t="shared" si="3"/>
        <v>NAME_MOVE_ROCKPOLISH</v>
      </c>
      <c r="B398" s="3" t="s">
        <v>15870</v>
      </c>
      <c r="C398" s="3" t="s">
        <v>15871</v>
      </c>
      <c r="D398" s="3" t="s">
        <v>15872</v>
      </c>
      <c r="E398" s="3" t="s">
        <v>15873</v>
      </c>
      <c r="F398" s="3" t="s">
        <v>15874</v>
      </c>
      <c r="G398" s="3" t="s">
        <v>15875</v>
      </c>
      <c r="H398" s="3" t="s">
        <v>15876</v>
      </c>
      <c r="I398" s="3" t="s">
        <v>15877</v>
      </c>
      <c r="J398" s="5" t="str">
        <f>I398</f>
        <v>岩石打磨</v>
      </c>
    </row>
    <row r="399">
      <c r="A399" s="5" t="str">
        <f t="shared" si="3"/>
        <v>NAME_MOVE_POISONJAB</v>
      </c>
      <c r="B399" s="3" t="s">
        <v>15878</v>
      </c>
      <c r="C399" s="3" t="s">
        <v>9756</v>
      </c>
      <c r="D399" s="3" t="s">
        <v>15879</v>
      </c>
      <c r="E399" s="3" t="s">
        <v>15880</v>
      </c>
      <c r="F399" s="3" t="s">
        <v>15881</v>
      </c>
      <c r="G399" s="3" t="s">
        <v>15882</v>
      </c>
      <c r="H399" s="7" t="s">
        <v>15883</v>
      </c>
      <c r="I399" s="7" t="s">
        <v>9762</v>
      </c>
      <c r="J399" s="5" t="str">
        <f>IFERROR(__xludf.DUMMYFUNCTION("GOOGLETRANSLATE(I399,""zh_HANT"",""zh_HANS"")"),"毒击")</f>
        <v>毒击</v>
      </c>
    </row>
    <row r="400">
      <c r="A400" s="5" t="str">
        <f t="shared" si="3"/>
        <v>NAME_MOVE_DARKPULSE</v>
      </c>
      <c r="B400" s="3" t="s">
        <v>15884</v>
      </c>
      <c r="C400" s="3" t="s">
        <v>15885</v>
      </c>
      <c r="D400" s="3" t="s">
        <v>15886</v>
      </c>
      <c r="E400" s="3" t="s">
        <v>15887</v>
      </c>
      <c r="F400" s="3" t="s">
        <v>15888</v>
      </c>
      <c r="G400" s="3" t="s">
        <v>15889</v>
      </c>
      <c r="H400" s="7" t="s">
        <v>15890</v>
      </c>
      <c r="I400" s="7" t="s">
        <v>15891</v>
      </c>
      <c r="J400" s="5" t="str">
        <f>IFERROR(__xludf.DUMMYFUNCTION("GOOGLETRANSLATE(I400,""zh_HANT"",""zh_HANS"")"),"恶之波动")</f>
        <v>恶之波动</v>
      </c>
    </row>
    <row r="401">
      <c r="A401" s="5" t="str">
        <f t="shared" si="3"/>
        <v>NAME_MOVE_NIGHTSLASH</v>
      </c>
      <c r="B401" s="3" t="s">
        <v>15892</v>
      </c>
      <c r="C401" s="3" t="s">
        <v>15893</v>
      </c>
      <c r="D401" s="3" t="s">
        <v>15894</v>
      </c>
      <c r="E401" s="3" t="s">
        <v>15895</v>
      </c>
      <c r="F401" s="3" t="s">
        <v>15896</v>
      </c>
      <c r="G401" s="3" t="s">
        <v>15897</v>
      </c>
      <c r="H401" s="7" t="s">
        <v>15898</v>
      </c>
      <c r="I401" s="7" t="s">
        <v>15899</v>
      </c>
      <c r="J401" s="5" t="str">
        <f>IFERROR(__xludf.DUMMYFUNCTION("GOOGLETRANSLATE(I401,""zh_HANT"",""zh_HANS"")"),"暗袭要害")</f>
        <v>暗袭要害</v>
      </c>
    </row>
    <row r="402">
      <c r="A402" s="5" t="str">
        <f t="shared" si="3"/>
        <v>NAME_MOVE_AQUATAIL</v>
      </c>
      <c r="B402" s="3" t="s">
        <v>15900</v>
      </c>
      <c r="C402" s="3" t="s">
        <v>15901</v>
      </c>
      <c r="D402" s="3" t="s">
        <v>15902</v>
      </c>
      <c r="E402" s="3" t="s">
        <v>15903</v>
      </c>
      <c r="F402" s="3" t="s">
        <v>15904</v>
      </c>
      <c r="G402" s="3" t="s">
        <v>15905</v>
      </c>
      <c r="H402" s="3" t="s">
        <v>15906</v>
      </c>
      <c r="I402" s="3" t="s">
        <v>15907</v>
      </c>
      <c r="J402" s="5" t="str">
        <f>I402</f>
        <v>水流尾</v>
      </c>
    </row>
    <row r="403">
      <c r="A403" s="5" t="str">
        <f t="shared" si="3"/>
        <v>NAME_MOVE_SEEDBOMB</v>
      </c>
      <c r="B403" s="3" t="s">
        <v>15908</v>
      </c>
      <c r="C403" s="3" t="s">
        <v>15909</v>
      </c>
      <c r="D403" s="3" t="s">
        <v>15910</v>
      </c>
      <c r="E403" s="3" t="s">
        <v>15911</v>
      </c>
      <c r="F403" s="3" t="s">
        <v>15912</v>
      </c>
      <c r="G403" s="3" t="s">
        <v>15913</v>
      </c>
      <c r="H403" s="3" t="s">
        <v>15914</v>
      </c>
      <c r="I403" s="3" t="s">
        <v>15915</v>
      </c>
      <c r="J403" s="5" t="str">
        <f>IFERROR(__xludf.DUMMYFUNCTION("GOOGLETRANSLATE(I403,""zh_HANT"",""zh_HANS"")"),"种子炸弹")</f>
        <v>种子炸弹</v>
      </c>
    </row>
    <row r="404">
      <c r="A404" s="5" t="str">
        <f t="shared" si="3"/>
        <v>NAME_MOVE_AIRSLASH</v>
      </c>
      <c r="B404" s="3" t="s">
        <v>15916</v>
      </c>
      <c r="C404" s="3" t="s">
        <v>15917</v>
      </c>
      <c r="D404" s="3" t="s">
        <v>15918</v>
      </c>
      <c r="E404" s="3" t="s">
        <v>15919</v>
      </c>
      <c r="F404" s="3" t="s">
        <v>15920</v>
      </c>
      <c r="G404" s="3" t="s">
        <v>15921</v>
      </c>
      <c r="H404" s="3" t="s">
        <v>15922</v>
      </c>
      <c r="I404" s="3" t="s">
        <v>15923</v>
      </c>
      <c r="J404" s="10" t="s">
        <v>15924</v>
      </c>
    </row>
    <row r="405">
      <c r="A405" s="5" t="str">
        <f t="shared" si="3"/>
        <v>NAME_MOVE_XSCISSORS</v>
      </c>
      <c r="B405" s="3" t="s">
        <v>15925</v>
      </c>
      <c r="C405" s="3" t="s">
        <v>15926</v>
      </c>
      <c r="D405" s="3" t="s">
        <v>15927</v>
      </c>
      <c r="E405" s="3" t="s">
        <v>15928</v>
      </c>
      <c r="F405" s="3" t="s">
        <v>15929</v>
      </c>
      <c r="G405" s="3" t="s">
        <v>15930</v>
      </c>
      <c r="H405" s="3" t="s">
        <v>15931</v>
      </c>
      <c r="I405" s="3" t="s">
        <v>15932</v>
      </c>
      <c r="J405" s="5" t="str">
        <f>I405</f>
        <v>十字剪</v>
      </c>
    </row>
    <row r="406">
      <c r="A406" s="5" t="str">
        <f t="shared" si="3"/>
        <v>NAME_MOVE_BUGBUZZ</v>
      </c>
      <c r="B406" s="3" t="s">
        <v>15933</v>
      </c>
      <c r="C406" s="3" t="s">
        <v>15934</v>
      </c>
      <c r="D406" s="3" t="s">
        <v>15935</v>
      </c>
      <c r="E406" s="3" t="s">
        <v>15936</v>
      </c>
      <c r="F406" s="3" t="s">
        <v>15937</v>
      </c>
      <c r="G406" s="3" t="s">
        <v>15938</v>
      </c>
      <c r="H406" s="3" t="s">
        <v>15939</v>
      </c>
      <c r="I406" s="3" t="s">
        <v>15940</v>
      </c>
      <c r="J406" s="5" t="str">
        <f>IFERROR(__xludf.DUMMYFUNCTION("GOOGLETRANSLATE(I406,""zh_HANT"",""zh_HANS"")"),"虫鸣")</f>
        <v>虫鸣</v>
      </c>
    </row>
    <row r="407">
      <c r="A407" s="5" t="str">
        <f t="shared" si="3"/>
        <v>NAME_MOVE_DRAGONPULSE</v>
      </c>
      <c r="B407" s="3" t="s">
        <v>15941</v>
      </c>
      <c r="C407" s="3" t="s">
        <v>15942</v>
      </c>
      <c r="D407" s="3" t="s">
        <v>15943</v>
      </c>
      <c r="E407" s="3" t="s">
        <v>15944</v>
      </c>
      <c r="F407" s="3" t="s">
        <v>15945</v>
      </c>
      <c r="G407" s="3" t="s">
        <v>15946</v>
      </c>
      <c r="H407" s="3" t="s">
        <v>15947</v>
      </c>
      <c r="I407" s="3" t="s">
        <v>15948</v>
      </c>
      <c r="J407" s="5" t="str">
        <f>IFERROR(__xludf.DUMMYFUNCTION("GOOGLETRANSLATE(I407,""zh_HANT"",""zh_HANS"")"),"龙之波动")</f>
        <v>龙之波动</v>
      </c>
    </row>
    <row r="408">
      <c r="A408" s="5" t="str">
        <f t="shared" si="3"/>
        <v>NAME_MOVE_DRAGONRUSH</v>
      </c>
      <c r="B408" s="3" t="s">
        <v>15949</v>
      </c>
      <c r="C408" s="3" t="s">
        <v>15950</v>
      </c>
      <c r="D408" s="3" t="s">
        <v>15951</v>
      </c>
      <c r="E408" s="3" t="s">
        <v>15952</v>
      </c>
      <c r="F408" s="3" t="s">
        <v>15953</v>
      </c>
      <c r="G408" s="3" t="s">
        <v>15954</v>
      </c>
      <c r="H408" s="3" t="s">
        <v>15955</v>
      </c>
      <c r="I408" s="3" t="s">
        <v>15956</v>
      </c>
      <c r="J408" s="5" t="str">
        <f>IFERROR(__xludf.DUMMYFUNCTION("GOOGLETRANSLATE(I408,""zh_HANT"",""zh_HANS"")"),"龙之俯冲")</f>
        <v>龙之俯冲</v>
      </c>
    </row>
    <row r="409">
      <c r="A409" s="5" t="str">
        <f t="shared" si="3"/>
        <v>NAME_MOVE_POWERGEM</v>
      </c>
      <c r="B409" s="3" t="s">
        <v>15957</v>
      </c>
      <c r="C409" s="3" t="s">
        <v>15958</v>
      </c>
      <c r="D409" s="3" t="s">
        <v>15959</v>
      </c>
      <c r="E409" s="3" t="s">
        <v>15960</v>
      </c>
      <c r="F409" s="3" t="s">
        <v>15961</v>
      </c>
      <c r="G409" s="3" t="s">
        <v>15962</v>
      </c>
      <c r="H409" s="3" t="s">
        <v>15963</v>
      </c>
      <c r="I409" s="3" t="s">
        <v>15964</v>
      </c>
      <c r="J409" s="5" t="str">
        <f t="shared" ref="J409:J411" si="33">I409</f>
        <v>力量寶石</v>
      </c>
    </row>
    <row r="410">
      <c r="A410" s="5" t="str">
        <f t="shared" si="3"/>
        <v>NAME_MOVE_DRAINPUNCH</v>
      </c>
      <c r="B410" s="3" t="s">
        <v>15965</v>
      </c>
      <c r="C410" s="3" t="s">
        <v>15966</v>
      </c>
      <c r="D410" s="3" t="s">
        <v>15967</v>
      </c>
      <c r="E410" s="3" t="s">
        <v>15968</v>
      </c>
      <c r="F410" s="3" t="s">
        <v>15969</v>
      </c>
      <c r="G410" s="3" t="s">
        <v>15970</v>
      </c>
      <c r="H410" s="3" t="s">
        <v>15971</v>
      </c>
      <c r="I410" s="3" t="s">
        <v>15972</v>
      </c>
      <c r="J410" s="5" t="str">
        <f t="shared" si="33"/>
        <v>吸取拳</v>
      </c>
    </row>
    <row r="411">
      <c r="A411" s="5" t="str">
        <f t="shared" si="3"/>
        <v>NAME_MOVE_VACUUMWAVE</v>
      </c>
      <c r="B411" s="3" t="s">
        <v>15973</v>
      </c>
      <c r="C411" s="3" t="s">
        <v>15974</v>
      </c>
      <c r="D411" s="3" t="s">
        <v>15975</v>
      </c>
      <c r="E411" s="3" t="s">
        <v>15976</v>
      </c>
      <c r="F411" s="3" t="s">
        <v>15977</v>
      </c>
      <c r="G411" s="3" t="s">
        <v>15978</v>
      </c>
      <c r="H411" s="3" t="s">
        <v>15979</v>
      </c>
      <c r="I411" s="3" t="s">
        <v>15980</v>
      </c>
      <c r="J411" s="5" t="str">
        <f t="shared" si="33"/>
        <v>真空波</v>
      </c>
    </row>
    <row r="412">
      <c r="A412" s="5" t="str">
        <f t="shared" si="3"/>
        <v>NAME_MOVE_FOCUSBLAST</v>
      </c>
      <c r="B412" s="3" t="s">
        <v>15981</v>
      </c>
      <c r="C412" s="3" t="s">
        <v>15982</v>
      </c>
      <c r="D412" s="3" t="s">
        <v>15983</v>
      </c>
      <c r="E412" s="3" t="s">
        <v>15984</v>
      </c>
      <c r="F412" s="3" t="s">
        <v>15985</v>
      </c>
      <c r="G412" s="3" t="s">
        <v>15986</v>
      </c>
      <c r="H412" s="3" t="s">
        <v>15987</v>
      </c>
      <c r="I412" s="3" t="s">
        <v>15988</v>
      </c>
      <c r="J412" s="5" t="str">
        <f>IFERROR(__xludf.DUMMYFUNCTION("GOOGLETRANSLATE(I412,""zh_HANT"",""zh_HANS"")"),"真气弹")</f>
        <v>真气弹</v>
      </c>
    </row>
    <row r="413">
      <c r="A413" s="5" t="str">
        <f t="shared" si="3"/>
        <v>NAME_MOVE_ENERGYBALL</v>
      </c>
      <c r="B413" s="9" t="s">
        <v>15989</v>
      </c>
      <c r="C413" s="3" t="s">
        <v>15990</v>
      </c>
      <c r="D413" s="3" t="s">
        <v>15991</v>
      </c>
      <c r="E413" s="3" t="s">
        <v>15992</v>
      </c>
      <c r="F413" s="3" t="s">
        <v>15993</v>
      </c>
      <c r="G413" s="3" t="s">
        <v>15994</v>
      </c>
      <c r="H413" s="3" t="s">
        <v>15995</v>
      </c>
      <c r="I413" s="3" t="s">
        <v>15996</v>
      </c>
      <c r="J413" s="5" t="str">
        <f>I413</f>
        <v>能量球</v>
      </c>
    </row>
    <row r="414">
      <c r="A414" s="5" t="str">
        <f t="shared" si="3"/>
        <v>NAME_MOVE_BRAVEBIRD</v>
      </c>
      <c r="B414" s="3" t="s">
        <v>15997</v>
      </c>
      <c r="C414" s="3" t="s">
        <v>15998</v>
      </c>
      <c r="D414" s="3" t="s">
        <v>9441</v>
      </c>
      <c r="E414" s="3" t="s">
        <v>15999</v>
      </c>
      <c r="F414" s="3" t="s">
        <v>16000</v>
      </c>
      <c r="G414" s="3" t="s">
        <v>16001</v>
      </c>
      <c r="H414" s="3" t="s">
        <v>16002</v>
      </c>
      <c r="I414" s="3" t="s">
        <v>16003</v>
      </c>
      <c r="J414" s="5" t="str">
        <f>IFERROR(__xludf.DUMMYFUNCTION("GOOGLETRANSLATE(I414,""zh_HANT"",""zh_HANS"")"),"勇鸟猛攻")</f>
        <v>勇鸟猛攻</v>
      </c>
    </row>
    <row r="415">
      <c r="A415" s="5" t="str">
        <f t="shared" si="3"/>
        <v>NAME_MOVE_EARTHPOWER</v>
      </c>
      <c r="B415" s="3" t="s">
        <v>16004</v>
      </c>
      <c r="C415" s="3" t="s">
        <v>16005</v>
      </c>
      <c r="D415" s="3" t="s">
        <v>16006</v>
      </c>
      <c r="E415" s="3" t="s">
        <v>16007</v>
      </c>
      <c r="F415" s="3" t="s">
        <v>16008</v>
      </c>
      <c r="G415" s="3" t="s">
        <v>16009</v>
      </c>
      <c r="H415" s="3" t="s">
        <v>16010</v>
      </c>
      <c r="I415" s="3" t="s">
        <v>16011</v>
      </c>
      <c r="J415" s="5" t="str">
        <f t="shared" ref="J415:J416" si="34">I415</f>
        <v>大地之力</v>
      </c>
    </row>
    <row r="416">
      <c r="A416" s="5" t="str">
        <f t="shared" si="3"/>
        <v>NAME_MOVE_SWITCHEROO</v>
      </c>
      <c r="B416" s="3" t="s">
        <v>16012</v>
      </c>
      <c r="C416" s="3" t="s">
        <v>16013</v>
      </c>
      <c r="D416" s="3" t="s">
        <v>16014</v>
      </c>
      <c r="E416" s="3" t="s">
        <v>16015</v>
      </c>
      <c r="F416" s="3" t="s">
        <v>16016</v>
      </c>
      <c r="G416" s="3" t="s">
        <v>16017</v>
      </c>
      <c r="H416" s="3" t="s">
        <v>16018</v>
      </c>
      <c r="I416" s="3" t="s">
        <v>16019</v>
      </c>
      <c r="J416" s="5" t="str">
        <f t="shared" si="34"/>
        <v>掉包</v>
      </c>
    </row>
    <row r="417">
      <c r="A417" s="5" t="str">
        <f t="shared" si="3"/>
        <v>NAME_MOVE_GIGAIMPACT</v>
      </c>
      <c r="B417" s="3" t="s">
        <v>16020</v>
      </c>
      <c r="C417" s="3" t="s">
        <v>16021</v>
      </c>
      <c r="D417" s="3" t="s">
        <v>16020</v>
      </c>
      <c r="E417" s="3" t="s">
        <v>16022</v>
      </c>
      <c r="F417" s="3" t="s">
        <v>16023</v>
      </c>
      <c r="G417" s="3" t="s">
        <v>16024</v>
      </c>
      <c r="H417" s="3" t="s">
        <v>16025</v>
      </c>
      <c r="I417" s="3" t="s">
        <v>16026</v>
      </c>
      <c r="J417" s="5" t="str">
        <f>IFERROR(__xludf.DUMMYFUNCTION("GOOGLETRANSLATE(I417,""zh_HANT"",""zh_HANS"")"),"终极冲击")</f>
        <v>终极冲击</v>
      </c>
    </row>
    <row r="418">
      <c r="A418" s="5" t="str">
        <f t="shared" si="3"/>
        <v>NAME_MOVE_NASTYPLOT</v>
      </c>
      <c r="B418" s="3" t="s">
        <v>16027</v>
      </c>
      <c r="C418" s="3" t="s">
        <v>16028</v>
      </c>
      <c r="D418" s="3" t="s">
        <v>16029</v>
      </c>
      <c r="E418" s="3" t="s">
        <v>16030</v>
      </c>
      <c r="F418" s="3" t="s">
        <v>16031</v>
      </c>
      <c r="G418" s="3" t="s">
        <v>16032</v>
      </c>
      <c r="H418" s="3" t="s">
        <v>16033</v>
      </c>
      <c r="I418" s="3" t="s">
        <v>16034</v>
      </c>
      <c r="J418" s="5" t="str">
        <f>IFERROR(__xludf.DUMMYFUNCTION("GOOGLETRANSLATE(I418,""zh_HANT"",""zh_HANS"")"),"诡计")</f>
        <v>诡计</v>
      </c>
    </row>
    <row r="419">
      <c r="A419" s="5" t="str">
        <f t="shared" si="3"/>
        <v>NAME_MOVE_BULLETPUNCH</v>
      </c>
      <c r="B419" s="3" t="s">
        <v>16035</v>
      </c>
      <c r="C419" s="3" t="s">
        <v>16036</v>
      </c>
      <c r="D419" s="3" t="s">
        <v>16037</v>
      </c>
      <c r="E419" s="3" t="s">
        <v>16038</v>
      </c>
      <c r="F419" s="3" t="s">
        <v>16039</v>
      </c>
      <c r="G419" s="3" t="s">
        <v>16040</v>
      </c>
      <c r="H419" s="3" t="s">
        <v>16041</v>
      </c>
      <c r="I419" s="3" t="s">
        <v>16042</v>
      </c>
      <c r="J419" s="5" t="str">
        <f>IFERROR(__xludf.DUMMYFUNCTION("GOOGLETRANSLATE(I419,""zh_HANT"",""zh_HANS"")"),"子弹拳")</f>
        <v>子弹拳</v>
      </c>
    </row>
    <row r="420">
      <c r="A420" s="5" t="str">
        <f t="shared" si="3"/>
        <v>NAME_MOVE_AVALANCHE</v>
      </c>
      <c r="B420" s="3" t="s">
        <v>16043</v>
      </c>
      <c r="C420" s="3" t="s">
        <v>16044</v>
      </c>
      <c r="D420" s="3" t="s">
        <v>16043</v>
      </c>
      <c r="E420" s="3" t="s">
        <v>16045</v>
      </c>
      <c r="F420" s="3" t="s">
        <v>16046</v>
      </c>
      <c r="G420" s="3" t="s">
        <v>16047</v>
      </c>
      <c r="H420" s="3" t="s">
        <v>16048</v>
      </c>
      <c r="I420" s="3" t="s">
        <v>16049</v>
      </c>
      <c r="J420" s="5" t="str">
        <f>I420</f>
        <v>雪崩</v>
      </c>
    </row>
    <row r="421">
      <c r="A421" s="5" t="str">
        <f t="shared" si="3"/>
        <v>NAME_MOVE_ICESHARD</v>
      </c>
      <c r="B421" s="3" t="s">
        <v>16050</v>
      </c>
      <c r="C421" s="3" t="s">
        <v>16051</v>
      </c>
      <c r="D421" s="3" t="s">
        <v>16052</v>
      </c>
      <c r="E421" s="3" t="s">
        <v>16053</v>
      </c>
      <c r="F421" s="3" t="s">
        <v>16054</v>
      </c>
      <c r="G421" s="3" t="s">
        <v>16055</v>
      </c>
      <c r="H421" s="3" t="s">
        <v>16056</v>
      </c>
      <c r="I421" s="3" t="s">
        <v>16057</v>
      </c>
      <c r="J421" s="5" t="str">
        <f>IFERROR(__xludf.DUMMYFUNCTION("GOOGLETRANSLATE(I421,""zh_HANT"",""zh_HANS"")"),"冰砾")</f>
        <v>冰砾</v>
      </c>
    </row>
    <row r="422">
      <c r="A422" s="5" t="str">
        <f t="shared" si="3"/>
        <v>NAME_MOVE_SHADOWCLAW</v>
      </c>
      <c r="B422" s="3" t="s">
        <v>16058</v>
      </c>
      <c r="C422" s="3" t="s">
        <v>16059</v>
      </c>
      <c r="D422" s="3" t="s">
        <v>16060</v>
      </c>
      <c r="E422" s="3" t="s">
        <v>16061</v>
      </c>
      <c r="F422" s="3" t="s">
        <v>16062</v>
      </c>
      <c r="G422" s="3" t="s">
        <v>16063</v>
      </c>
      <c r="H422" s="3" t="s">
        <v>16064</v>
      </c>
      <c r="I422" s="3" t="s">
        <v>16065</v>
      </c>
      <c r="J422" s="5" t="str">
        <f t="shared" ref="J422:J423" si="35">I422</f>
        <v>暗影爪</v>
      </c>
    </row>
    <row r="423">
      <c r="A423" s="5" t="str">
        <f t="shared" si="3"/>
        <v>NAME_MOVE_THUNDERFANG</v>
      </c>
      <c r="B423" s="3" t="s">
        <v>16066</v>
      </c>
      <c r="C423" s="3" t="s">
        <v>16067</v>
      </c>
      <c r="D423" s="3" t="s">
        <v>16068</v>
      </c>
      <c r="E423" s="3" t="s">
        <v>16069</v>
      </c>
      <c r="F423" s="3" t="s">
        <v>16070</v>
      </c>
      <c r="G423" s="3" t="s">
        <v>16071</v>
      </c>
      <c r="H423" s="3" t="s">
        <v>16072</v>
      </c>
      <c r="I423" s="3" t="s">
        <v>16073</v>
      </c>
      <c r="J423" s="5" t="str">
        <f t="shared" si="35"/>
        <v>雷電牙</v>
      </c>
    </row>
    <row r="424">
      <c r="A424" s="5" t="str">
        <f t="shared" si="3"/>
        <v>NAME_MOVE_ICEFANG</v>
      </c>
      <c r="B424" s="3" t="s">
        <v>16074</v>
      </c>
      <c r="C424" s="3" t="s">
        <v>16075</v>
      </c>
      <c r="D424" s="3" t="s">
        <v>16076</v>
      </c>
      <c r="E424" s="3" t="s">
        <v>16077</v>
      </c>
      <c r="F424" s="3" t="s">
        <v>16078</v>
      </c>
      <c r="G424" s="3" t="s">
        <v>16079</v>
      </c>
      <c r="H424" s="3" t="s">
        <v>16080</v>
      </c>
      <c r="I424" s="3" t="s">
        <v>16081</v>
      </c>
      <c r="J424" s="5" t="str">
        <f>IFERROR(__xludf.DUMMYFUNCTION("GOOGLETRANSLATE(I424,""zh_HANT"",""zh_HANS"")"),"冰冻牙")</f>
        <v>冰冻牙</v>
      </c>
    </row>
    <row r="425">
      <c r="A425" s="5" t="str">
        <f t="shared" si="3"/>
        <v>NAME_MOVE_FIREFANG</v>
      </c>
      <c r="B425" s="3" t="s">
        <v>16082</v>
      </c>
      <c r="C425" s="3" t="s">
        <v>16083</v>
      </c>
      <c r="D425" s="3" t="s">
        <v>16084</v>
      </c>
      <c r="E425" s="3" t="s">
        <v>16085</v>
      </c>
      <c r="F425" s="3" t="s">
        <v>16086</v>
      </c>
      <c r="G425" s="3" t="s">
        <v>16087</v>
      </c>
      <c r="H425" s="3" t="s">
        <v>16088</v>
      </c>
      <c r="I425" s="3" t="s">
        <v>16089</v>
      </c>
      <c r="J425" s="5" t="str">
        <f>I425</f>
        <v>火焰牙</v>
      </c>
    </row>
    <row r="426">
      <c r="A426" s="5" t="str">
        <f t="shared" si="3"/>
        <v>NAME_MOVE_SHADOWSNEAK</v>
      </c>
      <c r="B426" s="3" t="s">
        <v>16090</v>
      </c>
      <c r="C426" s="3" t="s">
        <v>16091</v>
      </c>
      <c r="D426" s="3" t="s">
        <v>16092</v>
      </c>
      <c r="E426" s="3" t="s">
        <v>16093</v>
      </c>
      <c r="F426" s="3" t="s">
        <v>16094</v>
      </c>
      <c r="G426" s="3" t="s">
        <v>16095</v>
      </c>
      <c r="H426" s="3" t="s">
        <v>16096</v>
      </c>
      <c r="I426" s="3" t="s">
        <v>16097</v>
      </c>
      <c r="J426" s="5" t="str">
        <f>IFERROR(__xludf.DUMMYFUNCTION("GOOGLETRANSLATE(I426,""zh_HANT"",""zh_HANS"")"),"影子偷袭")</f>
        <v>影子偷袭</v>
      </c>
    </row>
    <row r="427">
      <c r="A427" s="5" t="str">
        <f t="shared" si="3"/>
        <v>NAME_MOVE_MUDBOMB</v>
      </c>
      <c r="B427" s="3" t="s">
        <v>16098</v>
      </c>
      <c r="C427" s="3" t="s">
        <v>16099</v>
      </c>
      <c r="D427" s="3" t="s">
        <v>16100</v>
      </c>
      <c r="E427" s="3" t="s">
        <v>16101</v>
      </c>
      <c r="F427" s="3" t="s">
        <v>16102</v>
      </c>
      <c r="G427" s="3" t="s">
        <v>16103</v>
      </c>
      <c r="H427" s="3" t="s">
        <v>16104</v>
      </c>
      <c r="I427" s="3" t="s">
        <v>16105</v>
      </c>
      <c r="J427" s="5" t="str">
        <f>IFERROR(__xludf.DUMMYFUNCTION("GOOGLETRANSLATE(I427,""zh_HANT"",""zh_HANS"")"),"泥巴炸弹")</f>
        <v>泥巴炸弹</v>
      </c>
    </row>
    <row r="428">
      <c r="A428" s="5" t="str">
        <f t="shared" si="3"/>
        <v>NAME_MOVE_PSYCHOCUT</v>
      </c>
      <c r="B428" s="3" t="s">
        <v>16106</v>
      </c>
      <c r="C428" s="3" t="s">
        <v>16107</v>
      </c>
      <c r="D428" s="3" t="s">
        <v>16108</v>
      </c>
      <c r="E428" s="3" t="s">
        <v>16109</v>
      </c>
      <c r="F428" s="3" t="s">
        <v>16110</v>
      </c>
      <c r="G428" s="3" t="s">
        <v>16111</v>
      </c>
      <c r="H428" s="3" t="s">
        <v>16112</v>
      </c>
      <c r="I428" s="3" t="s">
        <v>16113</v>
      </c>
      <c r="J428" s="5" t="str">
        <f>I428</f>
        <v>精神利刃</v>
      </c>
    </row>
    <row r="429">
      <c r="A429" s="5" t="str">
        <f t="shared" si="3"/>
        <v>NAME_MOVE_ZENHEADBUTT</v>
      </c>
      <c r="B429" s="3" t="s">
        <v>16114</v>
      </c>
      <c r="C429" s="3" t="s">
        <v>16115</v>
      </c>
      <c r="D429" s="3" t="s">
        <v>16116</v>
      </c>
      <c r="E429" s="3" t="s">
        <v>16117</v>
      </c>
      <c r="F429" s="3" t="s">
        <v>16118</v>
      </c>
      <c r="G429" s="3" t="s">
        <v>16119</v>
      </c>
      <c r="H429" s="3" t="s">
        <v>16120</v>
      </c>
      <c r="I429" s="3" t="s">
        <v>16121</v>
      </c>
      <c r="J429" s="5" t="str">
        <f>IFERROR(__xludf.DUMMYFUNCTION("GOOGLETRANSLATE(I429,""zh_HANT"",""zh_HANS"")"),"意念头锤")</f>
        <v>意念头锤</v>
      </c>
    </row>
    <row r="430">
      <c r="A430" s="5" t="str">
        <f t="shared" si="3"/>
        <v>NAME_MOVE_MIRRORSHOT</v>
      </c>
      <c r="B430" s="3" t="s">
        <v>16122</v>
      </c>
      <c r="C430" s="3" t="s">
        <v>16123</v>
      </c>
      <c r="D430" s="3" t="s">
        <v>16124</v>
      </c>
      <c r="E430" s="3" t="s">
        <v>16125</v>
      </c>
      <c r="F430" s="3" t="s">
        <v>16126</v>
      </c>
      <c r="G430" s="3" t="s">
        <v>16127</v>
      </c>
      <c r="H430" s="3" t="s">
        <v>16128</v>
      </c>
      <c r="I430" s="3" t="s">
        <v>16129</v>
      </c>
      <c r="J430" s="5" t="str">
        <f>IFERROR(__xludf.DUMMYFUNCTION("GOOGLETRANSLATE(I430,""zh_HANT"",""zh_HANS"")"),"镜光射击")</f>
        <v>镜光射击</v>
      </c>
    </row>
    <row r="431">
      <c r="A431" s="5" t="str">
        <f t="shared" si="3"/>
        <v>NAME_MOVE_FLASHCANNON</v>
      </c>
      <c r="B431" s="3" t="s">
        <v>16130</v>
      </c>
      <c r="C431" s="3" t="s">
        <v>16131</v>
      </c>
      <c r="D431" s="3" t="s">
        <v>16132</v>
      </c>
      <c r="E431" s="3" t="s">
        <v>16133</v>
      </c>
      <c r="F431" s="3" t="s">
        <v>16134</v>
      </c>
      <c r="G431" s="3" t="s">
        <v>16135</v>
      </c>
      <c r="H431" s="3" t="s">
        <v>16136</v>
      </c>
      <c r="I431" s="3" t="s">
        <v>16137</v>
      </c>
      <c r="J431" s="5" t="str">
        <f>IFERROR(__xludf.DUMMYFUNCTION("GOOGLETRANSLATE(I431,""zh_HANT"",""zh_HANS"")"),"加农光炮")</f>
        <v>加农光炮</v>
      </c>
    </row>
    <row r="432">
      <c r="A432" s="5" t="str">
        <f t="shared" si="3"/>
        <v>NAME_MOVE_ROCKCLIMB</v>
      </c>
      <c r="B432" s="3" t="s">
        <v>16138</v>
      </c>
      <c r="C432" s="3" t="s">
        <v>16139</v>
      </c>
      <c r="D432" s="3" t="s">
        <v>16140</v>
      </c>
      <c r="E432" s="3" t="s">
        <v>16141</v>
      </c>
      <c r="F432" s="3" t="s">
        <v>16142</v>
      </c>
      <c r="G432" s="3" t="s">
        <v>16143</v>
      </c>
      <c r="H432" s="3" t="s">
        <v>16144</v>
      </c>
      <c r="I432" s="3" t="s">
        <v>16145</v>
      </c>
      <c r="J432" s="5" t="str">
        <f>I432</f>
        <v>攀岩</v>
      </c>
    </row>
    <row r="433">
      <c r="A433" s="5" t="str">
        <f t="shared" si="3"/>
        <v>NAME_MOVE_DEFOG</v>
      </c>
      <c r="B433" s="3" t="s">
        <v>16146</v>
      </c>
      <c r="C433" s="3" t="s">
        <v>16147</v>
      </c>
      <c r="D433" s="3" t="s">
        <v>16148</v>
      </c>
      <c r="E433" s="3" t="s">
        <v>16149</v>
      </c>
      <c r="F433" s="3" t="s">
        <v>16150</v>
      </c>
      <c r="G433" s="3" t="s">
        <v>16151</v>
      </c>
      <c r="H433" s="3" t="s">
        <v>16152</v>
      </c>
      <c r="I433" s="3" t="s">
        <v>16153</v>
      </c>
      <c r="J433" s="5" t="str">
        <f>IFERROR(__xludf.DUMMYFUNCTION("GOOGLETRANSLATE(I433,""zh_HANT"",""zh_HANS"")"),"清除浓雾")</f>
        <v>清除浓雾</v>
      </c>
    </row>
    <row r="434">
      <c r="A434" s="5" t="str">
        <f t="shared" si="3"/>
        <v>NAME_MOVE_TRICKROOM</v>
      </c>
      <c r="B434" s="3" t="s">
        <v>16154</v>
      </c>
      <c r="C434" s="3" t="s">
        <v>16155</v>
      </c>
      <c r="D434" s="3" t="s">
        <v>16156</v>
      </c>
      <c r="E434" s="3" t="s">
        <v>16157</v>
      </c>
      <c r="F434" s="3" t="s">
        <v>16158</v>
      </c>
      <c r="G434" s="3" t="s">
        <v>16159</v>
      </c>
      <c r="H434" s="3" t="s">
        <v>16160</v>
      </c>
      <c r="I434" s="3" t="s">
        <v>16161</v>
      </c>
      <c r="J434" s="5" t="str">
        <f>IFERROR(__xludf.DUMMYFUNCTION("GOOGLETRANSLATE(I434,""zh_HANT"",""zh_HANS"")"),"戏法空间")</f>
        <v>戏法空间</v>
      </c>
    </row>
    <row r="435">
      <c r="A435" s="5" t="str">
        <f t="shared" si="3"/>
        <v>NAME_MOVE_DRACOMETEOR</v>
      </c>
      <c r="B435" s="3" t="s">
        <v>16162</v>
      </c>
      <c r="C435" s="3" t="s">
        <v>16163</v>
      </c>
      <c r="D435" s="3" t="s">
        <v>16164</v>
      </c>
      <c r="E435" s="5" t="str">
        <f>B435</f>
        <v>Draco Meteor</v>
      </c>
      <c r="F435" s="3" t="s">
        <v>16165</v>
      </c>
      <c r="G435" s="3" t="s">
        <v>16166</v>
      </c>
      <c r="H435" s="3" t="s">
        <v>16167</v>
      </c>
      <c r="I435" s="3" t="s">
        <v>16168</v>
      </c>
      <c r="J435" s="5" t="str">
        <f>I435</f>
        <v>流星群</v>
      </c>
    </row>
    <row r="436">
      <c r="A436" s="5" t="str">
        <f t="shared" si="3"/>
        <v>NAME_MOVE_DISCHARGE</v>
      </c>
      <c r="B436" s="3" t="s">
        <v>16169</v>
      </c>
      <c r="C436" s="3" t="s">
        <v>16170</v>
      </c>
      <c r="D436" s="3" t="s">
        <v>16171</v>
      </c>
      <c r="E436" s="3" t="s">
        <v>16172</v>
      </c>
      <c r="F436" s="3" t="s">
        <v>16173</v>
      </c>
      <c r="G436" s="3" t="s">
        <v>16174</v>
      </c>
      <c r="H436" s="3" t="s">
        <v>8899</v>
      </c>
      <c r="I436" s="3" t="s">
        <v>8900</v>
      </c>
      <c r="J436" s="5" t="str">
        <f>IFERROR(__xludf.DUMMYFUNCTION("GOOGLETRANSLATE(I436,""zh_HANT"",""zh_HANS"")"),"放电")</f>
        <v>放电</v>
      </c>
    </row>
    <row r="437">
      <c r="A437" s="5" t="str">
        <f t="shared" si="3"/>
        <v>NAME_MOVE_LAVAPLUME</v>
      </c>
      <c r="B437" s="3" t="s">
        <v>16175</v>
      </c>
      <c r="C437" s="3" t="s">
        <v>16176</v>
      </c>
      <c r="D437" s="3" t="s">
        <v>16177</v>
      </c>
      <c r="E437" s="3" t="s">
        <v>16178</v>
      </c>
      <c r="F437" s="3" t="s">
        <v>16179</v>
      </c>
      <c r="G437" s="3" t="s">
        <v>16180</v>
      </c>
      <c r="H437" s="3" t="s">
        <v>16181</v>
      </c>
      <c r="I437" s="3" t="s">
        <v>16182</v>
      </c>
      <c r="J437" s="5" t="str">
        <f>IFERROR(__xludf.DUMMYFUNCTION("GOOGLETRANSLATE(I437,""zh_HANT"",""zh_HANS"")"),"喷烟")</f>
        <v>喷烟</v>
      </c>
    </row>
    <row r="438">
      <c r="A438" s="5" t="str">
        <f t="shared" si="3"/>
        <v>NAME_MOVE_LEAFSTORM</v>
      </c>
      <c r="B438" s="3" t="s">
        <v>16183</v>
      </c>
      <c r="C438" s="3" t="s">
        <v>16184</v>
      </c>
      <c r="D438" s="3" t="s">
        <v>16185</v>
      </c>
      <c r="E438" s="3" t="s">
        <v>16186</v>
      </c>
      <c r="F438" s="3" t="s">
        <v>16187</v>
      </c>
      <c r="G438" s="3" t="s">
        <v>16188</v>
      </c>
      <c r="H438" s="3" t="s">
        <v>16189</v>
      </c>
      <c r="I438" s="3" t="s">
        <v>16190</v>
      </c>
      <c r="J438" s="5" t="str">
        <f>IFERROR(__xludf.DUMMYFUNCTION("GOOGLETRANSLATE(I438,""zh_HANT"",""zh_HANS"")"),"飞叶风暴")</f>
        <v>飞叶风暴</v>
      </c>
    </row>
    <row r="439">
      <c r="A439" s="5" t="str">
        <f t="shared" si="3"/>
        <v>NAME_MOVE_POWERWHIP</v>
      </c>
      <c r="B439" s="3" t="s">
        <v>16191</v>
      </c>
      <c r="C439" s="3" t="s">
        <v>16192</v>
      </c>
      <c r="D439" s="3" t="s">
        <v>16193</v>
      </c>
      <c r="E439" s="3" t="s">
        <v>16194</v>
      </c>
      <c r="F439" s="3" t="s">
        <v>16195</v>
      </c>
      <c r="G439" s="3" t="s">
        <v>16196</v>
      </c>
      <c r="H439" s="3" t="s">
        <v>16197</v>
      </c>
      <c r="I439" s="3" t="s">
        <v>16190</v>
      </c>
      <c r="J439" s="5" t="str">
        <f>IFERROR(__xludf.DUMMYFUNCTION("GOOGLETRANSLATE(I439,""zh_HANT"",""zh_HANS"")"),"飞叶风暴")</f>
        <v>飞叶风暴</v>
      </c>
    </row>
    <row r="440">
      <c r="A440" s="5" t="str">
        <f t="shared" si="3"/>
        <v>NAME_MOVE_ROCKWRECKER</v>
      </c>
      <c r="B440" s="3" t="s">
        <v>16198</v>
      </c>
      <c r="C440" s="3" t="s">
        <v>16199</v>
      </c>
      <c r="D440" s="3" t="s">
        <v>16200</v>
      </c>
      <c r="E440" s="3" t="s">
        <v>16201</v>
      </c>
      <c r="F440" s="3" t="s">
        <v>16202</v>
      </c>
      <c r="G440" s="3" t="s">
        <v>16203</v>
      </c>
      <c r="H440" s="3" t="s">
        <v>16204</v>
      </c>
      <c r="I440" s="3" t="s">
        <v>16205</v>
      </c>
      <c r="J440" s="5" t="str">
        <f t="shared" ref="J440:J441" si="36">I440</f>
        <v>岩石炮</v>
      </c>
    </row>
    <row r="441">
      <c r="A441" s="5" t="str">
        <f t="shared" si="3"/>
        <v>NAME_MOVE_CROSSPOISON</v>
      </c>
      <c r="B441" s="3" t="s">
        <v>16206</v>
      </c>
      <c r="C441" s="3" t="s">
        <v>16207</v>
      </c>
      <c r="D441" s="3" t="s">
        <v>16208</v>
      </c>
      <c r="E441" s="3" t="s">
        <v>16209</v>
      </c>
      <c r="F441" s="3" t="s">
        <v>16210</v>
      </c>
      <c r="G441" s="3" t="s">
        <v>16211</v>
      </c>
      <c r="H441" s="3" t="s">
        <v>16212</v>
      </c>
      <c r="I441" s="3" t="s">
        <v>16213</v>
      </c>
      <c r="J441" s="5" t="str">
        <f t="shared" si="36"/>
        <v>十字毒刃</v>
      </c>
    </row>
    <row r="442">
      <c r="A442" s="5" t="str">
        <f t="shared" si="3"/>
        <v>NAME_MOVE_GUNKSHOT</v>
      </c>
      <c r="B442" s="3" t="s">
        <v>16214</v>
      </c>
      <c r="C442" s="3" t="s">
        <v>16215</v>
      </c>
      <c r="D442" s="3" t="s">
        <v>16216</v>
      </c>
      <c r="E442" s="3" t="s">
        <v>16217</v>
      </c>
      <c r="F442" s="3" t="s">
        <v>16218</v>
      </c>
      <c r="G442" s="3" t="s">
        <v>16219</v>
      </c>
      <c r="H442" s="3" t="s">
        <v>16220</v>
      </c>
      <c r="I442" s="3" t="s">
        <v>16221</v>
      </c>
      <c r="J442" s="5" t="str">
        <f>IFERROR(__xludf.DUMMYFUNCTION("GOOGLETRANSLATE(I442,""zh_HANT"",""zh_HANS"")"),"垃圾射击")</f>
        <v>垃圾射击</v>
      </c>
    </row>
    <row r="443">
      <c r="A443" s="5" t="str">
        <f t="shared" si="3"/>
        <v>NAME_MOVE_IRONHEAD</v>
      </c>
      <c r="B443" s="3" t="s">
        <v>16222</v>
      </c>
      <c r="C443" s="3" t="s">
        <v>16223</v>
      </c>
      <c r="D443" s="3" t="s">
        <v>16224</v>
      </c>
      <c r="E443" s="3" t="s">
        <v>16225</v>
      </c>
      <c r="F443" s="3" t="s">
        <v>16226</v>
      </c>
      <c r="G443" s="3" t="s">
        <v>16227</v>
      </c>
      <c r="H443" s="3" t="s">
        <v>16228</v>
      </c>
      <c r="I443" s="3" t="s">
        <v>16229</v>
      </c>
      <c r="J443" s="5" t="str">
        <f>IFERROR(__xludf.DUMMYFUNCTION("GOOGLETRANSLATE(I443,""zh_HANT"",""zh_HANS"")"),"铁头")</f>
        <v>铁头</v>
      </c>
    </row>
    <row r="444">
      <c r="A444" s="5" t="str">
        <f t="shared" si="3"/>
        <v>NAME_MOVE_MAGNETBOMB</v>
      </c>
      <c r="B444" s="3" t="s">
        <v>16230</v>
      </c>
      <c r="C444" s="3" t="s">
        <v>16231</v>
      </c>
      <c r="D444" s="3" t="s">
        <v>16232</v>
      </c>
      <c r="E444" s="3" t="s">
        <v>16233</v>
      </c>
      <c r="F444" s="3" t="s">
        <v>16234</v>
      </c>
      <c r="G444" s="3" t="s">
        <v>16235</v>
      </c>
      <c r="H444" s="3" t="s">
        <v>16236</v>
      </c>
      <c r="I444" s="3" t="s">
        <v>16237</v>
      </c>
      <c r="J444" s="5" t="str">
        <f>IFERROR(__xludf.DUMMYFUNCTION("GOOGLETRANSLATE(I444,""zh_HANT"",""zh_HANS"")"),"磁铁炸弹")</f>
        <v>磁铁炸弹</v>
      </c>
    </row>
    <row r="445">
      <c r="A445" s="5" t="str">
        <f t="shared" si="3"/>
        <v>NAME_MOVE_STONEEDGE</v>
      </c>
      <c r="B445" s="3" t="s">
        <v>16238</v>
      </c>
      <c r="C445" s="3" t="s">
        <v>16239</v>
      </c>
      <c r="D445" s="3" t="s">
        <v>16240</v>
      </c>
      <c r="E445" s="3" t="s">
        <v>16241</v>
      </c>
      <c r="F445" s="3" t="s">
        <v>16242</v>
      </c>
      <c r="G445" s="3" t="s">
        <v>16243</v>
      </c>
      <c r="H445" s="3" t="s">
        <v>16244</v>
      </c>
      <c r="I445" s="3" t="s">
        <v>16245</v>
      </c>
      <c r="J445" s="5" t="str">
        <f>IFERROR(__xludf.DUMMYFUNCTION("GOOGLETRANSLATE(I445,""zh_HANT"",""zh_HANS"")"),"尖石攻击")</f>
        <v>尖石攻击</v>
      </c>
    </row>
    <row r="446">
      <c r="A446" s="5" t="str">
        <f t="shared" si="3"/>
        <v>NAME_MOVE_CAPTIVATE</v>
      </c>
      <c r="B446" s="3" t="s">
        <v>16246</v>
      </c>
      <c r="C446" s="3" t="s">
        <v>16247</v>
      </c>
      <c r="D446" s="3" t="s">
        <v>16248</v>
      </c>
      <c r="E446" s="3" t="s">
        <v>16249</v>
      </c>
      <c r="F446" s="3" t="s">
        <v>16250</v>
      </c>
      <c r="G446" s="3" t="s">
        <v>16251</v>
      </c>
      <c r="H446" s="3" t="s">
        <v>16252</v>
      </c>
      <c r="I446" s="3" t="s">
        <v>16253</v>
      </c>
      <c r="J446" s="5" t="str">
        <f>IFERROR(__xludf.DUMMYFUNCTION("GOOGLETRANSLATE(I446,""zh_HANT"",""zh_HANS"")"),"诱惑")</f>
        <v>诱惑</v>
      </c>
    </row>
    <row r="447">
      <c r="A447" s="5" t="str">
        <f t="shared" si="3"/>
        <v>NAME_MOVE_STEALTHROCK</v>
      </c>
      <c r="B447" s="3" t="s">
        <v>16254</v>
      </c>
      <c r="C447" s="3" t="s">
        <v>16255</v>
      </c>
      <c r="D447" s="3" t="s">
        <v>16256</v>
      </c>
      <c r="E447" s="3" t="s">
        <v>16257</v>
      </c>
      <c r="F447" s="3" t="s">
        <v>16258</v>
      </c>
      <c r="G447" s="3" t="s">
        <v>16259</v>
      </c>
      <c r="H447" s="3" t="s">
        <v>16260</v>
      </c>
      <c r="I447" s="3" t="s">
        <v>16261</v>
      </c>
      <c r="J447" s="5" t="str">
        <f>IFERROR(__xludf.DUMMYFUNCTION("GOOGLETRANSLATE(I447,""zh_HANT"",""zh_HANS"")"),"隐形岩")</f>
        <v>隐形岩</v>
      </c>
    </row>
    <row r="448">
      <c r="A448" s="5" t="str">
        <f t="shared" si="3"/>
        <v>NAME_MOVE_GRASSKNOT</v>
      </c>
      <c r="B448" s="3" t="s">
        <v>16262</v>
      </c>
      <c r="C448" s="3" t="s">
        <v>16263</v>
      </c>
      <c r="D448" s="3" t="s">
        <v>16264</v>
      </c>
      <c r="E448" s="3" t="s">
        <v>16265</v>
      </c>
      <c r="F448" s="3" t="s">
        <v>16266</v>
      </c>
      <c r="G448" s="3" t="s">
        <v>16267</v>
      </c>
      <c r="H448" s="3" t="s">
        <v>16268</v>
      </c>
      <c r="I448" s="3" t="s">
        <v>16269</v>
      </c>
      <c r="J448" s="5" t="str">
        <f>IFERROR(__xludf.DUMMYFUNCTION("GOOGLETRANSLATE(I448,""zh_HANT"",""zh_HANS"")"),"打草结")</f>
        <v>打草结</v>
      </c>
    </row>
    <row r="449">
      <c r="A449" s="5" t="str">
        <f t="shared" si="3"/>
        <v>NAME_MOVE_CHATTER</v>
      </c>
      <c r="B449" s="3" t="s">
        <v>16270</v>
      </c>
      <c r="C449" s="3" t="s">
        <v>16271</v>
      </c>
      <c r="D449" s="3" t="s">
        <v>16272</v>
      </c>
      <c r="E449" s="3" t="s">
        <v>16273</v>
      </c>
      <c r="F449" s="3" t="s">
        <v>16274</v>
      </c>
      <c r="G449" s="3" t="s">
        <v>16275</v>
      </c>
      <c r="H449" s="6" t="s">
        <v>16276</v>
      </c>
      <c r="I449" s="6" t="s">
        <v>16277</v>
      </c>
      <c r="J449" s="5" t="str">
        <f>I449</f>
        <v>喋喋不休</v>
      </c>
    </row>
    <row r="450">
      <c r="A450" s="5" t="str">
        <f t="shared" si="3"/>
        <v>NAME_MOVE_JUDGMENT</v>
      </c>
      <c r="B450" s="3" t="s">
        <v>16278</v>
      </c>
      <c r="C450" s="3" t="s">
        <v>16279</v>
      </c>
      <c r="D450" s="3" t="s">
        <v>16280</v>
      </c>
      <c r="E450" s="3" t="s">
        <v>16281</v>
      </c>
      <c r="F450" s="3" t="s">
        <v>16282</v>
      </c>
      <c r="G450" s="3" t="s">
        <v>16283</v>
      </c>
      <c r="H450" s="7" t="s">
        <v>16284</v>
      </c>
      <c r="I450" s="7" t="s">
        <v>16285</v>
      </c>
      <c r="J450" s="5" t="str">
        <f>IFERROR(__xludf.DUMMYFUNCTION("GOOGLETRANSLATE(I450,""zh_HANT"",""zh_HANS"")"),"制裁光砾")</f>
        <v>制裁光砾</v>
      </c>
    </row>
    <row r="451">
      <c r="A451" s="5" t="str">
        <f t="shared" si="3"/>
        <v>NAME_MOVE_BUGBITE</v>
      </c>
      <c r="B451" s="3" t="s">
        <v>16286</v>
      </c>
      <c r="C451" s="3" t="s">
        <v>16287</v>
      </c>
      <c r="D451" s="3" t="s">
        <v>16288</v>
      </c>
      <c r="E451" s="3" t="s">
        <v>16289</v>
      </c>
      <c r="F451" s="3" t="s">
        <v>16290</v>
      </c>
      <c r="G451" s="3" t="s">
        <v>16291</v>
      </c>
      <c r="H451" s="7" t="s">
        <v>16292</v>
      </c>
      <c r="I451" s="7" t="s">
        <v>16293</v>
      </c>
      <c r="J451" s="5" t="str">
        <f>IFERROR(__xludf.DUMMYFUNCTION("GOOGLETRANSLATE(I451,""zh_HANT"",""zh_HANS"")"),"虫咬")</f>
        <v>虫咬</v>
      </c>
    </row>
    <row r="452">
      <c r="A452" s="5" t="str">
        <f t="shared" si="3"/>
        <v>NAME_MOVE_CHARGEBEAM</v>
      </c>
      <c r="B452" s="3" t="s">
        <v>16294</v>
      </c>
      <c r="C452" s="3" t="s">
        <v>16295</v>
      </c>
      <c r="D452" s="3" t="s">
        <v>16296</v>
      </c>
      <c r="E452" s="3" t="s">
        <v>16297</v>
      </c>
      <c r="F452" s="3" t="s">
        <v>16298</v>
      </c>
      <c r="G452" s="3" t="s">
        <v>16299</v>
      </c>
      <c r="H452" s="7" t="s">
        <v>16300</v>
      </c>
      <c r="I452" s="7" t="s">
        <v>16301</v>
      </c>
      <c r="J452" s="5" t="str">
        <f>IFERROR(__xludf.DUMMYFUNCTION("GOOGLETRANSLATE(I452,""zh_HANT"",""zh_HANS"")"),"充电光束")</f>
        <v>充电光束</v>
      </c>
    </row>
    <row r="453">
      <c r="A453" s="5" t="str">
        <f t="shared" si="3"/>
        <v>NAME_MOVE_WOODHAMMER</v>
      </c>
      <c r="B453" s="3" t="s">
        <v>16302</v>
      </c>
      <c r="C453" s="3" t="s">
        <v>16303</v>
      </c>
      <c r="D453" s="3" t="s">
        <v>16304</v>
      </c>
      <c r="E453" s="3" t="s">
        <v>16305</v>
      </c>
      <c r="F453" s="3" t="s">
        <v>16306</v>
      </c>
      <c r="G453" s="3" t="s">
        <v>16307</v>
      </c>
      <c r="H453" s="3" t="s">
        <v>16308</v>
      </c>
      <c r="I453" s="3" t="s">
        <v>16309</v>
      </c>
      <c r="J453" s="5" t="str">
        <f>I453</f>
        <v>木槌</v>
      </c>
    </row>
    <row r="454">
      <c r="A454" s="5" t="str">
        <f t="shared" si="3"/>
        <v>NAME_MOVE_AQUAJET</v>
      </c>
      <c r="B454" s="3" t="s">
        <v>16310</v>
      </c>
      <c r="C454" s="3" t="s">
        <v>16311</v>
      </c>
      <c r="D454" s="3" t="s">
        <v>16312</v>
      </c>
      <c r="E454" s="3" t="s">
        <v>16313</v>
      </c>
      <c r="F454" s="3" t="s">
        <v>16314</v>
      </c>
      <c r="G454" s="3" t="s">
        <v>16315</v>
      </c>
      <c r="H454" s="3" t="s">
        <v>16316</v>
      </c>
      <c r="I454" s="3" t="s">
        <v>16317</v>
      </c>
      <c r="J454" s="5" t="str">
        <f>IFERROR(__xludf.DUMMYFUNCTION("GOOGLETRANSLATE(I454,""zh_HANT"",""zh_HANS"")"),"水流喷射")</f>
        <v>水流喷射</v>
      </c>
    </row>
    <row r="455">
      <c r="A455" s="5" t="str">
        <f t="shared" si="3"/>
        <v>NAME_MOVE_ATTACKORDER</v>
      </c>
      <c r="B455" s="3" t="s">
        <v>16318</v>
      </c>
      <c r="C455" s="3" t="s">
        <v>16319</v>
      </c>
      <c r="D455" s="3" t="s">
        <v>16320</v>
      </c>
      <c r="E455" s="3" t="s">
        <v>16321</v>
      </c>
      <c r="F455" s="3" t="s">
        <v>16322</v>
      </c>
      <c r="G455" s="3" t="s">
        <v>16323</v>
      </c>
      <c r="H455" s="3" t="s">
        <v>16324</v>
      </c>
      <c r="I455" s="3" t="s">
        <v>16325</v>
      </c>
      <c r="J455" s="5" t="str">
        <f>IFERROR(__xludf.DUMMYFUNCTION("GOOGLETRANSLATE(I455,""zh_HANT"",""zh_HANS"")"),"攻击指令")</f>
        <v>攻击指令</v>
      </c>
    </row>
    <row r="456">
      <c r="A456" s="5" t="str">
        <f t="shared" si="3"/>
        <v>NAME_MOVE_DEFENDORDER</v>
      </c>
      <c r="B456" s="3" t="s">
        <v>16326</v>
      </c>
      <c r="C456" s="3" t="s">
        <v>16327</v>
      </c>
      <c r="D456" s="3" t="s">
        <v>16328</v>
      </c>
      <c r="E456" s="3" t="s">
        <v>16329</v>
      </c>
      <c r="F456" s="3" t="s">
        <v>16330</v>
      </c>
      <c r="G456" s="3" t="s">
        <v>16331</v>
      </c>
      <c r="H456" s="3" t="s">
        <v>16332</v>
      </c>
      <c r="I456" s="3" t="s">
        <v>16333</v>
      </c>
      <c r="J456" s="5" t="str">
        <f>IFERROR(__xludf.DUMMYFUNCTION("GOOGLETRANSLATE(I456,""zh_HANT"",""zh_HANS"")"),"防御指令")</f>
        <v>防御指令</v>
      </c>
    </row>
    <row r="457">
      <c r="A457" s="5" t="str">
        <f t="shared" si="3"/>
        <v>NAME_MOVE_HEALORDER</v>
      </c>
      <c r="B457" s="3" t="s">
        <v>16334</v>
      </c>
      <c r="C457" s="3" t="s">
        <v>16335</v>
      </c>
      <c r="D457" s="3" t="s">
        <v>16336</v>
      </c>
      <c r="E457" s="3" t="s">
        <v>16337</v>
      </c>
      <c r="F457" s="3" t="s">
        <v>16338</v>
      </c>
      <c r="G457" s="3" t="s">
        <v>16339</v>
      </c>
      <c r="H457" s="3" t="s">
        <v>16340</v>
      </c>
      <c r="I457" s="3" t="s">
        <v>16341</v>
      </c>
      <c r="J457" s="5" t="str">
        <f>IFERROR(__xludf.DUMMYFUNCTION("GOOGLETRANSLATE(I457,""zh_HANT"",""zh_HANS"")"),"回复指令")</f>
        <v>回复指令</v>
      </c>
    </row>
    <row r="458">
      <c r="A458" s="5" t="str">
        <f t="shared" si="3"/>
        <v>NAME_MOVE_HEADSMASH</v>
      </c>
      <c r="B458" s="3" t="s">
        <v>16342</v>
      </c>
      <c r="C458" s="3" t="s">
        <v>16343</v>
      </c>
      <c r="D458" s="3" t="s">
        <v>16344</v>
      </c>
      <c r="E458" s="3" t="s">
        <v>9500</v>
      </c>
      <c r="F458" s="3" t="s">
        <v>16345</v>
      </c>
      <c r="G458" s="3" t="s">
        <v>16346</v>
      </c>
      <c r="H458" s="3" t="s">
        <v>16347</v>
      </c>
      <c r="I458" s="3" t="s">
        <v>16348</v>
      </c>
      <c r="J458" s="5" t="str">
        <f>IFERROR(__xludf.DUMMYFUNCTION("GOOGLETRANSLATE(I458,""zh_HANT"",""zh_HANS"")"),"双刃头锤")</f>
        <v>双刃头锤</v>
      </c>
    </row>
    <row r="459">
      <c r="A459" s="5" t="str">
        <f t="shared" si="3"/>
        <v>NAME_MOVE_DOUBLEHIT</v>
      </c>
      <c r="B459" s="3" t="s">
        <v>16349</v>
      </c>
      <c r="C459" s="3" t="s">
        <v>16350</v>
      </c>
      <c r="D459" s="3" t="s">
        <v>16351</v>
      </c>
      <c r="E459" s="3" t="s">
        <v>16352</v>
      </c>
      <c r="F459" s="3" t="s">
        <v>16353</v>
      </c>
      <c r="G459" s="3" t="s">
        <v>16354</v>
      </c>
      <c r="H459" s="3" t="s">
        <v>16355</v>
      </c>
      <c r="I459" s="3" t="s">
        <v>16356</v>
      </c>
      <c r="J459" s="5" t="str">
        <f>IFERROR(__xludf.DUMMYFUNCTION("GOOGLETRANSLATE(I459,""zh_HANT"",""zh_HANS"")"),"二连击")</f>
        <v>二连击</v>
      </c>
    </row>
    <row r="460">
      <c r="A460" s="5" t="str">
        <f t="shared" si="3"/>
        <v>NAME_MOVE_ROAROFTIME</v>
      </c>
      <c r="B460" s="3" t="s">
        <v>16357</v>
      </c>
      <c r="C460" s="3" t="s">
        <v>16358</v>
      </c>
      <c r="D460" s="3" t="s">
        <v>16359</v>
      </c>
      <c r="E460" s="3" t="s">
        <v>16360</v>
      </c>
      <c r="F460" s="3" t="s">
        <v>16361</v>
      </c>
      <c r="G460" s="3" t="s">
        <v>16362</v>
      </c>
      <c r="H460" s="3" t="s">
        <v>16363</v>
      </c>
      <c r="I460" s="3" t="s">
        <v>16364</v>
      </c>
      <c r="J460" s="5" t="str">
        <f>IFERROR(__xludf.DUMMYFUNCTION("GOOGLETRANSLATE(I460,""zh_HANT"",""zh_HANS"")"),"时光咆哮")</f>
        <v>时光咆哮</v>
      </c>
    </row>
    <row r="461">
      <c r="A461" s="5" t="str">
        <f t="shared" si="3"/>
        <v>NAME_MOVE_SPACIALREND</v>
      </c>
      <c r="B461" s="3" t="s">
        <v>16365</v>
      </c>
      <c r="C461" s="3" t="s">
        <v>16366</v>
      </c>
      <c r="D461" s="3" t="s">
        <v>16367</v>
      </c>
      <c r="E461" s="3" t="s">
        <v>16368</v>
      </c>
      <c r="F461" s="3" t="s">
        <v>16369</v>
      </c>
      <c r="G461" s="3" t="s">
        <v>16370</v>
      </c>
      <c r="H461" s="3" t="s">
        <v>16371</v>
      </c>
      <c r="I461" s="3" t="s">
        <v>16372</v>
      </c>
      <c r="J461" s="5" t="str">
        <f>IFERROR(__xludf.DUMMYFUNCTION("GOOGLETRANSLATE(I461,""zh_HANT"",""zh_HANS"")"),"亚空裂斩")</f>
        <v>亚空裂斩</v>
      </c>
    </row>
    <row r="462">
      <c r="A462" s="5" t="str">
        <f t="shared" si="3"/>
        <v>NAME_MOVE_LUNARDANCE</v>
      </c>
      <c r="B462" s="3" t="s">
        <v>16373</v>
      </c>
      <c r="C462" s="3" t="s">
        <v>16374</v>
      </c>
      <c r="D462" s="3" t="s">
        <v>16375</v>
      </c>
      <c r="E462" s="3" t="s">
        <v>16376</v>
      </c>
      <c r="F462" s="3" t="s">
        <v>16377</v>
      </c>
      <c r="G462" s="3" t="s">
        <v>16378</v>
      </c>
      <c r="H462" s="3" t="s">
        <v>16379</v>
      </c>
      <c r="I462" s="3" t="s">
        <v>16380</v>
      </c>
      <c r="J462" s="5" t="str">
        <f t="shared" ref="J462:J463" si="37">I462</f>
        <v>新月舞</v>
      </c>
    </row>
    <row r="463">
      <c r="A463" s="5" t="str">
        <f t="shared" si="3"/>
        <v>NAME_MOVE_CRUSHGRIP</v>
      </c>
      <c r="B463" s="3" t="s">
        <v>16381</v>
      </c>
      <c r="C463" s="3" t="s">
        <v>16382</v>
      </c>
      <c r="D463" s="3" t="s">
        <v>16383</v>
      </c>
      <c r="E463" s="3" t="s">
        <v>16384</v>
      </c>
      <c r="F463" s="3" t="s">
        <v>16385</v>
      </c>
      <c r="G463" s="3" t="s">
        <v>16386</v>
      </c>
      <c r="H463" s="3" t="s">
        <v>16387</v>
      </c>
      <c r="I463" s="3" t="s">
        <v>16388</v>
      </c>
      <c r="J463" s="5" t="str">
        <f t="shared" si="37"/>
        <v>捏碎</v>
      </c>
    </row>
    <row r="464">
      <c r="A464" s="5" t="str">
        <f t="shared" si="3"/>
        <v>NAME_MOVE_MAGMASTORM</v>
      </c>
      <c r="B464" s="3" t="s">
        <v>16389</v>
      </c>
      <c r="C464" s="3" t="s">
        <v>16390</v>
      </c>
      <c r="D464" s="3" t="s">
        <v>16391</v>
      </c>
      <c r="E464" s="3" t="s">
        <v>16392</v>
      </c>
      <c r="F464" s="3" t="s">
        <v>16393</v>
      </c>
      <c r="G464" s="3" t="s">
        <v>16394</v>
      </c>
      <c r="H464" s="3" t="s">
        <v>16395</v>
      </c>
      <c r="I464" s="3" t="s">
        <v>16396</v>
      </c>
      <c r="J464" s="5" t="str">
        <f>IFERROR(__xludf.DUMMYFUNCTION("GOOGLETRANSLATE(I464,""zh_HANT"",""zh_HANS"")"),"熔岩风暴")</f>
        <v>熔岩风暴</v>
      </c>
    </row>
    <row r="465">
      <c r="A465" s="5" t="str">
        <f t="shared" si="3"/>
        <v>NAME_MOVE_DARKVOID</v>
      </c>
      <c r="B465" s="3" t="s">
        <v>16397</v>
      </c>
      <c r="C465" s="3" t="s">
        <v>16398</v>
      </c>
      <c r="D465" s="3" t="s">
        <v>16399</v>
      </c>
      <c r="E465" s="3" t="s">
        <v>16400</v>
      </c>
      <c r="F465" s="3" t="s">
        <v>16401</v>
      </c>
      <c r="G465" s="3" t="s">
        <v>16402</v>
      </c>
      <c r="H465" s="3" t="s">
        <v>16403</v>
      </c>
      <c r="I465" s="3" t="s">
        <v>16404</v>
      </c>
      <c r="J465" s="5" t="str">
        <f>I465</f>
        <v>暗黑洞</v>
      </c>
    </row>
    <row r="466">
      <c r="A466" s="5" t="str">
        <f t="shared" si="3"/>
        <v>NAME_MOVE_SEEDFLARE</v>
      </c>
      <c r="B466" s="3" t="s">
        <v>16405</v>
      </c>
      <c r="C466" s="3" t="s">
        <v>16406</v>
      </c>
      <c r="D466" s="3" t="s">
        <v>16407</v>
      </c>
      <c r="E466" s="3" t="s">
        <v>16408</v>
      </c>
      <c r="F466" s="3" t="s">
        <v>16409</v>
      </c>
      <c r="G466" s="3" t="s">
        <v>16410</v>
      </c>
      <c r="H466" s="3" t="s">
        <v>16411</v>
      </c>
      <c r="I466" s="3" t="s">
        <v>16412</v>
      </c>
      <c r="J466" s="5" t="str">
        <f>IFERROR(__xludf.DUMMYFUNCTION("GOOGLETRANSLATE(I466,""zh_HANT"",""zh_HANS"")"),"种子闪光")</f>
        <v>种子闪光</v>
      </c>
    </row>
    <row r="467">
      <c r="A467" s="5" t="str">
        <f t="shared" si="3"/>
        <v>NAME_MOVE_OMINOUSWIND</v>
      </c>
      <c r="B467" s="3" t="s">
        <v>16413</v>
      </c>
      <c r="C467" s="3" t="s">
        <v>16414</v>
      </c>
      <c r="D467" s="3" t="s">
        <v>16415</v>
      </c>
      <c r="E467" s="3" t="s">
        <v>16416</v>
      </c>
      <c r="F467" s="3" t="s">
        <v>16417</v>
      </c>
      <c r="G467" s="3" t="s">
        <v>16418</v>
      </c>
      <c r="H467" s="3" t="s">
        <v>16419</v>
      </c>
      <c r="I467" s="3" t="s">
        <v>16420</v>
      </c>
      <c r="J467" s="5" t="str">
        <f>IFERROR(__xludf.DUMMYFUNCTION("GOOGLETRANSLATE(I467,""zh_HANT"",""zh_HANS"")"),"奇异之风")</f>
        <v>奇异之风</v>
      </c>
    </row>
    <row r="468">
      <c r="A468" s="5" t="str">
        <f t="shared" si="3"/>
        <v>NAME_MOVE_SHADOWFORCE</v>
      </c>
      <c r="B468" s="3" t="s">
        <v>16421</v>
      </c>
      <c r="C468" s="3" t="s">
        <v>16422</v>
      </c>
      <c r="D468" s="3" t="s">
        <v>16423</v>
      </c>
      <c r="E468" s="3" t="s">
        <v>16424</v>
      </c>
      <c r="F468" s="3" t="s">
        <v>16425</v>
      </c>
      <c r="G468" s="3" t="s">
        <v>16426</v>
      </c>
      <c r="H468" s="3" t="s">
        <v>16427</v>
      </c>
      <c r="I468" s="3" t="s">
        <v>16428</v>
      </c>
      <c r="J468" s="5" t="str">
        <f>IFERROR(__xludf.DUMMYFUNCTION("GOOGLETRANSLATE(I468,""zh_HANT"",""zh_HANS"")"),"暗影潜袭")</f>
        <v>暗影潜袭</v>
      </c>
    </row>
    <row r="469">
      <c r="A469" s="5" t="str">
        <f t="shared" si="3"/>
        <v>NAME_MOVE_HONECLAWS</v>
      </c>
      <c r="B469" s="3" t="s">
        <v>16429</v>
      </c>
      <c r="C469" s="3" t="s">
        <v>16430</v>
      </c>
      <c r="D469" s="3" t="s">
        <v>16431</v>
      </c>
      <c r="E469" s="3" t="s">
        <v>16432</v>
      </c>
      <c r="F469" s="3" t="s">
        <v>16433</v>
      </c>
      <c r="G469" s="3" t="s">
        <v>16434</v>
      </c>
      <c r="H469" s="3" t="s">
        <v>16435</v>
      </c>
      <c r="I469" s="3" t="s">
        <v>16436</v>
      </c>
      <c r="J469" s="5" t="str">
        <f>I469</f>
        <v>磨爪</v>
      </c>
    </row>
    <row r="470">
      <c r="A470" s="5" t="str">
        <f t="shared" si="3"/>
        <v>NAME_MOVE_WIDEGUARD</v>
      </c>
      <c r="B470" s="3" t="s">
        <v>16437</v>
      </c>
      <c r="C470" s="3" t="s">
        <v>16438</v>
      </c>
      <c r="D470" s="3" t="s">
        <v>16439</v>
      </c>
      <c r="E470" s="3" t="s">
        <v>16440</v>
      </c>
      <c r="F470" s="3" t="s">
        <v>16441</v>
      </c>
      <c r="G470" s="3" t="s">
        <v>14508</v>
      </c>
      <c r="H470" s="3" t="s">
        <v>16442</v>
      </c>
      <c r="I470" s="3" t="s">
        <v>16443</v>
      </c>
      <c r="J470" s="5" t="str">
        <f>IFERROR(__xludf.DUMMYFUNCTION("GOOGLETRANSLATE(I470,""zh_HANT"",""zh_HANS"")"),"广域防守")</f>
        <v>广域防守</v>
      </c>
    </row>
    <row r="471">
      <c r="A471" s="5" t="str">
        <f t="shared" si="3"/>
        <v>NAME_MOVE_GUARDSPLIT</v>
      </c>
      <c r="B471" s="3" t="s">
        <v>16444</v>
      </c>
      <c r="C471" s="3" t="s">
        <v>16445</v>
      </c>
      <c r="D471" s="3" t="s">
        <v>16446</v>
      </c>
      <c r="E471" s="3" t="s">
        <v>16447</v>
      </c>
      <c r="F471" s="3" t="s">
        <v>16448</v>
      </c>
      <c r="G471" s="3" t="s">
        <v>16449</v>
      </c>
      <c r="H471" s="3" t="s">
        <v>16450</v>
      </c>
      <c r="I471" s="3" t="s">
        <v>16451</v>
      </c>
      <c r="J471" s="5" t="str">
        <f t="shared" ref="J471:J472" si="38">I471</f>
        <v>防守平分</v>
      </c>
    </row>
    <row r="472">
      <c r="A472" s="5" t="str">
        <f t="shared" si="3"/>
        <v>NAME_MOVE_POWERSPLIT</v>
      </c>
      <c r="B472" s="3" t="s">
        <v>16452</v>
      </c>
      <c r="C472" s="3" t="s">
        <v>16453</v>
      </c>
      <c r="D472" s="3" t="s">
        <v>16454</v>
      </c>
      <c r="E472" s="3" t="s">
        <v>16455</v>
      </c>
      <c r="F472" s="3" t="s">
        <v>16456</v>
      </c>
      <c r="G472" s="3" t="s">
        <v>16457</v>
      </c>
      <c r="H472" s="3" t="s">
        <v>16458</v>
      </c>
      <c r="I472" s="3" t="s">
        <v>16459</v>
      </c>
      <c r="J472" s="5" t="str">
        <f t="shared" si="38"/>
        <v>力量平分</v>
      </c>
    </row>
    <row r="473">
      <c r="A473" s="5" t="str">
        <f t="shared" si="3"/>
        <v>NAME_MOVE_WONDERROOM</v>
      </c>
      <c r="B473" s="3" t="s">
        <v>16460</v>
      </c>
      <c r="C473" s="3" t="s">
        <v>16461</v>
      </c>
      <c r="D473" s="3" t="s">
        <v>16462</v>
      </c>
      <c r="E473" s="3" t="s">
        <v>16463</v>
      </c>
      <c r="F473" s="3" t="s">
        <v>16464</v>
      </c>
      <c r="G473" s="3" t="s">
        <v>16465</v>
      </c>
      <c r="H473" s="3" t="s">
        <v>16466</v>
      </c>
      <c r="I473" s="3" t="s">
        <v>16467</v>
      </c>
      <c r="J473" s="5" t="str">
        <f>IFERROR(__xludf.DUMMYFUNCTION("GOOGLETRANSLATE(I473,""zh_HANT"",""zh_HANS"")"),"奇妙空间")</f>
        <v>奇妙空间</v>
      </c>
    </row>
    <row r="474">
      <c r="A474" s="5" t="str">
        <f t="shared" si="3"/>
        <v>NAME_MOVE_PSYSHOCK</v>
      </c>
      <c r="B474" s="3" t="s">
        <v>16468</v>
      </c>
      <c r="C474" s="3" t="s">
        <v>16469</v>
      </c>
      <c r="D474" s="3" t="s">
        <v>16470</v>
      </c>
      <c r="E474" s="3" t="s">
        <v>16471</v>
      </c>
      <c r="F474" s="3" t="s">
        <v>16472</v>
      </c>
      <c r="G474" s="3" t="s">
        <v>16473</v>
      </c>
      <c r="H474" s="3" t="s">
        <v>16474</v>
      </c>
      <c r="I474" s="3" t="s">
        <v>16475</v>
      </c>
      <c r="J474" s="5" t="str">
        <f>IFERROR(__xludf.DUMMYFUNCTION("GOOGLETRANSLATE(I474,""zh_HANT"",""zh_HANS"")"),"精神冲击")</f>
        <v>精神冲击</v>
      </c>
    </row>
    <row r="475">
      <c r="A475" s="5" t="str">
        <f t="shared" si="3"/>
        <v>NAME_MOVE_VENOSHOCK</v>
      </c>
      <c r="B475" s="3" t="s">
        <v>16476</v>
      </c>
      <c r="C475" s="3" t="s">
        <v>16477</v>
      </c>
      <c r="D475" s="3" t="s">
        <v>16478</v>
      </c>
      <c r="E475" s="3" t="s">
        <v>16479</v>
      </c>
      <c r="F475" s="3" t="s">
        <v>16480</v>
      </c>
      <c r="G475" s="3" t="s">
        <v>16481</v>
      </c>
      <c r="H475" s="3" t="s">
        <v>16482</v>
      </c>
      <c r="I475" s="3" t="s">
        <v>16483</v>
      </c>
      <c r="J475" s="5" t="str">
        <f>IFERROR(__xludf.DUMMYFUNCTION("GOOGLETRANSLATE(I475,""zh_HANT"",""zh_HANS"")"),"毒液冲击")</f>
        <v>毒液冲击</v>
      </c>
    </row>
    <row r="476">
      <c r="A476" s="5" t="str">
        <f t="shared" si="3"/>
        <v>NAME_MOVE_AUTOTOMIZE</v>
      </c>
      <c r="B476" s="3" t="s">
        <v>16484</v>
      </c>
      <c r="C476" s="3" t="s">
        <v>16485</v>
      </c>
      <c r="D476" s="3" t="s">
        <v>16486</v>
      </c>
      <c r="E476" s="3" t="s">
        <v>16487</v>
      </c>
      <c r="F476" s="3" t="s">
        <v>16488</v>
      </c>
      <c r="G476" s="3" t="s">
        <v>16489</v>
      </c>
      <c r="H476" s="3" t="s">
        <v>16490</v>
      </c>
      <c r="I476" s="3" t="s">
        <v>16491</v>
      </c>
      <c r="J476" s="5" t="str">
        <f>IFERROR(__xludf.DUMMYFUNCTION("GOOGLETRANSLATE(I476,""zh_HANT"",""zh_HANS"")"),"身体轻量化")</f>
        <v>身体轻量化</v>
      </c>
    </row>
    <row r="477">
      <c r="A477" s="5" t="str">
        <f t="shared" si="3"/>
        <v>NAME_MOVE_RAGEPOWDER</v>
      </c>
      <c r="B477" s="3" t="s">
        <v>16492</v>
      </c>
      <c r="C477" s="3" t="s">
        <v>16493</v>
      </c>
      <c r="D477" s="3" t="s">
        <v>16494</v>
      </c>
      <c r="E477" s="3" t="s">
        <v>16495</v>
      </c>
      <c r="F477" s="3" t="s">
        <v>16496</v>
      </c>
      <c r="G477" s="3" t="s">
        <v>16497</v>
      </c>
      <c r="H477" s="3" t="s">
        <v>16498</v>
      </c>
      <c r="I477" s="3" t="s">
        <v>16499</v>
      </c>
      <c r="J477" s="5" t="str">
        <f>IFERROR(__xludf.DUMMYFUNCTION("GOOGLETRANSLATE(I477,""zh_HANT"",""zh_HANS"")"),"愤怒粉")</f>
        <v>愤怒粉</v>
      </c>
    </row>
    <row r="478">
      <c r="A478" s="5" t="str">
        <f t="shared" si="3"/>
        <v>NAME_MOVE_TELEKINESIS</v>
      </c>
      <c r="B478" s="3" t="s">
        <v>16500</v>
      </c>
      <c r="C478" s="3" t="s">
        <v>16501</v>
      </c>
      <c r="D478" s="3" t="s">
        <v>16502</v>
      </c>
      <c r="E478" s="3" t="s">
        <v>16503</v>
      </c>
      <c r="F478" s="3" t="s">
        <v>16504</v>
      </c>
      <c r="G478" s="3" t="s">
        <v>16505</v>
      </c>
      <c r="H478" s="3" t="s">
        <v>16506</v>
      </c>
      <c r="I478" s="3" t="s">
        <v>16507</v>
      </c>
      <c r="J478" s="5" t="str">
        <f>I478</f>
        <v>意念移物</v>
      </c>
    </row>
    <row r="479">
      <c r="A479" s="5" t="str">
        <f t="shared" si="3"/>
        <v>NAME_MOVE_MAGICROOM</v>
      </c>
      <c r="B479" s="3" t="s">
        <v>16508</v>
      </c>
      <c r="C479" s="3" t="s">
        <v>16509</v>
      </c>
      <c r="D479" s="3" t="s">
        <v>16510</v>
      </c>
      <c r="E479" s="3" t="s">
        <v>16511</v>
      </c>
      <c r="F479" s="3" t="s">
        <v>16512</v>
      </c>
      <c r="G479" s="3" t="s">
        <v>16513</v>
      </c>
      <c r="H479" s="3" t="s">
        <v>16514</v>
      </c>
      <c r="I479" s="3" t="s">
        <v>16515</v>
      </c>
      <c r="J479" s="5" t="str">
        <f>IFERROR(__xludf.DUMMYFUNCTION("GOOGLETRANSLATE(I479,""zh_HANT"",""zh_HANS"")"),"魔法空间")</f>
        <v>魔法空间</v>
      </c>
    </row>
    <row r="480">
      <c r="A480" s="5" t="str">
        <f t="shared" si="3"/>
        <v>NAME_MOVE_SMACKDOWN</v>
      </c>
      <c r="B480" s="3" t="s">
        <v>16516</v>
      </c>
      <c r="C480" s="3" t="s">
        <v>16517</v>
      </c>
      <c r="D480" s="3" t="s">
        <v>16518</v>
      </c>
      <c r="E480" s="3" t="s">
        <v>16519</v>
      </c>
      <c r="F480" s="3" t="s">
        <v>16520</v>
      </c>
      <c r="G480" s="3" t="s">
        <v>16521</v>
      </c>
      <c r="H480" s="3" t="s">
        <v>16522</v>
      </c>
      <c r="I480" s="3" t="s">
        <v>16523</v>
      </c>
      <c r="J480" s="5" t="str">
        <f>IFERROR(__xludf.DUMMYFUNCTION("GOOGLETRANSLATE(I480,""zh_HANT"",""zh_HANS"")"),"击落")</f>
        <v>击落</v>
      </c>
    </row>
    <row r="481">
      <c r="A481" s="5" t="str">
        <f t="shared" si="3"/>
        <v>NAME_MOVE_STORMTHROW</v>
      </c>
      <c r="B481" s="3" t="s">
        <v>16524</v>
      </c>
      <c r="C481" s="3" t="s">
        <v>16525</v>
      </c>
      <c r="D481" s="3" t="s">
        <v>16526</v>
      </c>
      <c r="E481" s="3" t="s">
        <v>16527</v>
      </c>
      <c r="F481" s="3" t="s">
        <v>16528</v>
      </c>
      <c r="G481" s="3" t="s">
        <v>16529</v>
      </c>
      <c r="H481" s="3" t="s">
        <v>16530</v>
      </c>
      <c r="I481" s="3" t="s">
        <v>16531</v>
      </c>
      <c r="J481" s="5" t="str">
        <f>IFERROR(__xludf.DUMMYFUNCTION("GOOGLETRANSLATE(I481,""zh_HANT"",""zh_HANS"")"),"山岚摔")</f>
        <v>山岚摔</v>
      </c>
    </row>
    <row r="482">
      <c r="A482" s="5" t="str">
        <f t="shared" si="3"/>
        <v>NAME_MOVE_FLAMEBURST</v>
      </c>
      <c r="B482" s="3" t="s">
        <v>16532</v>
      </c>
      <c r="C482" s="3" t="s">
        <v>16533</v>
      </c>
      <c r="D482" s="3" t="s">
        <v>16534</v>
      </c>
      <c r="E482" s="3" t="s">
        <v>16535</v>
      </c>
      <c r="F482" s="3" t="s">
        <v>11777</v>
      </c>
      <c r="G482" s="3" t="s">
        <v>16536</v>
      </c>
      <c r="H482" s="3" t="s">
        <v>16537</v>
      </c>
      <c r="I482" s="3" t="s">
        <v>16538</v>
      </c>
      <c r="J482" s="5" t="str">
        <f>IFERROR(__xludf.DUMMYFUNCTION("GOOGLETRANSLATE(I482,""zh_HANT"",""zh_HANS"")"),"烈焰溅射")</f>
        <v>烈焰溅射</v>
      </c>
    </row>
    <row r="483">
      <c r="A483" s="5" t="str">
        <f t="shared" si="3"/>
        <v>NAME_MOVE_SLUDGEWAVE</v>
      </c>
      <c r="B483" s="3" t="s">
        <v>16539</v>
      </c>
      <c r="C483" s="3" t="s">
        <v>16540</v>
      </c>
      <c r="D483" s="3" t="s">
        <v>16541</v>
      </c>
      <c r="E483" s="3" t="s">
        <v>16542</v>
      </c>
      <c r="F483" s="3" t="s">
        <v>16543</v>
      </c>
      <c r="G483" s="3" t="s">
        <v>16544</v>
      </c>
      <c r="H483" s="3" t="s">
        <v>16545</v>
      </c>
      <c r="I483" s="3" t="s">
        <v>16546</v>
      </c>
      <c r="J483" s="5" t="str">
        <f t="shared" ref="J483:J484" si="39">I483</f>
        <v>污泥波</v>
      </c>
    </row>
    <row r="484">
      <c r="A484" s="5" t="str">
        <f t="shared" si="3"/>
        <v>NAME_MOVE_QUIVERDANCE</v>
      </c>
      <c r="B484" s="3" t="s">
        <v>16547</v>
      </c>
      <c r="C484" s="3" t="s">
        <v>16548</v>
      </c>
      <c r="D484" s="3" t="s">
        <v>16549</v>
      </c>
      <c r="E484" s="3" t="s">
        <v>16550</v>
      </c>
      <c r="F484" s="3" t="s">
        <v>16551</v>
      </c>
      <c r="G484" s="3" t="s">
        <v>16552</v>
      </c>
      <c r="H484" s="3" t="s">
        <v>16553</v>
      </c>
      <c r="I484" s="3" t="s">
        <v>16554</v>
      </c>
      <c r="J484" s="5" t="str">
        <f t="shared" si="39"/>
        <v>蝶舞</v>
      </c>
    </row>
    <row r="485">
      <c r="A485" s="5" t="str">
        <f t="shared" si="3"/>
        <v>NAME_MOVE_HEAVYSLAM</v>
      </c>
      <c r="B485" s="3" t="s">
        <v>16555</v>
      </c>
      <c r="C485" s="3" t="s">
        <v>16556</v>
      </c>
      <c r="D485" s="3" t="s">
        <v>16557</v>
      </c>
      <c r="E485" s="3" t="s">
        <v>16558</v>
      </c>
      <c r="F485" s="3" t="s">
        <v>16559</v>
      </c>
      <c r="G485" s="3" t="s">
        <v>16560</v>
      </c>
      <c r="H485" s="3" t="s">
        <v>16561</v>
      </c>
      <c r="I485" s="3" t="s">
        <v>16562</v>
      </c>
      <c r="J485" s="5" t="str">
        <f>IFERROR(__xludf.DUMMYFUNCTION("GOOGLETRANSLATE(I485,""zh_HANT"",""zh_HANS"")"),"重磅冲撞")</f>
        <v>重磅冲撞</v>
      </c>
    </row>
    <row r="486">
      <c r="A486" s="5" t="str">
        <f t="shared" si="3"/>
        <v>NAME_MOVE_SYNCHRONOISE</v>
      </c>
      <c r="B486" s="3" t="s">
        <v>16563</v>
      </c>
      <c r="C486" s="3" t="s">
        <v>16564</v>
      </c>
      <c r="D486" s="3" t="s">
        <v>16565</v>
      </c>
      <c r="E486" s="3" t="s">
        <v>16566</v>
      </c>
      <c r="F486" s="3" t="s">
        <v>16567</v>
      </c>
      <c r="G486" s="3" t="s">
        <v>16568</v>
      </c>
      <c r="H486" s="3" t="s">
        <v>16569</v>
      </c>
      <c r="I486" s="3" t="s">
        <v>16570</v>
      </c>
      <c r="J486" s="5" t="str">
        <f>IFERROR(__xludf.DUMMYFUNCTION("GOOGLETRANSLATE(I486,""zh_HANT"",""zh_HANS"")"),"同步干扰")</f>
        <v>同步干扰</v>
      </c>
    </row>
    <row r="487">
      <c r="A487" s="5" t="str">
        <f t="shared" si="3"/>
        <v>NAME_MOVE_ELECTROBALL</v>
      </c>
      <c r="B487" s="3" t="s">
        <v>16571</v>
      </c>
      <c r="C487" s="3" t="s">
        <v>16572</v>
      </c>
      <c r="D487" s="3" t="s">
        <v>16573</v>
      </c>
      <c r="E487" s="3" t="s">
        <v>16574</v>
      </c>
      <c r="F487" s="3" t="s">
        <v>16575</v>
      </c>
      <c r="G487" s="3" t="s">
        <v>16576</v>
      </c>
      <c r="H487" s="3" t="s">
        <v>16577</v>
      </c>
      <c r="I487" s="3" t="s">
        <v>16578</v>
      </c>
      <c r="J487" s="5" t="str">
        <f>IFERROR(__xludf.DUMMYFUNCTION("GOOGLETRANSLATE(I487,""zh_HANT"",""zh_HANS"")"),"电球")</f>
        <v>电球</v>
      </c>
    </row>
    <row r="488">
      <c r="A488" s="5" t="str">
        <f t="shared" si="3"/>
        <v>NAME_MOVE_SOAK</v>
      </c>
      <c r="B488" s="3" t="s">
        <v>16579</v>
      </c>
      <c r="C488" s="3" t="s">
        <v>16580</v>
      </c>
      <c r="D488" s="3" t="s">
        <v>16581</v>
      </c>
      <c r="E488" s="3" t="s">
        <v>16582</v>
      </c>
      <c r="F488" s="3" t="s">
        <v>16583</v>
      </c>
      <c r="G488" s="3" t="s">
        <v>16584</v>
      </c>
      <c r="H488" s="4" t="s">
        <v>16585</v>
      </c>
      <c r="I488" s="6" t="s">
        <v>16586</v>
      </c>
      <c r="J488" s="5" t="str">
        <f>I488</f>
        <v>浸水</v>
      </c>
    </row>
    <row r="489">
      <c r="A489" s="5" t="str">
        <f t="shared" si="3"/>
        <v>NAME_MOVE_FLAMECHARGE</v>
      </c>
      <c r="B489" s="3" t="s">
        <v>16587</v>
      </c>
      <c r="C489" s="3" t="s">
        <v>16588</v>
      </c>
      <c r="D489" s="3" t="s">
        <v>16589</v>
      </c>
      <c r="E489" s="3" t="s">
        <v>16590</v>
      </c>
      <c r="F489" s="3" t="s">
        <v>16591</v>
      </c>
      <c r="G489" s="3" t="s">
        <v>16592</v>
      </c>
      <c r="H489" s="7" t="s">
        <v>16593</v>
      </c>
      <c r="I489" s="7" t="s">
        <v>16594</v>
      </c>
      <c r="J489" s="5" t="str">
        <f>IFERROR(__xludf.DUMMYFUNCTION("GOOGLETRANSLATE(I489,""zh_HANT"",""zh_HANS"")"),"蓄能焰袭")</f>
        <v>蓄能焰袭</v>
      </c>
    </row>
    <row r="490">
      <c r="A490" s="5" t="str">
        <f t="shared" si="3"/>
        <v>NAME_MOVE_COIL</v>
      </c>
      <c r="B490" s="3" t="s">
        <v>16595</v>
      </c>
      <c r="C490" s="3" t="s">
        <v>16596</v>
      </c>
      <c r="D490" s="3" t="s">
        <v>16597</v>
      </c>
      <c r="E490" s="3" t="s">
        <v>16598</v>
      </c>
      <c r="F490" s="3" t="s">
        <v>16599</v>
      </c>
      <c r="G490" s="3" t="s">
        <v>16600</v>
      </c>
      <c r="H490" s="7" t="s">
        <v>16601</v>
      </c>
      <c r="I490" s="7" t="s">
        <v>16602</v>
      </c>
      <c r="J490" s="5" t="str">
        <f>IFERROR(__xludf.DUMMYFUNCTION("GOOGLETRANSLATE(I490,""zh_HANT"",""zh_HANS"")"),"盘蜷")</f>
        <v>盘蜷</v>
      </c>
    </row>
    <row r="491">
      <c r="A491" s="5" t="str">
        <f t="shared" si="3"/>
        <v>NAME_MOVE_LOWSWEEP</v>
      </c>
      <c r="B491" s="3" t="s">
        <v>16603</v>
      </c>
      <c r="C491" s="3" t="s">
        <v>16604</v>
      </c>
      <c r="D491" s="3" t="s">
        <v>16605</v>
      </c>
      <c r="E491" s="3" t="s">
        <v>16606</v>
      </c>
      <c r="F491" s="3" t="s">
        <v>16607</v>
      </c>
      <c r="G491" s="3" t="s">
        <v>16608</v>
      </c>
      <c r="H491" s="7" t="s">
        <v>16609</v>
      </c>
      <c r="I491" s="7" t="s">
        <v>16610</v>
      </c>
      <c r="J491" s="5" t="str">
        <f>IFERROR(__xludf.DUMMYFUNCTION("GOOGLETRANSLATE(I491,""zh_HANT"",""zh_HANS"")"),"下盘踢")</f>
        <v>下盘踢</v>
      </c>
    </row>
    <row r="492">
      <c r="A492" s="5" t="str">
        <f t="shared" si="3"/>
        <v>NAME_MOVE_ACIDSPRAY</v>
      </c>
      <c r="B492" s="3" t="s">
        <v>16611</v>
      </c>
      <c r="C492" s="3" t="s">
        <v>16612</v>
      </c>
      <c r="D492" s="3" t="s">
        <v>16613</v>
      </c>
      <c r="E492" s="3" t="s">
        <v>16614</v>
      </c>
      <c r="F492" s="3" t="s">
        <v>16615</v>
      </c>
      <c r="G492" s="3" t="s">
        <v>16616</v>
      </c>
      <c r="H492" s="7" t="s">
        <v>16617</v>
      </c>
      <c r="I492" s="7" t="s">
        <v>16618</v>
      </c>
      <c r="J492" s="5" t="str">
        <f>IFERROR(__xludf.DUMMYFUNCTION("GOOGLETRANSLATE(I492,""zh_HANT"",""zh_HANS"")"),"酸液炸弹")</f>
        <v>酸液炸弹</v>
      </c>
    </row>
    <row r="493">
      <c r="A493" s="5" t="str">
        <f t="shared" si="3"/>
        <v>NAME_MOVE_FOULPLAY</v>
      </c>
      <c r="B493" s="3" t="s">
        <v>16619</v>
      </c>
      <c r="C493" s="3" t="s">
        <v>16620</v>
      </c>
      <c r="D493" s="3" t="s">
        <v>16621</v>
      </c>
      <c r="E493" s="3" t="s">
        <v>16622</v>
      </c>
      <c r="F493" s="3" t="s">
        <v>16623</v>
      </c>
      <c r="G493" s="3" t="s">
        <v>16624</v>
      </c>
      <c r="H493" s="7" t="s">
        <v>16625</v>
      </c>
      <c r="I493" s="7" t="s">
        <v>16626</v>
      </c>
      <c r="J493" s="3" t="s">
        <v>16627</v>
      </c>
    </row>
    <row r="494">
      <c r="A494" s="5" t="str">
        <f t="shared" si="3"/>
        <v>NAME_MOVE_SIMPLEBEAM</v>
      </c>
      <c r="B494" s="3" t="s">
        <v>16628</v>
      </c>
      <c r="C494" s="3" t="s">
        <v>16629</v>
      </c>
      <c r="D494" s="3" t="s">
        <v>16630</v>
      </c>
      <c r="E494" s="3" t="s">
        <v>16631</v>
      </c>
      <c r="F494" s="3" t="s">
        <v>16632</v>
      </c>
      <c r="G494" s="3" t="s">
        <v>16633</v>
      </c>
      <c r="H494" s="7" t="s">
        <v>16634</v>
      </c>
      <c r="I494" s="7" t="s">
        <v>16635</v>
      </c>
      <c r="J494" s="5" t="str">
        <f>IFERROR(__xludf.DUMMYFUNCTION("GOOGLETRANSLATE(I494,""zh_HANT"",""zh_HANS"")"),"单纯光束")</f>
        <v>单纯光束</v>
      </c>
    </row>
    <row r="495">
      <c r="A495" s="5" t="str">
        <f t="shared" si="3"/>
        <v>NAME_MOVE_ENTRAINMENT</v>
      </c>
      <c r="B495" s="3" t="s">
        <v>16636</v>
      </c>
      <c r="C495" s="3" t="s">
        <v>16637</v>
      </c>
      <c r="D495" s="3" t="s">
        <v>16638</v>
      </c>
      <c r="E495" s="3" t="s">
        <v>16639</v>
      </c>
      <c r="F495" s="3" t="s">
        <v>16640</v>
      </c>
      <c r="G495" s="3" t="s">
        <v>16641</v>
      </c>
      <c r="H495" s="7" t="s">
        <v>16642</v>
      </c>
      <c r="I495" s="7" t="s">
        <v>16643</v>
      </c>
      <c r="J495" s="5" t="str">
        <f>IFERROR(__xludf.DUMMYFUNCTION("GOOGLETRANSLATE(I495,""zh_HANT"",""zh_HANS"")"),"找伙伴")</f>
        <v>找伙伴</v>
      </c>
    </row>
    <row r="496">
      <c r="A496" s="5" t="str">
        <f t="shared" si="3"/>
        <v>NAME_MOVE_AFTERYOU</v>
      </c>
      <c r="B496" s="3" t="s">
        <v>16644</v>
      </c>
      <c r="C496" s="3" t="s">
        <v>16645</v>
      </c>
      <c r="D496" s="3" t="s">
        <v>16646</v>
      </c>
      <c r="E496" s="3" t="s">
        <v>16647</v>
      </c>
      <c r="F496" s="3" t="s">
        <v>16648</v>
      </c>
      <c r="G496" s="3" t="s">
        <v>16649</v>
      </c>
      <c r="H496" s="7" t="s">
        <v>16650</v>
      </c>
      <c r="I496" s="7" t="s">
        <v>16651</v>
      </c>
      <c r="J496" s="5" t="str">
        <f>IFERROR(__xludf.DUMMYFUNCTION("GOOGLETRANSLATE(I496,""zh_HANT"",""zh_HANS"")"),"您先请")</f>
        <v>您先请</v>
      </c>
    </row>
    <row r="497">
      <c r="A497" s="5" t="str">
        <f t="shared" si="3"/>
        <v>NAME_MOVE_ROUND</v>
      </c>
      <c r="B497" s="3" t="s">
        <v>16652</v>
      </c>
      <c r="C497" s="3" t="s">
        <v>16653</v>
      </c>
      <c r="D497" s="3" t="s">
        <v>16654</v>
      </c>
      <c r="E497" s="3" t="s">
        <v>16655</v>
      </c>
      <c r="F497" s="3" t="s">
        <v>11400</v>
      </c>
      <c r="G497" s="3" t="s">
        <v>16656</v>
      </c>
      <c r="H497" s="7" t="s">
        <v>16650</v>
      </c>
      <c r="I497" s="7" t="s">
        <v>16657</v>
      </c>
      <c r="J497" s="5" t="str">
        <f>IFERROR(__xludf.DUMMYFUNCTION("GOOGLETRANSLATE(I497,""zh_HANT"",""zh_HANS"")"),"轮唱")</f>
        <v>轮唱</v>
      </c>
    </row>
    <row r="498">
      <c r="A498" s="5" t="str">
        <f t="shared" si="3"/>
        <v>NAME_MOVE_ECHOEDVOICE</v>
      </c>
      <c r="B498" s="3" t="s">
        <v>16658</v>
      </c>
      <c r="C498" s="3" t="s">
        <v>16659</v>
      </c>
      <c r="D498" s="3" t="s">
        <v>16660</v>
      </c>
      <c r="E498" s="3" t="s">
        <v>16661</v>
      </c>
      <c r="F498" s="3" t="s">
        <v>16662</v>
      </c>
      <c r="G498" s="3" t="s">
        <v>16663</v>
      </c>
      <c r="H498" s="7" t="s">
        <v>16664</v>
      </c>
      <c r="I498" s="7" t="s">
        <v>16665</v>
      </c>
      <c r="J498" s="5" t="str">
        <f>IFERROR(__xludf.DUMMYFUNCTION("GOOGLETRANSLATE(I498,""zh_HANT"",""zh_HANS"")"),"回声")</f>
        <v>回声</v>
      </c>
    </row>
    <row r="499">
      <c r="A499" s="5" t="str">
        <f t="shared" si="3"/>
        <v>NAME_MOVE_CHIPAWAY</v>
      </c>
      <c r="B499" s="3" t="s">
        <v>16666</v>
      </c>
      <c r="C499" s="3" t="s">
        <v>16667</v>
      </c>
      <c r="D499" s="3" t="s">
        <v>16668</v>
      </c>
      <c r="E499" s="3" t="s">
        <v>16669</v>
      </c>
      <c r="F499" s="3" t="s">
        <v>16670</v>
      </c>
      <c r="G499" s="3" t="s">
        <v>16671</v>
      </c>
      <c r="H499" s="7" t="s">
        <v>16672</v>
      </c>
      <c r="I499" s="7" t="s">
        <v>16673</v>
      </c>
      <c r="J499" s="5" t="str">
        <f>IFERROR(__xludf.DUMMYFUNCTION("GOOGLETRANSLATE(I499,""zh_HANT"",""zh_HANS"")"),"逐步击破")</f>
        <v>逐步击破</v>
      </c>
    </row>
    <row r="500">
      <c r="A500" s="5" t="str">
        <f t="shared" si="3"/>
        <v>NAME_MOVE_CLEARSMOG</v>
      </c>
      <c r="B500" s="3" t="s">
        <v>16674</v>
      </c>
      <c r="C500" s="3" t="s">
        <v>16675</v>
      </c>
      <c r="D500" s="3" t="s">
        <v>16676</v>
      </c>
      <c r="E500" s="3" t="s">
        <v>16677</v>
      </c>
      <c r="F500" s="3" t="s">
        <v>16678</v>
      </c>
      <c r="G500" s="3" t="s">
        <v>16679</v>
      </c>
      <c r="H500" s="7" t="s">
        <v>16680</v>
      </c>
      <c r="I500" s="7" t="s">
        <v>16681</v>
      </c>
      <c r="J500" s="5" t="str">
        <f>IFERROR(__xludf.DUMMYFUNCTION("GOOGLETRANSLATE(I500,""zh_HANT"",""zh_HANS"")"),"清除之烟")</f>
        <v>清除之烟</v>
      </c>
    </row>
    <row r="501">
      <c r="A501" s="5" t="str">
        <f t="shared" si="3"/>
        <v>NAME_MOVE_STOREDPOWER</v>
      </c>
      <c r="B501" s="3" t="s">
        <v>16682</v>
      </c>
      <c r="C501" s="3" t="s">
        <v>16683</v>
      </c>
      <c r="D501" s="3" t="s">
        <v>16684</v>
      </c>
      <c r="E501" s="3" t="s">
        <v>16685</v>
      </c>
      <c r="F501" s="3" t="s">
        <v>16686</v>
      </c>
      <c r="G501" s="3" t="s">
        <v>16687</v>
      </c>
      <c r="H501" s="7" t="s">
        <v>16688</v>
      </c>
      <c r="I501" s="7" t="s">
        <v>16689</v>
      </c>
      <c r="J501" s="5" t="str">
        <f>IFERROR(__xludf.DUMMYFUNCTION("GOOGLETRANSLATE(I501,""zh_HANT"",""zh_HANS"")"),"辅助力量")</f>
        <v>辅助力量</v>
      </c>
    </row>
    <row r="502">
      <c r="A502" s="5" t="str">
        <f t="shared" si="3"/>
        <v>NAME_MOVE_QUICKGUARD</v>
      </c>
      <c r="B502" s="3" t="s">
        <v>16690</v>
      </c>
      <c r="C502" s="3" t="s">
        <v>16691</v>
      </c>
      <c r="D502" s="3" t="s">
        <v>16692</v>
      </c>
      <c r="E502" s="3" t="s">
        <v>16693</v>
      </c>
      <c r="F502" s="3" t="s">
        <v>16694</v>
      </c>
      <c r="G502" s="5" t="str">
        <f>F502</f>
        <v>Anticipo</v>
      </c>
      <c r="H502" s="3" t="s">
        <v>16695</v>
      </c>
      <c r="I502" s="3" t="s">
        <v>16696</v>
      </c>
      <c r="J502" s="5" t="str">
        <f>I502</f>
        <v>快速防守</v>
      </c>
    </row>
    <row r="503">
      <c r="A503" s="5" t="str">
        <f t="shared" si="3"/>
        <v>NAME_MOVE_ALLYSWITCH</v>
      </c>
      <c r="B503" s="3" t="s">
        <v>16697</v>
      </c>
      <c r="C503" s="3" t="s">
        <v>16698</v>
      </c>
      <c r="D503" s="3" t="s">
        <v>16699</v>
      </c>
      <c r="E503" s="3" t="s">
        <v>16700</v>
      </c>
      <c r="F503" s="3" t="s">
        <v>16701</v>
      </c>
      <c r="G503" s="3" t="s">
        <v>16702</v>
      </c>
      <c r="H503" s="3" t="s">
        <v>16703</v>
      </c>
      <c r="I503" s="3" t="s">
        <v>16704</v>
      </c>
      <c r="J503" s="5" t="str">
        <f>IFERROR(__xludf.DUMMYFUNCTION("GOOGLETRANSLATE(I503,""zh_HANT"",""zh_HANS"")"),"交换场地")</f>
        <v>交换场地</v>
      </c>
    </row>
    <row r="504">
      <c r="A504" s="5" t="str">
        <f t="shared" si="3"/>
        <v>NAME_MOVE_SCALD</v>
      </c>
      <c r="B504" s="3" t="s">
        <v>16705</v>
      </c>
      <c r="C504" s="3" t="s">
        <v>16706</v>
      </c>
      <c r="D504" s="3" t="s">
        <v>16707</v>
      </c>
      <c r="E504" s="3" t="s">
        <v>16708</v>
      </c>
      <c r="F504" s="3" t="s">
        <v>16709</v>
      </c>
      <c r="G504" s="3" t="s">
        <v>16710</v>
      </c>
      <c r="H504" s="3" t="s">
        <v>16711</v>
      </c>
      <c r="I504" s="3" t="s">
        <v>16712</v>
      </c>
      <c r="J504" s="5" t="str">
        <f>IFERROR(__xludf.DUMMYFUNCTION("GOOGLETRANSLATE(I504,""zh_HANT"",""zh_HANS"")"),"热水")</f>
        <v>热水</v>
      </c>
    </row>
    <row r="505">
      <c r="A505" s="5" t="str">
        <f t="shared" si="3"/>
        <v>NAME_MOVE_SHELLSMASH</v>
      </c>
      <c r="B505" s="3" t="s">
        <v>16713</v>
      </c>
      <c r="C505" s="3" t="s">
        <v>16714</v>
      </c>
      <c r="D505" s="3" t="s">
        <v>16715</v>
      </c>
      <c r="E505" s="3" t="s">
        <v>16716</v>
      </c>
      <c r="F505" s="3" t="s">
        <v>16717</v>
      </c>
      <c r="G505" s="3" t="s">
        <v>16718</v>
      </c>
      <c r="H505" s="3" t="s">
        <v>16719</v>
      </c>
      <c r="I505" s="3" t="s">
        <v>16720</v>
      </c>
      <c r="J505" s="5" t="str">
        <f>IFERROR(__xludf.DUMMYFUNCTION("GOOGLETRANSLATE(I505,""zh_HANT"",""zh_HANS"")"),"破壳")</f>
        <v>破壳</v>
      </c>
    </row>
    <row r="506">
      <c r="A506" s="5" t="str">
        <f t="shared" si="3"/>
        <v>NAME_MOVE_HEALPULSE</v>
      </c>
      <c r="B506" s="3" t="s">
        <v>16721</v>
      </c>
      <c r="C506" s="3" t="s">
        <v>16722</v>
      </c>
      <c r="D506" s="3" t="s">
        <v>16723</v>
      </c>
      <c r="E506" s="3" t="s">
        <v>16724</v>
      </c>
      <c r="F506" s="3" t="s">
        <v>16725</v>
      </c>
      <c r="G506" s="3" t="s">
        <v>16726</v>
      </c>
      <c r="H506" s="3" t="s">
        <v>16727</v>
      </c>
      <c r="I506" s="3" t="s">
        <v>16728</v>
      </c>
      <c r="J506" s="5" t="str">
        <f>IFERROR(__xludf.DUMMYFUNCTION("GOOGLETRANSLATE(I506,""zh_HANT"",""zh_HANS"")"),"治愈波动")</f>
        <v>治愈波动</v>
      </c>
    </row>
    <row r="507">
      <c r="A507" s="5" t="str">
        <f t="shared" si="3"/>
        <v>NAME_MOVE_HEX</v>
      </c>
      <c r="B507" s="3" t="s">
        <v>16729</v>
      </c>
      <c r="C507" s="3" t="s">
        <v>16730</v>
      </c>
      <c r="D507" s="3" t="s">
        <v>16731</v>
      </c>
      <c r="E507" s="3" t="s">
        <v>16732</v>
      </c>
      <c r="F507" s="3" t="s">
        <v>16733</v>
      </c>
      <c r="G507" s="3" t="s">
        <v>16734</v>
      </c>
      <c r="H507" s="3" t="s">
        <v>16735</v>
      </c>
      <c r="I507" s="3" t="s">
        <v>16736</v>
      </c>
      <c r="J507" s="5" t="str">
        <f>IFERROR(__xludf.DUMMYFUNCTION("GOOGLETRANSLATE(I507,""zh_HANT"",""zh_HANS"")"),"祸不单行")</f>
        <v>祸不单行</v>
      </c>
    </row>
    <row r="508">
      <c r="A508" s="5" t="str">
        <f t="shared" si="3"/>
        <v>NAME_MOVE_SKYDROP</v>
      </c>
      <c r="B508" s="3" t="s">
        <v>16737</v>
      </c>
      <c r="C508" s="3" t="s">
        <v>16738</v>
      </c>
      <c r="D508" s="3" t="s">
        <v>16739</v>
      </c>
      <c r="E508" s="3" t="s">
        <v>16740</v>
      </c>
      <c r="F508" s="3" t="s">
        <v>16741</v>
      </c>
      <c r="G508" s="3" t="s">
        <v>16742</v>
      </c>
      <c r="H508" s="3" t="s">
        <v>16743</v>
      </c>
      <c r="I508" s="3" t="s">
        <v>16744</v>
      </c>
      <c r="J508" s="5" t="str">
        <f>IFERROR(__xludf.DUMMYFUNCTION("GOOGLETRANSLATE(I508,""zh_HANT"",""zh_HANS"")"),"自由落体")</f>
        <v>自由落体</v>
      </c>
    </row>
    <row r="509">
      <c r="A509" s="5" t="str">
        <f t="shared" si="3"/>
        <v>NAME_MOVE_SHIFTGEAR</v>
      </c>
      <c r="B509" s="3" t="s">
        <v>16745</v>
      </c>
      <c r="C509" s="3" t="s">
        <v>16746</v>
      </c>
      <c r="D509" s="3" t="s">
        <v>16747</v>
      </c>
      <c r="E509" s="3" t="s">
        <v>16748</v>
      </c>
      <c r="F509" s="3" t="s">
        <v>16749</v>
      </c>
      <c r="G509" s="3" t="s">
        <v>16750</v>
      </c>
      <c r="H509" s="3" t="s">
        <v>16751</v>
      </c>
      <c r="I509" s="3" t="s">
        <v>16752</v>
      </c>
      <c r="J509" s="5" t="str">
        <f>IFERROR(__xludf.DUMMYFUNCTION("GOOGLETRANSLATE(I509,""zh_HANT"",""zh_HANS"")"),"换档")</f>
        <v>换档</v>
      </c>
    </row>
    <row r="510">
      <c r="A510" s="5" t="str">
        <f t="shared" si="3"/>
        <v>NAME_MOVE_CIRCLETHROW</v>
      </c>
      <c r="B510" s="3" t="s">
        <v>16753</v>
      </c>
      <c r="C510" s="3" t="s">
        <v>16754</v>
      </c>
      <c r="D510" s="3" t="s">
        <v>16755</v>
      </c>
      <c r="E510" s="3" t="s">
        <v>16756</v>
      </c>
      <c r="F510" s="3" t="s">
        <v>16757</v>
      </c>
      <c r="G510" s="3" t="s">
        <v>16758</v>
      </c>
      <c r="H510" s="3" t="s">
        <v>16759</v>
      </c>
      <c r="I510" s="3" t="s">
        <v>16760</v>
      </c>
      <c r="J510" s="5" t="str">
        <f>I510</f>
        <v>巴投</v>
      </c>
    </row>
    <row r="511">
      <c r="A511" s="5" t="str">
        <f t="shared" si="3"/>
        <v>NAME_MOVE_INCINERATE</v>
      </c>
      <c r="B511" s="3" t="s">
        <v>16761</v>
      </c>
      <c r="C511" s="3" t="s">
        <v>16762</v>
      </c>
      <c r="D511" s="3" t="s">
        <v>16763</v>
      </c>
      <c r="E511" s="3" t="s">
        <v>16764</v>
      </c>
      <c r="F511" s="3" t="s">
        <v>16765</v>
      </c>
      <c r="G511" s="3" t="s">
        <v>16766</v>
      </c>
      <c r="H511" s="3" t="s">
        <v>16767</v>
      </c>
      <c r="I511" s="3" t="s">
        <v>16768</v>
      </c>
      <c r="J511" s="3" t="s">
        <v>16769</v>
      </c>
    </row>
    <row r="512">
      <c r="A512" s="5" t="str">
        <f t="shared" si="3"/>
        <v>NAME_MOVE_QUASH</v>
      </c>
      <c r="B512" s="3" t="s">
        <v>16770</v>
      </c>
      <c r="C512" s="3" t="s">
        <v>16771</v>
      </c>
      <c r="D512" s="3" t="s">
        <v>16772</v>
      </c>
      <c r="E512" s="3" t="s">
        <v>16773</v>
      </c>
      <c r="F512" s="3" t="s">
        <v>16774</v>
      </c>
      <c r="G512" s="3" t="s">
        <v>16775</v>
      </c>
      <c r="H512" s="3" t="s">
        <v>16776</v>
      </c>
      <c r="I512" s="3" t="s">
        <v>16777</v>
      </c>
      <c r="J512" s="5" t="str">
        <f>IFERROR(__xludf.DUMMYFUNCTION("GOOGLETRANSLATE(I512,""zh_HANT"",""zh_HANS"")"),"延后")</f>
        <v>延后</v>
      </c>
    </row>
    <row r="513">
      <c r="A513" s="5" t="str">
        <f t="shared" si="3"/>
        <v>NAME_MOVE_ACROBATICS</v>
      </c>
      <c r="B513" s="3" t="s">
        <v>16778</v>
      </c>
      <c r="C513" s="3" t="s">
        <v>16779</v>
      </c>
      <c r="D513" s="3" t="s">
        <v>16780</v>
      </c>
      <c r="E513" s="3" t="s">
        <v>16781</v>
      </c>
      <c r="F513" s="3" t="s">
        <v>16782</v>
      </c>
      <c r="G513" s="3" t="s">
        <v>16783</v>
      </c>
      <c r="H513" s="3" t="s">
        <v>16784</v>
      </c>
      <c r="I513" s="3" t="s">
        <v>16785</v>
      </c>
      <c r="J513" s="5" t="str">
        <f>IFERROR(__xludf.DUMMYFUNCTION("GOOGLETRANSLATE(I513,""zh_HANT"",""zh_HANS"")"),"杂技")</f>
        <v>杂技</v>
      </c>
    </row>
    <row r="514">
      <c r="A514" s="5" t="str">
        <f t="shared" si="3"/>
        <v>NAME_MOVE_REFLECTTYPE</v>
      </c>
      <c r="B514" s="3" t="s">
        <v>16786</v>
      </c>
      <c r="C514" s="3" t="s">
        <v>16787</v>
      </c>
      <c r="D514" s="3" t="s">
        <v>16788</v>
      </c>
      <c r="E514" s="3" t="s">
        <v>16789</v>
      </c>
      <c r="F514" s="3" t="s">
        <v>16790</v>
      </c>
      <c r="G514" s="3" t="s">
        <v>16791</v>
      </c>
      <c r="H514" s="3" t="s">
        <v>16792</v>
      </c>
      <c r="I514" s="3" t="s">
        <v>16793</v>
      </c>
      <c r="J514" s="5" t="str">
        <f>IFERROR(__xludf.DUMMYFUNCTION("GOOGLETRANSLATE(I514,""zh_HANT"",""zh_HANS"")"),"镜面属性")</f>
        <v>镜面属性</v>
      </c>
    </row>
    <row r="515">
      <c r="A515" s="5" t="str">
        <f t="shared" si="3"/>
        <v>NAME_MOVE_RETALIATE</v>
      </c>
      <c r="B515" s="3" t="s">
        <v>16794</v>
      </c>
      <c r="C515" s="3" t="s">
        <v>16795</v>
      </c>
      <c r="D515" s="3" t="s">
        <v>16796</v>
      </c>
      <c r="E515" s="3" t="s">
        <v>16797</v>
      </c>
      <c r="F515" s="3" t="s">
        <v>16798</v>
      </c>
      <c r="G515" s="3" t="s">
        <v>16799</v>
      </c>
      <c r="H515" s="3" t="s">
        <v>16800</v>
      </c>
      <c r="I515" s="3" t="s">
        <v>16801</v>
      </c>
      <c r="J515" s="5" t="str">
        <f>IFERROR(__xludf.DUMMYFUNCTION("GOOGLETRANSLATE(I515,""zh_HANT"",""zh_HANS"")"),"报仇")</f>
        <v>报仇</v>
      </c>
    </row>
    <row r="516">
      <c r="A516" s="5" t="str">
        <f t="shared" si="3"/>
        <v>NAME_MOVE_FINALGAMBIT</v>
      </c>
      <c r="B516" s="3" t="s">
        <v>16802</v>
      </c>
      <c r="C516" s="3" t="s">
        <v>16803</v>
      </c>
      <c r="D516" s="3" t="s">
        <v>16804</v>
      </c>
      <c r="E516" s="3" t="s">
        <v>16805</v>
      </c>
      <c r="F516" s="3" t="s">
        <v>16806</v>
      </c>
      <c r="G516" s="3" t="s">
        <v>16807</v>
      </c>
      <c r="H516" s="3" t="s">
        <v>16808</v>
      </c>
      <c r="I516" s="3" t="s">
        <v>16809</v>
      </c>
      <c r="J516" s="5" t="str">
        <f>I516</f>
        <v>搏命</v>
      </c>
    </row>
    <row r="517">
      <c r="A517" s="5" t="str">
        <f t="shared" si="3"/>
        <v>NAME_MOVE_BESTOW</v>
      </c>
      <c r="B517" s="3" t="s">
        <v>16810</v>
      </c>
      <c r="C517" s="3" t="s">
        <v>16811</v>
      </c>
      <c r="D517" s="3" t="s">
        <v>16812</v>
      </c>
      <c r="E517" s="3" t="s">
        <v>16813</v>
      </c>
      <c r="F517" s="3" t="s">
        <v>16814</v>
      </c>
      <c r="G517" s="3" t="s">
        <v>16815</v>
      </c>
      <c r="H517" s="3" t="s">
        <v>16816</v>
      </c>
      <c r="I517" s="3" t="s">
        <v>16817</v>
      </c>
      <c r="J517" s="5" t="str">
        <f>IFERROR(__xludf.DUMMYFUNCTION("GOOGLETRANSLATE(I517,""zh_HANT"",""zh_HANS"")"),"传递礼物")</f>
        <v>传递礼物</v>
      </c>
    </row>
    <row r="518">
      <c r="A518" s="5" t="str">
        <f t="shared" si="3"/>
        <v>NAME_MOVE_INFERNO</v>
      </c>
      <c r="B518" s="3" t="s">
        <v>16818</v>
      </c>
      <c r="C518" s="3" t="s">
        <v>16819</v>
      </c>
      <c r="D518" s="3" t="s">
        <v>16820</v>
      </c>
      <c r="E518" s="5" t="str">
        <f>B518</f>
        <v>Inferno</v>
      </c>
      <c r="F518" s="3" t="s">
        <v>16821</v>
      </c>
      <c r="G518" s="3" t="s">
        <v>16822</v>
      </c>
      <c r="H518" s="3" t="s">
        <v>16823</v>
      </c>
      <c r="I518" s="3" t="s">
        <v>16824</v>
      </c>
      <c r="J518" s="3" t="s">
        <v>16825</v>
      </c>
    </row>
    <row r="519">
      <c r="A519" s="5" t="str">
        <f t="shared" si="3"/>
        <v>NAME_MOVE_WATERPLEDGE</v>
      </c>
      <c r="B519" s="3" t="s">
        <v>16826</v>
      </c>
      <c r="C519" s="5" t="str">
        <f>CONCATENATE(Types!C12,"のちかい")</f>
        <v>みずのちかい</v>
      </c>
      <c r="D519" s="3" t="s">
        <v>16827</v>
      </c>
      <c r="E519" s="3" t="s">
        <v>16828</v>
      </c>
      <c r="F519" s="3" t="s">
        <v>16829</v>
      </c>
      <c r="G519" s="3" t="s">
        <v>16830</v>
      </c>
      <c r="H519" s="3" t="s">
        <v>16831</v>
      </c>
      <c r="I519" s="3" t="s">
        <v>16832</v>
      </c>
      <c r="J519" s="5" t="str">
        <f>IFERROR(__xludf.DUMMYFUNCTION("GOOGLETRANSLATE(I519,""zh_HANT"",""zh_HANS"")"),"水之誓约")</f>
        <v>水之誓约</v>
      </c>
    </row>
    <row r="520">
      <c r="A520" s="5" t="str">
        <f t="shared" si="3"/>
        <v>NAME_MOVE_FIREPLEDGE</v>
      </c>
      <c r="B520" s="3" t="s">
        <v>16833</v>
      </c>
      <c r="C520" s="5" t="str">
        <f>CONCATENATE(Types!C11,"のちかい")</f>
        <v>ほのおのちかい</v>
      </c>
      <c r="D520" s="3" t="s">
        <v>16834</v>
      </c>
      <c r="E520" s="3" t="s">
        <v>16835</v>
      </c>
      <c r="F520" s="3" t="s">
        <v>16836</v>
      </c>
      <c r="G520" s="3" t="s">
        <v>16837</v>
      </c>
      <c r="H520" s="3" t="s">
        <v>16838</v>
      </c>
      <c r="I520" s="3" t="s">
        <v>16839</v>
      </c>
      <c r="J520" s="5" t="str">
        <f>IFERROR(__xludf.DUMMYFUNCTION("GOOGLETRANSLATE(I520,""zh_HANT"",""zh_HANS"")"),"火之誓约")</f>
        <v>火之誓约</v>
      </c>
    </row>
    <row r="521">
      <c r="A521" s="5" t="str">
        <f t="shared" si="3"/>
        <v>NAME_MOVE_GRASSPLEDGE</v>
      </c>
      <c r="B521" s="3" t="s">
        <v>16840</v>
      </c>
      <c r="C521" s="5" t="str">
        <f>CONCATENATE(Types!C13,"のちかい")</f>
        <v>くさのちかい</v>
      </c>
      <c r="D521" s="3" t="s">
        <v>16841</v>
      </c>
      <c r="E521" s="3" t="s">
        <v>16842</v>
      </c>
      <c r="F521" s="3" t="s">
        <v>16843</v>
      </c>
      <c r="G521" s="3" t="s">
        <v>16844</v>
      </c>
      <c r="H521" s="3" t="s">
        <v>16845</v>
      </c>
      <c r="I521" s="3" t="s">
        <v>16846</v>
      </c>
      <c r="J521" s="5" t="str">
        <f>IFERROR(__xludf.DUMMYFUNCTION("GOOGLETRANSLATE(I521,""zh_HANT"",""zh_HANS"")"),"草之誓约")</f>
        <v>草之誓约</v>
      </c>
    </row>
    <row r="522">
      <c r="A522" s="5" t="str">
        <f t="shared" si="3"/>
        <v>NAME_MOVE_VOLTSWITCH</v>
      </c>
      <c r="B522" s="3" t="s">
        <v>16847</v>
      </c>
      <c r="C522" s="3" t="s">
        <v>16848</v>
      </c>
      <c r="D522" s="3" t="s">
        <v>16849</v>
      </c>
      <c r="E522" s="3" t="s">
        <v>16850</v>
      </c>
      <c r="F522" s="3" t="s">
        <v>16851</v>
      </c>
      <c r="G522" s="3" t="s">
        <v>16852</v>
      </c>
      <c r="H522" s="3" t="s">
        <v>16853</v>
      </c>
      <c r="I522" s="3" t="s">
        <v>16854</v>
      </c>
      <c r="J522" s="5" t="str">
        <f>IFERROR(__xludf.DUMMYFUNCTION("GOOGLETRANSLATE(I522,""zh_HANT"",""zh_HANS"")"),"伏特替换")</f>
        <v>伏特替换</v>
      </c>
    </row>
    <row r="523">
      <c r="A523" s="5" t="str">
        <f t="shared" si="3"/>
        <v>NAME_MOVE_STRUGGLEBUG</v>
      </c>
      <c r="B523" s="3" t="s">
        <v>16855</v>
      </c>
      <c r="C523" s="3" t="s">
        <v>16856</v>
      </c>
      <c r="D523" s="3" t="s">
        <v>16857</v>
      </c>
      <c r="E523" s="3" t="s">
        <v>16858</v>
      </c>
      <c r="F523" s="3" t="s">
        <v>16859</v>
      </c>
      <c r="G523" s="3" t="s">
        <v>16860</v>
      </c>
      <c r="H523" s="3" t="s">
        <v>16861</v>
      </c>
      <c r="I523" s="3" t="s">
        <v>16862</v>
      </c>
      <c r="J523" s="5" t="str">
        <f>IFERROR(__xludf.DUMMYFUNCTION("GOOGLETRANSLATE(I523,""zh_HANT"",""zh_HANS"")"),"虫之抵抗")</f>
        <v>虫之抵抗</v>
      </c>
    </row>
    <row r="524">
      <c r="A524" s="5" t="str">
        <f t="shared" si="3"/>
        <v>NAME_MOVE_BULLDOZE</v>
      </c>
      <c r="B524" s="3" t="s">
        <v>16863</v>
      </c>
      <c r="C524" s="3" t="s">
        <v>16864</v>
      </c>
      <c r="D524" s="3" t="s">
        <v>16865</v>
      </c>
      <c r="E524" s="3" t="s">
        <v>16866</v>
      </c>
      <c r="F524" s="3" t="s">
        <v>16867</v>
      </c>
      <c r="G524" s="3" t="s">
        <v>16868</v>
      </c>
      <c r="H524" s="3" t="s">
        <v>16869</v>
      </c>
      <c r="I524" s="3" t="s">
        <v>16870</v>
      </c>
      <c r="J524" s="5" t="str">
        <f t="shared" ref="J524:J525" si="40">I524</f>
        <v>重踏</v>
      </c>
    </row>
    <row r="525">
      <c r="A525" s="5" t="str">
        <f t="shared" si="3"/>
        <v>NAME_MOVE_FROSTBREATH</v>
      </c>
      <c r="B525" s="3" t="s">
        <v>16871</v>
      </c>
      <c r="C525" s="3" t="s">
        <v>16872</v>
      </c>
      <c r="D525" s="3" t="s">
        <v>16873</v>
      </c>
      <c r="E525" s="3" t="s">
        <v>16874</v>
      </c>
      <c r="F525" s="3" t="s">
        <v>16875</v>
      </c>
      <c r="G525" s="3" t="s">
        <v>16876</v>
      </c>
      <c r="H525" s="3" t="s">
        <v>16877</v>
      </c>
      <c r="I525" s="3" t="s">
        <v>16878</v>
      </c>
      <c r="J525" s="5" t="str">
        <f t="shared" si="40"/>
        <v>冰息</v>
      </c>
    </row>
    <row r="526">
      <c r="A526" s="5" t="str">
        <f t="shared" si="3"/>
        <v>NAME_MOVE_DRAGONTAIL</v>
      </c>
      <c r="B526" s="3" t="s">
        <v>16879</v>
      </c>
      <c r="C526" s="3" t="s">
        <v>16880</v>
      </c>
      <c r="D526" s="3" t="s">
        <v>16881</v>
      </c>
      <c r="E526" s="3" t="s">
        <v>16882</v>
      </c>
      <c r="F526" s="3" t="s">
        <v>16883</v>
      </c>
      <c r="G526" s="3" t="s">
        <v>16884</v>
      </c>
      <c r="H526" s="3" t="s">
        <v>16885</v>
      </c>
      <c r="I526" s="3" t="s">
        <v>16886</v>
      </c>
      <c r="J526" s="5" t="str">
        <f>IFERROR(__xludf.DUMMYFUNCTION("GOOGLETRANSLATE(I526,""zh_HANT"",""zh_HANS"")"),"龙尾")</f>
        <v>龙尾</v>
      </c>
    </row>
    <row r="527">
      <c r="A527" s="5" t="str">
        <f t="shared" si="3"/>
        <v>NAME_MOVE_WORKUP</v>
      </c>
      <c r="B527" s="3" t="s">
        <v>16887</v>
      </c>
      <c r="C527" s="3" t="s">
        <v>16888</v>
      </c>
      <c r="D527" s="3" t="s">
        <v>16889</v>
      </c>
      <c r="E527" s="3" t="s">
        <v>16890</v>
      </c>
      <c r="F527" s="3" t="s">
        <v>16891</v>
      </c>
      <c r="G527" s="3" t="s">
        <v>16892</v>
      </c>
      <c r="H527" s="3" t="s">
        <v>16893</v>
      </c>
      <c r="I527" s="3" t="s">
        <v>16894</v>
      </c>
      <c r="J527" s="5" t="str">
        <f>IFERROR(__xludf.DUMMYFUNCTION("GOOGLETRANSLATE(I527,""zh_HANT"",""zh_HANS"")"),"自我激励")</f>
        <v>自我激励</v>
      </c>
    </row>
    <row r="528">
      <c r="A528" s="5" t="str">
        <f t="shared" si="3"/>
        <v>NAME_MOVE_ELECTROWEB</v>
      </c>
      <c r="B528" s="3" t="s">
        <v>16895</v>
      </c>
      <c r="C528" s="3" t="s">
        <v>16896</v>
      </c>
      <c r="D528" s="3" t="s">
        <v>16897</v>
      </c>
      <c r="E528" s="3" t="s">
        <v>16898</v>
      </c>
      <c r="F528" s="3" t="s">
        <v>16899</v>
      </c>
      <c r="G528" s="3" t="s">
        <v>16900</v>
      </c>
      <c r="H528" s="3" t="s">
        <v>16901</v>
      </c>
      <c r="I528" s="3" t="s">
        <v>16902</v>
      </c>
      <c r="J528" s="5" t="str">
        <f>IFERROR(__xludf.DUMMYFUNCTION("GOOGLETRANSLATE(I528,""zh_HANT"",""zh_HANS"")"),"电网")</f>
        <v>电网</v>
      </c>
    </row>
    <row r="529">
      <c r="A529" s="5" t="str">
        <f t="shared" si="3"/>
        <v>NAME_MOVE_WILDCHARGE</v>
      </c>
      <c r="B529" s="3" t="s">
        <v>16903</v>
      </c>
      <c r="C529" s="3" t="s">
        <v>16904</v>
      </c>
      <c r="D529" s="3" t="s">
        <v>16905</v>
      </c>
      <c r="E529" s="3" t="s">
        <v>16906</v>
      </c>
      <c r="F529" s="3" t="s">
        <v>16907</v>
      </c>
      <c r="G529" s="3" t="s">
        <v>16908</v>
      </c>
      <c r="H529" s="3" t="s">
        <v>16909</v>
      </c>
      <c r="I529" s="3" t="s">
        <v>16910</v>
      </c>
      <c r="J529" s="5" t="str">
        <f>IFERROR(__xludf.DUMMYFUNCTION("GOOGLETRANSLATE(I529,""zh_HANT"",""zh_HANS"")"),"疯狂伏特")</f>
        <v>疯狂伏特</v>
      </c>
    </row>
    <row r="530">
      <c r="A530" s="5" t="str">
        <f t="shared" si="3"/>
        <v>NAME_MOVE_DRILLRUN</v>
      </c>
      <c r="B530" s="3" t="s">
        <v>16911</v>
      </c>
      <c r="C530" s="3" t="s">
        <v>16912</v>
      </c>
      <c r="D530" s="3" t="s">
        <v>16913</v>
      </c>
      <c r="E530" s="3" t="s">
        <v>16914</v>
      </c>
      <c r="F530" s="3" t="s">
        <v>16915</v>
      </c>
      <c r="G530" s="3" t="s">
        <v>16916</v>
      </c>
      <c r="H530" s="3" t="s">
        <v>16917</v>
      </c>
      <c r="I530" s="3" t="s">
        <v>16918</v>
      </c>
      <c r="J530" s="5" t="str">
        <f>IFERROR(__xludf.DUMMYFUNCTION("GOOGLETRANSLATE(I530,""zh_HANT"",""zh_HANS"")"),"直冲钻")</f>
        <v>直冲钻</v>
      </c>
    </row>
    <row r="531">
      <c r="A531" s="5" t="str">
        <f t="shared" si="3"/>
        <v>NAME_MOVE_DUALCHOP</v>
      </c>
      <c r="B531" s="3" t="s">
        <v>16919</v>
      </c>
      <c r="C531" s="3" t="s">
        <v>16920</v>
      </c>
      <c r="D531" s="3" t="s">
        <v>16921</v>
      </c>
      <c r="E531" s="3" t="s">
        <v>16922</v>
      </c>
      <c r="F531" s="3" t="s">
        <v>16923</v>
      </c>
      <c r="G531" s="3" t="s">
        <v>16924</v>
      </c>
      <c r="H531" s="3" t="s">
        <v>16925</v>
      </c>
      <c r="I531" s="3" t="s">
        <v>16926</v>
      </c>
      <c r="J531" s="5" t="str">
        <f>IFERROR(__xludf.DUMMYFUNCTION("GOOGLETRANSLATE(I531,""zh_HANT"",""zh_HANS"")"),"二连劈")</f>
        <v>二连劈</v>
      </c>
    </row>
    <row r="532">
      <c r="A532" s="5" t="str">
        <f t="shared" si="3"/>
        <v>NAME_MOVE_HEARTSTAMP</v>
      </c>
      <c r="B532" s="3" t="s">
        <v>16927</v>
      </c>
      <c r="C532" s="3" t="s">
        <v>16928</v>
      </c>
      <c r="D532" s="3" t="s">
        <v>16929</v>
      </c>
      <c r="E532" s="3" t="s">
        <v>16930</v>
      </c>
      <c r="F532" s="3" t="s">
        <v>16931</v>
      </c>
      <c r="G532" s="3" t="s">
        <v>16932</v>
      </c>
      <c r="H532" s="3" t="s">
        <v>16933</v>
      </c>
      <c r="I532" s="3" t="s">
        <v>16934</v>
      </c>
      <c r="J532" s="5" t="str">
        <f>IFERROR(__xludf.DUMMYFUNCTION("GOOGLETRANSLATE(I532,""zh_HANT"",""zh_HANS"")"),"爱心印章")</f>
        <v>爱心印章</v>
      </c>
    </row>
    <row r="533">
      <c r="A533" s="5" t="str">
        <f t="shared" si="3"/>
        <v>NAME_MOVE_HORNLEECH</v>
      </c>
      <c r="B533" s="3" t="s">
        <v>16935</v>
      </c>
      <c r="C533" s="3" t="s">
        <v>16936</v>
      </c>
      <c r="D533" s="3" t="s">
        <v>16937</v>
      </c>
      <c r="E533" s="3" t="s">
        <v>16938</v>
      </c>
      <c r="F533" s="3" t="s">
        <v>16939</v>
      </c>
      <c r="G533" s="3" t="s">
        <v>16940</v>
      </c>
      <c r="H533" s="3" t="s">
        <v>16941</v>
      </c>
      <c r="I533" s="3" t="s">
        <v>16942</v>
      </c>
      <c r="J533" s="5" t="str">
        <f>I533</f>
        <v>木角</v>
      </c>
    </row>
    <row r="534">
      <c r="A534" s="5" t="str">
        <f t="shared" si="3"/>
        <v>NAME_MOVE_SACREDSWORD</v>
      </c>
      <c r="B534" s="3" t="s">
        <v>16943</v>
      </c>
      <c r="C534" s="3" t="s">
        <v>16944</v>
      </c>
      <c r="D534" s="3" t="s">
        <v>16945</v>
      </c>
      <c r="E534" s="3" t="s">
        <v>16946</v>
      </c>
      <c r="F534" s="3" t="s">
        <v>16947</v>
      </c>
      <c r="G534" s="3" t="s">
        <v>16948</v>
      </c>
      <c r="H534" s="3" t="s">
        <v>16949</v>
      </c>
      <c r="I534" s="3" t="s">
        <v>16950</v>
      </c>
      <c r="J534" s="5" t="str">
        <f>IFERROR(__xludf.DUMMYFUNCTION("GOOGLETRANSLATE(I534,""zh_HANT"",""zh_HANS"")"),"圣剑")</f>
        <v>圣剑</v>
      </c>
    </row>
    <row r="535">
      <c r="A535" s="5" t="str">
        <f t="shared" si="3"/>
        <v>NAME_MOVE_RAZORSHELL</v>
      </c>
      <c r="B535" s="3" t="s">
        <v>16951</v>
      </c>
      <c r="C535" s="3" t="s">
        <v>16952</v>
      </c>
      <c r="D535" s="3" t="s">
        <v>16953</v>
      </c>
      <c r="E535" s="3" t="s">
        <v>16954</v>
      </c>
      <c r="F535" s="3" t="s">
        <v>16955</v>
      </c>
      <c r="G535" s="3" t="s">
        <v>16956</v>
      </c>
      <c r="H535" s="3" t="s">
        <v>16957</v>
      </c>
      <c r="I535" s="3" t="s">
        <v>16958</v>
      </c>
      <c r="J535" s="5" t="str">
        <f>IFERROR(__xludf.DUMMYFUNCTION("GOOGLETRANSLATE(I535,""zh_HANT"",""zh_HANS"")"),"贝壳刃")</f>
        <v>贝壳刃</v>
      </c>
    </row>
    <row r="536">
      <c r="A536" s="5" t="str">
        <f t="shared" si="3"/>
        <v>NAME_MOVE_HEATCRASH</v>
      </c>
      <c r="B536" s="3" t="s">
        <v>16959</v>
      </c>
      <c r="C536" s="3" t="s">
        <v>16960</v>
      </c>
      <c r="D536" s="3" t="s">
        <v>16961</v>
      </c>
      <c r="E536" s="3" t="s">
        <v>16962</v>
      </c>
      <c r="F536" s="3" t="s">
        <v>16963</v>
      </c>
      <c r="G536" s="3" t="s">
        <v>16964</v>
      </c>
      <c r="H536" s="3" t="s">
        <v>16965</v>
      </c>
      <c r="I536" s="3" t="s">
        <v>16966</v>
      </c>
      <c r="J536" s="5" t="str">
        <f>IFERROR(__xludf.DUMMYFUNCTION("GOOGLETRANSLATE(I536,""zh_HANT"",""zh_HANS"")"),"高温重压")</f>
        <v>高温重压</v>
      </c>
    </row>
    <row r="537">
      <c r="A537" s="5" t="str">
        <f t="shared" si="3"/>
        <v>NAME_MOVE_LEAFTORNADO</v>
      </c>
      <c r="B537" s="3" t="s">
        <v>16967</v>
      </c>
      <c r="C537" s="3" t="s">
        <v>16968</v>
      </c>
      <c r="D537" s="3" t="s">
        <v>16969</v>
      </c>
      <c r="E537" s="3" t="s">
        <v>16970</v>
      </c>
      <c r="F537" s="3" t="s">
        <v>16971</v>
      </c>
      <c r="G537" s="3" t="s">
        <v>16972</v>
      </c>
      <c r="H537" s="3" t="s">
        <v>16973</v>
      </c>
      <c r="I537" s="3" t="s">
        <v>16974</v>
      </c>
      <c r="J537" s="5" t="str">
        <f>IFERROR(__xludf.DUMMYFUNCTION("GOOGLETRANSLATE(I537,""zh_HANT"",""zh_HANS"")"),"青草搅拌器")</f>
        <v>青草搅拌器</v>
      </c>
    </row>
    <row r="538">
      <c r="A538" s="5" t="str">
        <f t="shared" si="3"/>
        <v>NAME_MOVE_STEAMROLLER</v>
      </c>
      <c r="B538" s="3" t="s">
        <v>16975</v>
      </c>
      <c r="C538" s="3" t="s">
        <v>16976</v>
      </c>
      <c r="D538" s="3" t="s">
        <v>16977</v>
      </c>
      <c r="E538" s="3" t="s">
        <v>16978</v>
      </c>
      <c r="F538" s="3" t="s">
        <v>16979</v>
      </c>
      <c r="G538" s="3" t="s">
        <v>16980</v>
      </c>
      <c r="H538" s="3" t="s">
        <v>16981</v>
      </c>
      <c r="I538" s="3" t="s">
        <v>16982</v>
      </c>
      <c r="J538" s="5" t="str">
        <f>IFERROR(__xludf.DUMMYFUNCTION("GOOGLETRANSLATE(I538,""zh_HANT"",""zh_HANS"")"),"疯狂滚压")</f>
        <v>疯狂滚压</v>
      </c>
    </row>
    <row r="539">
      <c r="A539" s="5" t="str">
        <f t="shared" si="3"/>
        <v>NAME_MOVE_COTTONGUARD</v>
      </c>
      <c r="B539" s="3" t="s">
        <v>16983</v>
      </c>
      <c r="C539" s="3" t="s">
        <v>16984</v>
      </c>
      <c r="D539" s="3" t="s">
        <v>16985</v>
      </c>
      <c r="E539" s="3" t="s">
        <v>16986</v>
      </c>
      <c r="F539" s="3" t="s">
        <v>16987</v>
      </c>
      <c r="G539" s="3" t="s">
        <v>16988</v>
      </c>
      <c r="H539" s="3" t="s">
        <v>16989</v>
      </c>
      <c r="I539" s="3" t="s">
        <v>16990</v>
      </c>
      <c r="J539" s="5" t="str">
        <f t="shared" ref="J539:J540" si="41">I539</f>
        <v>棉花防守</v>
      </c>
    </row>
    <row r="540">
      <c r="A540" s="5" t="str">
        <f t="shared" si="3"/>
        <v>NAME_MOVE_NIGHTDAZE</v>
      </c>
      <c r="B540" s="3" t="s">
        <v>16991</v>
      </c>
      <c r="C540" s="3" t="s">
        <v>16992</v>
      </c>
      <c r="D540" s="3" t="s">
        <v>16993</v>
      </c>
      <c r="E540" s="3" t="s">
        <v>16994</v>
      </c>
      <c r="F540" s="3" t="s">
        <v>16995</v>
      </c>
      <c r="G540" s="3" t="s">
        <v>16996</v>
      </c>
      <c r="H540" s="3" t="s">
        <v>16997</v>
      </c>
      <c r="I540" s="3" t="s">
        <v>16998</v>
      </c>
      <c r="J540" s="5" t="str">
        <f t="shared" si="41"/>
        <v>暗黑爆破</v>
      </c>
    </row>
    <row r="541">
      <c r="A541" s="5" t="str">
        <f t="shared" si="3"/>
        <v>NAME_MOVE_PSYSTRIKE</v>
      </c>
      <c r="B541" s="3" t="s">
        <v>16999</v>
      </c>
      <c r="C541" s="3" t="s">
        <v>17000</v>
      </c>
      <c r="D541" s="3" t="s">
        <v>17001</v>
      </c>
      <c r="E541" s="3" t="s">
        <v>17002</v>
      </c>
      <c r="F541" s="3" t="s">
        <v>17003</v>
      </c>
      <c r="G541" s="3" t="s">
        <v>17004</v>
      </c>
      <c r="H541" s="3" t="s">
        <v>17005</v>
      </c>
      <c r="I541" s="3" t="s">
        <v>17006</v>
      </c>
      <c r="J541" s="5" t="str">
        <f>IFERROR(__xludf.DUMMYFUNCTION("GOOGLETRANSLATE(I541,""zh_HANT"",""zh_HANS"")"),"精神击破")</f>
        <v>精神击破</v>
      </c>
    </row>
    <row r="542">
      <c r="A542" s="5" t="str">
        <f t="shared" si="3"/>
        <v>NAME_MOVE_TAILSLAP</v>
      </c>
      <c r="B542" s="3" t="s">
        <v>17007</v>
      </c>
      <c r="C542" s="3" t="s">
        <v>17008</v>
      </c>
      <c r="D542" s="3" t="s">
        <v>17009</v>
      </c>
      <c r="E542" s="3" t="s">
        <v>17010</v>
      </c>
      <c r="F542" s="3" t="s">
        <v>17011</v>
      </c>
      <c r="G542" s="3" t="s">
        <v>17012</v>
      </c>
      <c r="H542" s="3" t="s">
        <v>17013</v>
      </c>
      <c r="I542" s="3" t="s">
        <v>17014</v>
      </c>
      <c r="J542" s="5" t="str">
        <f>IFERROR(__xludf.DUMMYFUNCTION("GOOGLETRANSLATE(I542,""zh_HANT"",""zh_HANS"")"),"扫尾拍打")</f>
        <v>扫尾拍打</v>
      </c>
    </row>
    <row r="543">
      <c r="A543" s="5" t="str">
        <f t="shared" si="3"/>
        <v>NAME_MOVE_HURRICANE</v>
      </c>
      <c r="B543" s="3" t="s">
        <v>17015</v>
      </c>
      <c r="C543" s="3" t="s">
        <v>17016</v>
      </c>
      <c r="D543" s="3" t="s">
        <v>17017</v>
      </c>
      <c r="E543" s="3" t="s">
        <v>17018</v>
      </c>
      <c r="F543" s="3" t="s">
        <v>17019</v>
      </c>
      <c r="G543" s="3" t="s">
        <v>17020</v>
      </c>
      <c r="H543" s="3" t="s">
        <v>17021</v>
      </c>
      <c r="I543" s="3" t="s">
        <v>17022</v>
      </c>
      <c r="J543" s="5" t="str">
        <f>IFERROR(__xludf.DUMMYFUNCTION("GOOGLETRANSLATE(I543,""zh_HANT"",""zh_HANS"")"),"暴风")</f>
        <v>暴风</v>
      </c>
    </row>
    <row r="544">
      <c r="A544" s="5" t="str">
        <f t="shared" si="3"/>
        <v>NAME_MOVE_HEADCHARGE</v>
      </c>
      <c r="B544" s="3" t="s">
        <v>17023</v>
      </c>
      <c r="C544" s="3" t="s">
        <v>17024</v>
      </c>
      <c r="D544" s="3" t="s">
        <v>17025</v>
      </c>
      <c r="E544" s="3" t="s">
        <v>17026</v>
      </c>
      <c r="F544" s="3" t="s">
        <v>17027</v>
      </c>
      <c r="G544" s="3" t="s">
        <v>17028</v>
      </c>
      <c r="H544" s="3" t="s">
        <v>17029</v>
      </c>
      <c r="I544" s="3" t="s">
        <v>17030</v>
      </c>
      <c r="J544" s="5" t="str">
        <f>IFERROR(__xludf.DUMMYFUNCTION("GOOGLETRANSLATE(I544,""zh_HANT"",""zh_HANS"")"),"爆炸头突击")</f>
        <v>爆炸头突击</v>
      </c>
    </row>
    <row r="545">
      <c r="A545" s="5" t="str">
        <f t="shared" si="3"/>
        <v>NAME_MOVE_GEARGRIND</v>
      </c>
      <c r="B545" s="3" t="s">
        <v>17031</v>
      </c>
      <c r="C545" s="3" t="s">
        <v>17032</v>
      </c>
      <c r="D545" s="3" t="s">
        <v>17033</v>
      </c>
      <c r="E545" s="3" t="s">
        <v>17034</v>
      </c>
      <c r="F545" s="3" t="s">
        <v>17035</v>
      </c>
      <c r="G545" s="3" t="s">
        <v>17036</v>
      </c>
      <c r="H545" s="3" t="s">
        <v>17037</v>
      </c>
      <c r="I545" s="3" t="s">
        <v>17038</v>
      </c>
      <c r="J545" s="5" t="str">
        <f>IFERROR(__xludf.DUMMYFUNCTION("GOOGLETRANSLATE(I545,""zh_HANT"",""zh_HANS"")"),"齿轮飞盘")</f>
        <v>齿轮飞盘</v>
      </c>
    </row>
    <row r="546">
      <c r="A546" s="5" t="str">
        <f t="shared" si="3"/>
        <v>NAME_MOVE_SEARINGSHOT</v>
      </c>
      <c r="B546" s="3" t="s">
        <v>17039</v>
      </c>
      <c r="C546" s="3" t="s">
        <v>17040</v>
      </c>
      <c r="D546" s="3" t="s">
        <v>17041</v>
      </c>
      <c r="E546" s="3" t="s">
        <v>17042</v>
      </c>
      <c r="F546" s="3" t="s">
        <v>17043</v>
      </c>
      <c r="G546" s="3" t="s">
        <v>17044</v>
      </c>
      <c r="H546" s="3" t="s">
        <v>17045</v>
      </c>
      <c r="I546" s="3" t="s">
        <v>17046</v>
      </c>
      <c r="J546" s="5" t="str">
        <f>IFERROR(__xludf.DUMMYFUNCTION("GOOGLETRANSLATE(I546,""zh_HANT"",""zh_HANS"")"),"火焰弹")</f>
        <v>火焰弹</v>
      </c>
    </row>
    <row r="547">
      <c r="A547" s="5" t="str">
        <f t="shared" si="3"/>
        <v>NAME_MOVE_TECHNOBLAST</v>
      </c>
      <c r="B547" s="3" t="s">
        <v>17047</v>
      </c>
      <c r="C547" s="3" t="s">
        <v>17048</v>
      </c>
      <c r="D547" s="3" t="s">
        <v>17049</v>
      </c>
      <c r="E547" s="3" t="s">
        <v>17050</v>
      </c>
      <c r="F547" s="3" t="s">
        <v>17051</v>
      </c>
      <c r="G547" s="3" t="s">
        <v>17052</v>
      </c>
      <c r="H547" s="3" t="s">
        <v>17053</v>
      </c>
      <c r="I547" s="3" t="s">
        <v>17054</v>
      </c>
      <c r="J547" s="5" t="str">
        <f t="shared" ref="J547:J548" si="42">I547</f>
        <v>高科技光炮</v>
      </c>
    </row>
    <row r="548">
      <c r="A548" s="5" t="str">
        <f t="shared" si="3"/>
        <v>NAME_MOVE_RELICSONG</v>
      </c>
      <c r="B548" s="3" t="s">
        <v>17055</v>
      </c>
      <c r="C548" s="3" t="s">
        <v>17056</v>
      </c>
      <c r="D548" s="3" t="s">
        <v>17057</v>
      </c>
      <c r="E548" s="3" t="s">
        <v>17058</v>
      </c>
      <c r="F548" s="3" t="s">
        <v>17059</v>
      </c>
      <c r="G548" s="3" t="s">
        <v>17060</v>
      </c>
      <c r="H548" s="3" t="s">
        <v>17061</v>
      </c>
      <c r="I548" s="3" t="s">
        <v>17062</v>
      </c>
      <c r="J548" s="5" t="str">
        <f t="shared" si="42"/>
        <v>古老之歌</v>
      </c>
    </row>
    <row r="549">
      <c r="A549" s="5" t="str">
        <f t="shared" si="3"/>
        <v>NAME_MOVE_SECRETSWORD</v>
      </c>
      <c r="B549" s="3" t="s">
        <v>17063</v>
      </c>
      <c r="C549" s="3" t="s">
        <v>17064</v>
      </c>
      <c r="D549" s="3" t="s">
        <v>17065</v>
      </c>
      <c r="E549" s="3" t="s">
        <v>17066</v>
      </c>
      <c r="F549" s="3" t="s">
        <v>17067</v>
      </c>
      <c r="G549" s="3" t="s">
        <v>17068</v>
      </c>
      <c r="H549" s="3" t="s">
        <v>17069</v>
      </c>
      <c r="I549" s="3" t="s">
        <v>17070</v>
      </c>
      <c r="J549" s="5" t="str">
        <f>IFERROR(__xludf.DUMMYFUNCTION("GOOGLETRANSLATE(I549,""zh_HANT"",""zh_HANS"")"),"神秘之剑")</f>
        <v>神秘之剑</v>
      </c>
    </row>
    <row r="550">
      <c r="A550" s="5" t="str">
        <f t="shared" si="3"/>
        <v>NAME_MOVE_GLACIATE</v>
      </c>
      <c r="B550" s="3" t="s">
        <v>17071</v>
      </c>
      <c r="C550" s="3" t="s">
        <v>17072</v>
      </c>
      <c r="D550" s="3" t="s">
        <v>17073</v>
      </c>
      <c r="E550" s="3" t="s">
        <v>17074</v>
      </c>
      <c r="F550" s="3" t="s">
        <v>17075</v>
      </c>
      <c r="G550" s="3" t="s">
        <v>17076</v>
      </c>
      <c r="H550" s="7" t="s">
        <v>17077</v>
      </c>
      <c r="I550" s="7" t="s">
        <v>17078</v>
      </c>
      <c r="J550" s="5" t="str">
        <f>I550</f>
        <v>冰封世界</v>
      </c>
    </row>
    <row r="551">
      <c r="A551" s="5" t="str">
        <f t="shared" si="3"/>
        <v>NAME_MOVE_BOLTSTRIKE</v>
      </c>
      <c r="B551" s="3" t="s">
        <v>17079</v>
      </c>
      <c r="C551" s="3" t="s">
        <v>10884</v>
      </c>
      <c r="D551" s="3" t="s">
        <v>17080</v>
      </c>
      <c r="E551" s="3" t="s">
        <v>17081</v>
      </c>
      <c r="F551" s="3" t="s">
        <v>17082</v>
      </c>
      <c r="G551" s="3" t="s">
        <v>17083</v>
      </c>
      <c r="H551" s="3" t="s">
        <v>10889</v>
      </c>
      <c r="I551" s="3" t="s">
        <v>10890</v>
      </c>
      <c r="J551" s="5" t="str">
        <f>IFERROR(__xludf.DUMMYFUNCTION("GOOGLETRANSLATE(I551,""zh_HANT"",""zh_HANS"")"),"雷击")</f>
        <v>雷击</v>
      </c>
    </row>
    <row r="552">
      <c r="A552" s="5" t="str">
        <f t="shared" si="3"/>
        <v>NAME_MOVE_BLUEFLARE</v>
      </c>
      <c r="B552" s="3" t="s">
        <v>17084</v>
      </c>
      <c r="C552" s="3" t="s">
        <v>17085</v>
      </c>
      <c r="D552" s="3" t="s">
        <v>17086</v>
      </c>
      <c r="E552" s="3" t="s">
        <v>17087</v>
      </c>
      <c r="F552" s="3" t="s">
        <v>17088</v>
      </c>
      <c r="G552" s="3" t="s">
        <v>17089</v>
      </c>
      <c r="H552" s="3" t="s">
        <v>17090</v>
      </c>
      <c r="I552" s="3" t="s">
        <v>17091</v>
      </c>
      <c r="J552" s="5" t="str">
        <f t="shared" ref="J552:J553" si="43">I552</f>
        <v>青焰</v>
      </c>
    </row>
    <row r="553">
      <c r="A553" s="5" t="str">
        <f t="shared" si="3"/>
        <v>NAME_MOVE_FIERYDANCE</v>
      </c>
      <c r="B553" s="3" t="s">
        <v>17092</v>
      </c>
      <c r="C553" s="3" t="s">
        <v>17093</v>
      </c>
      <c r="D553" s="3" t="s">
        <v>17094</v>
      </c>
      <c r="E553" s="3" t="s">
        <v>17095</v>
      </c>
      <c r="F553" s="3" t="s">
        <v>17096</v>
      </c>
      <c r="G553" s="3" t="s">
        <v>17097</v>
      </c>
      <c r="H553" s="3" t="s">
        <v>17098</v>
      </c>
      <c r="I553" s="3" t="s">
        <v>17099</v>
      </c>
      <c r="J553" s="5" t="str">
        <f t="shared" si="43"/>
        <v>火之舞</v>
      </c>
    </row>
    <row r="554">
      <c r="A554" s="5" t="str">
        <f t="shared" si="3"/>
        <v>NAME_MOVE_FREEZESHOCK</v>
      </c>
      <c r="B554" s="3" t="s">
        <v>17100</v>
      </c>
      <c r="C554" s="3" t="s">
        <v>17101</v>
      </c>
      <c r="D554" s="3" t="s">
        <v>17102</v>
      </c>
      <c r="E554" s="3" t="s">
        <v>17103</v>
      </c>
      <c r="F554" s="3" t="s">
        <v>17104</v>
      </c>
      <c r="G554" s="3" t="s">
        <v>17105</v>
      </c>
      <c r="H554" s="3" t="s">
        <v>17106</v>
      </c>
      <c r="I554" s="3" t="s">
        <v>17107</v>
      </c>
      <c r="J554" s="5" t="str">
        <f>IFERROR(__xludf.DUMMYFUNCTION("GOOGLETRANSLATE(I554,""zh_HANT"",""zh_HANS"")"),"冰冻伏特")</f>
        <v>冰冻伏特</v>
      </c>
    </row>
    <row r="555">
      <c r="A555" s="5" t="str">
        <f t="shared" si="3"/>
        <v>NAME_MOVE_ICEBURN</v>
      </c>
      <c r="B555" s="3" t="s">
        <v>17108</v>
      </c>
      <c r="C555" s="3" t="s">
        <v>17109</v>
      </c>
      <c r="D555" s="3" t="s">
        <v>17110</v>
      </c>
      <c r="E555" s="3" t="s">
        <v>17111</v>
      </c>
      <c r="F555" s="3" t="s">
        <v>17112</v>
      </c>
      <c r="G555" s="3" t="s">
        <v>17113</v>
      </c>
      <c r="H555" s="3" t="s">
        <v>17114</v>
      </c>
      <c r="I555" s="3" t="s">
        <v>17115</v>
      </c>
      <c r="J555" s="5" t="str">
        <f>IFERROR(__xludf.DUMMYFUNCTION("GOOGLETRANSLATE(I555,""zh_HANT"",""zh_HANS"")"),"极寒冷焰")</f>
        <v>极寒冷焰</v>
      </c>
    </row>
    <row r="556">
      <c r="A556" s="5" t="str">
        <f t="shared" si="3"/>
        <v>NAME_MOVE_SNARL</v>
      </c>
      <c r="B556" s="3" t="s">
        <v>17116</v>
      </c>
      <c r="C556" s="3" t="s">
        <v>17117</v>
      </c>
      <c r="D556" s="3" t="s">
        <v>17118</v>
      </c>
      <c r="E556" s="3" t="s">
        <v>17119</v>
      </c>
      <c r="F556" s="3" t="s">
        <v>17120</v>
      </c>
      <c r="G556" s="3" t="s">
        <v>17121</v>
      </c>
      <c r="H556" s="3" t="s">
        <v>17122</v>
      </c>
      <c r="I556" s="3" t="s">
        <v>17123</v>
      </c>
      <c r="J556" s="5" t="str">
        <f>IFERROR(__xludf.DUMMYFUNCTION("GOOGLETRANSLATE(I556,""zh_HANT"",""zh_HANS"")"),"大声咆哮")</f>
        <v>大声咆哮</v>
      </c>
    </row>
    <row r="557">
      <c r="A557" s="5" t="str">
        <f t="shared" si="3"/>
        <v>NAME_MOVE_ICICLECRASH</v>
      </c>
      <c r="B557" s="3" t="s">
        <v>17124</v>
      </c>
      <c r="C557" s="3" t="s">
        <v>17125</v>
      </c>
      <c r="D557" s="3" t="s">
        <v>17126</v>
      </c>
      <c r="E557" s="3" t="s">
        <v>17127</v>
      </c>
      <c r="F557" s="3" t="s">
        <v>17128</v>
      </c>
      <c r="G557" s="3" t="s">
        <v>17129</v>
      </c>
      <c r="H557" s="3" t="s">
        <v>17130</v>
      </c>
      <c r="I557" s="3" t="s">
        <v>17131</v>
      </c>
      <c r="J557" s="5" t="str">
        <f>IFERROR(__xludf.DUMMYFUNCTION("GOOGLETRANSLATE(I557,""zh_HANT"",""zh_HANS"")"),"冰柱坠击")</f>
        <v>冰柱坠击</v>
      </c>
    </row>
    <row r="558">
      <c r="A558" s="5" t="str">
        <f t="shared" si="3"/>
        <v>NAME_MOVE_VCREATE</v>
      </c>
      <c r="B558" s="3" t="s">
        <v>17132</v>
      </c>
      <c r="C558" s="3" t="s">
        <v>17133</v>
      </c>
      <c r="D558" s="3" t="s">
        <v>17134</v>
      </c>
      <c r="E558" s="3" t="s">
        <v>17135</v>
      </c>
      <c r="F558" s="3" t="s">
        <v>17136</v>
      </c>
      <c r="G558" s="3" t="s">
        <v>17137</v>
      </c>
      <c r="H558" s="3" t="s">
        <v>17138</v>
      </c>
      <c r="I558" s="3" t="s">
        <v>17139</v>
      </c>
      <c r="J558" s="5" t="str">
        <f>IFERROR(__xludf.DUMMYFUNCTION("GOOGLETRANSLATE(I558,""zh_HANT"",""zh_HANS"")"),"Ｖ热焰")</f>
        <v>Ｖ热焰</v>
      </c>
    </row>
    <row r="559">
      <c r="A559" s="5" t="str">
        <f t="shared" si="3"/>
        <v>NAME_MOVE_FUSIONFLARE</v>
      </c>
      <c r="B559" s="3" t="s">
        <v>17140</v>
      </c>
      <c r="C559" s="3" t="s">
        <v>17141</v>
      </c>
      <c r="D559" s="3" t="s">
        <v>17142</v>
      </c>
      <c r="E559" s="3" t="s">
        <v>17143</v>
      </c>
      <c r="F559" s="3" t="s">
        <v>17144</v>
      </c>
      <c r="G559" s="3" t="s">
        <v>17145</v>
      </c>
      <c r="H559" s="3" t="s">
        <v>17146</v>
      </c>
      <c r="I559" s="3" t="s">
        <v>17147</v>
      </c>
      <c r="J559" s="5" t="str">
        <f>IFERROR(__xludf.DUMMYFUNCTION("GOOGLETRANSLATE(I559,""zh_HANT"",""zh_HANS"")"),"交错火焰")</f>
        <v>交错火焰</v>
      </c>
    </row>
    <row r="560">
      <c r="A560" s="5" t="str">
        <f t="shared" si="3"/>
        <v>NAME_MOVE_FUSIONBOLT</v>
      </c>
      <c r="B560" s="3" t="s">
        <v>17148</v>
      </c>
      <c r="C560" s="3" t="s">
        <v>17149</v>
      </c>
      <c r="D560" s="3" t="s">
        <v>17150</v>
      </c>
      <c r="E560" s="3" t="s">
        <v>17151</v>
      </c>
      <c r="F560" s="3" t="s">
        <v>17152</v>
      </c>
      <c r="G560" s="3" t="s">
        <v>17153</v>
      </c>
      <c r="H560" s="3" t="s">
        <v>17154</v>
      </c>
      <c r="I560" s="3" t="s">
        <v>17155</v>
      </c>
      <c r="J560" s="5" t="str">
        <f>IFERROR(__xludf.DUMMYFUNCTION("GOOGLETRANSLATE(I560,""zh_HANT"",""zh_HANS"")"),"交错闪电")</f>
        <v>交错闪电</v>
      </c>
    </row>
    <row r="561">
      <c r="A561" s="5" t="str">
        <f t="shared" si="3"/>
        <v>NAME_MOVE_FLYINGPRESS</v>
      </c>
      <c r="B561" s="3" t="s">
        <v>17156</v>
      </c>
      <c r="C561" s="3" t="s">
        <v>17157</v>
      </c>
      <c r="D561" s="5" t="str">
        <f>B561</f>
        <v>Flying Press</v>
      </c>
      <c r="E561" s="5" t="str">
        <f>B561</f>
        <v>Flying Press</v>
      </c>
      <c r="F561" s="3" t="s">
        <v>17158</v>
      </c>
      <c r="G561" s="3" t="s">
        <v>17159</v>
      </c>
      <c r="H561" s="3" t="s">
        <v>17160</v>
      </c>
      <c r="I561" s="3" t="s">
        <v>17161</v>
      </c>
      <c r="J561" s="5" t="str">
        <f>IFERROR(__xludf.DUMMYFUNCTION("GOOGLETRANSLATE(I561,""zh_HANT"",""zh_HANS"")"),"飞身重压")</f>
        <v>飞身重压</v>
      </c>
    </row>
    <row r="562">
      <c r="A562" s="5" t="str">
        <f t="shared" si="3"/>
        <v>NAME_MOVE_MATBLOCK</v>
      </c>
      <c r="B562" s="3" t="s">
        <v>17162</v>
      </c>
      <c r="C562" s="3" t="s">
        <v>17163</v>
      </c>
      <c r="D562" s="3" t="s">
        <v>17164</v>
      </c>
      <c r="E562" s="3" t="s">
        <v>17165</v>
      </c>
      <c r="F562" s="3" t="s">
        <v>17166</v>
      </c>
      <c r="G562" s="3" t="s">
        <v>17167</v>
      </c>
      <c r="H562" s="3" t="s">
        <v>17168</v>
      </c>
      <c r="I562" s="3" t="s">
        <v>17169</v>
      </c>
      <c r="J562" s="5" t="str">
        <f t="shared" ref="J562:J564" si="44">I562</f>
        <v>掀榻榻米</v>
      </c>
    </row>
    <row r="563">
      <c r="A563" s="5" t="str">
        <f t="shared" si="3"/>
        <v>NAME_MOVE_BELCH</v>
      </c>
      <c r="B563" s="3" t="s">
        <v>17170</v>
      </c>
      <c r="C563" s="3" t="s">
        <v>17171</v>
      </c>
      <c r="D563" s="3" t="s">
        <v>17172</v>
      </c>
      <c r="E563" s="3" t="s">
        <v>17173</v>
      </c>
      <c r="F563" s="3" t="s">
        <v>17174</v>
      </c>
      <c r="G563" s="3" t="s">
        <v>17175</v>
      </c>
      <c r="H563" s="3" t="s">
        <v>17176</v>
      </c>
      <c r="I563" s="3" t="s">
        <v>17177</v>
      </c>
      <c r="J563" s="5" t="str">
        <f t="shared" si="44"/>
        <v>打嗝</v>
      </c>
    </row>
    <row r="564">
      <c r="A564" s="5" t="str">
        <f t="shared" si="3"/>
        <v>NAME_MOVE_ROTOTILLER</v>
      </c>
      <c r="B564" s="3" t="s">
        <v>17178</v>
      </c>
      <c r="C564" s="3" t="s">
        <v>17179</v>
      </c>
      <c r="D564" s="3" t="s">
        <v>17180</v>
      </c>
      <c r="E564" s="3" t="s">
        <v>17181</v>
      </c>
      <c r="F564" s="3" t="s">
        <v>17182</v>
      </c>
      <c r="G564" s="3" t="s">
        <v>17183</v>
      </c>
      <c r="H564" s="3" t="s">
        <v>17168</v>
      </c>
      <c r="I564" s="3" t="s">
        <v>17169</v>
      </c>
      <c r="J564" s="5" t="str">
        <f t="shared" si="44"/>
        <v>掀榻榻米</v>
      </c>
    </row>
    <row r="565">
      <c r="A565" s="5" t="str">
        <f t="shared" si="3"/>
        <v>NAME_MOVE_STICKYWEB</v>
      </c>
      <c r="B565" s="3" t="s">
        <v>17184</v>
      </c>
      <c r="C565" s="3" t="s">
        <v>17185</v>
      </c>
      <c r="D565" s="3" t="s">
        <v>17186</v>
      </c>
      <c r="E565" s="3" t="s">
        <v>17187</v>
      </c>
      <c r="F565" s="3" t="s">
        <v>17188</v>
      </c>
      <c r="G565" s="3" t="s">
        <v>17189</v>
      </c>
      <c r="H565" s="3" t="s">
        <v>17190</v>
      </c>
      <c r="I565" s="5" t="str">
        <f>IFERROR(__xludf.DUMMYFUNCTION("GOOGLETRANSLATE(J565,""zh_HANS"",""zh_HANT"")"),"黏網")</f>
        <v>黏網</v>
      </c>
      <c r="J565" s="3" t="s">
        <v>17191</v>
      </c>
    </row>
    <row r="566">
      <c r="A566" s="5" t="str">
        <f t="shared" si="3"/>
        <v>NAME_MOVE_FELLSTINGER</v>
      </c>
      <c r="B566" s="3" t="s">
        <v>17192</v>
      </c>
      <c r="C566" s="3" t="s">
        <v>17193</v>
      </c>
      <c r="D566" s="3" t="s">
        <v>17194</v>
      </c>
      <c r="E566" s="3" t="s">
        <v>17195</v>
      </c>
      <c r="F566" s="3" t="s">
        <v>17196</v>
      </c>
      <c r="G566" s="3" t="s">
        <v>17197</v>
      </c>
      <c r="H566" s="3" t="s">
        <v>17198</v>
      </c>
      <c r="I566" s="5" t="str">
        <f>IFERROR(__xludf.DUMMYFUNCTION("GOOGLETRANSLATE(J566,""zh_HANS"",""zh_HANT"")"),"致命針刺")</f>
        <v>致命針刺</v>
      </c>
      <c r="J566" s="3" t="s">
        <v>17199</v>
      </c>
    </row>
    <row r="567">
      <c r="A567" s="5" t="str">
        <f t="shared" si="3"/>
        <v>NAME_MOVE_PHANTOMFORCE</v>
      </c>
      <c r="B567" s="3" t="s">
        <v>17200</v>
      </c>
      <c r="C567" s="3" t="s">
        <v>17201</v>
      </c>
      <c r="D567" s="3" t="s">
        <v>17202</v>
      </c>
      <c r="E567" s="3" t="s">
        <v>17203</v>
      </c>
      <c r="F567" s="3" t="s">
        <v>17204</v>
      </c>
      <c r="G567" s="3" t="s">
        <v>17205</v>
      </c>
      <c r="H567" s="3" t="s">
        <v>17206</v>
      </c>
      <c r="I567" s="5" t="str">
        <f>IFERROR(__xludf.DUMMYFUNCTION("GOOGLETRANSLATE(J567,""zh_HANS"",""zh_HANT"")"),"潛靈奇襲")</f>
        <v>潛靈奇襲</v>
      </c>
      <c r="J567" s="3" t="s">
        <v>17207</v>
      </c>
    </row>
    <row r="568">
      <c r="A568" s="5" t="str">
        <f t="shared" si="3"/>
        <v>NAME_MOVE_TRICKORTREAT</v>
      </c>
      <c r="B568" s="3" t="s">
        <v>17208</v>
      </c>
      <c r="C568" s="3" t="s">
        <v>17209</v>
      </c>
      <c r="D568" s="3" t="s">
        <v>17210</v>
      </c>
      <c r="E568" s="5" t="str">
        <f>D568</f>
        <v>Halloween</v>
      </c>
      <c r="F568" s="5" t="str">
        <f>D568</f>
        <v>Halloween</v>
      </c>
      <c r="G568" s="5" t="str">
        <f>D568</f>
        <v>Halloween</v>
      </c>
      <c r="H568" s="3" t="s">
        <v>17211</v>
      </c>
      <c r="I568" s="5" t="str">
        <f>IFERROR(__xludf.DUMMYFUNCTION("GOOGLETRANSLATE(J568,""zh_HANS"",""zh_HANT"")"),"萬聖夜")</f>
        <v>萬聖夜</v>
      </c>
      <c r="J568" s="3" t="s">
        <v>17212</v>
      </c>
    </row>
    <row r="569">
      <c r="A569" s="5" t="str">
        <f t="shared" si="3"/>
        <v>NAME_MOVE_NOBLEROAR</v>
      </c>
      <c r="B569" s="3" t="s">
        <v>17213</v>
      </c>
      <c r="C569" s="3" t="s">
        <v>10799</v>
      </c>
      <c r="D569" s="3" t="s">
        <v>17214</v>
      </c>
      <c r="E569" s="3" t="s">
        <v>17215</v>
      </c>
      <c r="F569" s="3" t="s">
        <v>17216</v>
      </c>
      <c r="G569" s="3" t="s">
        <v>17217</v>
      </c>
      <c r="H569" s="3" t="s">
        <v>10804</v>
      </c>
      <c r="I569" s="5" t="str">
        <f>IFERROR(__xludf.DUMMYFUNCTION("GOOGLETRANSLATE(J569,""zh_HANS"",""zh_HANT"")"),"戰吼")</f>
        <v>戰吼</v>
      </c>
      <c r="J569" s="3" t="s">
        <v>10805</v>
      </c>
    </row>
    <row r="570">
      <c r="A570" s="5" t="str">
        <f t="shared" si="3"/>
        <v>NAME_MOVE_IONDELUGE</v>
      </c>
      <c r="B570" s="3" t="s">
        <v>17218</v>
      </c>
      <c r="C570" s="3" t="s">
        <v>17219</v>
      </c>
      <c r="D570" s="3" t="s">
        <v>17220</v>
      </c>
      <c r="E570" s="3" t="s">
        <v>17221</v>
      </c>
      <c r="F570" s="3" t="s">
        <v>17222</v>
      </c>
      <c r="G570" s="3" t="s">
        <v>17223</v>
      </c>
      <c r="H570" s="3" t="s">
        <v>17224</v>
      </c>
      <c r="I570" s="5" t="str">
        <f>IFERROR(__xludf.DUMMYFUNCTION("GOOGLETRANSLATE(J570,""zh_HANS"",""zh_HANT"")"),"等離子浴")</f>
        <v>等離子浴</v>
      </c>
      <c r="J570" s="3" t="s">
        <v>17225</v>
      </c>
    </row>
    <row r="571">
      <c r="A571" s="5" t="str">
        <f t="shared" si="3"/>
        <v>NAME_MOVE_PARABOLICCHARGE</v>
      </c>
      <c r="B571" s="3" t="s">
        <v>17226</v>
      </c>
      <c r="C571" s="3" t="s">
        <v>17227</v>
      </c>
      <c r="D571" s="3" t="s">
        <v>17228</v>
      </c>
      <c r="E571" s="3" t="s">
        <v>17229</v>
      </c>
      <c r="F571" s="3" t="s">
        <v>17230</v>
      </c>
      <c r="G571" s="3" t="s">
        <v>17231</v>
      </c>
      <c r="H571" s="3" t="s">
        <v>17232</v>
      </c>
      <c r="I571" s="5" t="str">
        <f>IFERROR(__xludf.DUMMYFUNCTION("GOOGLETRANSLATE(J571,""zh_HANS"",""zh_HANT"")"),"拋物面充電")</f>
        <v>拋物面充電</v>
      </c>
      <c r="J571" s="3" t="s">
        <v>17233</v>
      </c>
    </row>
    <row r="572">
      <c r="A572" s="5" t="str">
        <f t="shared" si="3"/>
        <v>NAME_MOVE_FOREST'SCURSE</v>
      </c>
      <c r="B572" s="3" t="s">
        <v>17234</v>
      </c>
      <c r="C572" s="3" t="s">
        <v>17235</v>
      </c>
      <c r="D572" s="3" t="s">
        <v>17236</v>
      </c>
      <c r="E572" s="3" t="s">
        <v>17237</v>
      </c>
      <c r="F572" s="3" t="s">
        <v>17238</v>
      </c>
      <c r="G572" s="3" t="s">
        <v>17159</v>
      </c>
      <c r="H572" s="3" t="s">
        <v>17239</v>
      </c>
      <c r="I572" s="3" t="s">
        <v>17240</v>
      </c>
      <c r="J572" s="3" t="s">
        <v>17241</v>
      </c>
    </row>
    <row r="573">
      <c r="A573" s="5" t="str">
        <f t="shared" si="3"/>
        <v>NAME_MOVE_PETALBLIZZARD</v>
      </c>
      <c r="B573" s="3" t="s">
        <v>17242</v>
      </c>
      <c r="C573" s="3" t="s">
        <v>17243</v>
      </c>
      <c r="D573" s="3" t="s">
        <v>17244</v>
      </c>
      <c r="E573" s="3" t="s">
        <v>17245</v>
      </c>
      <c r="F573" s="3" t="s">
        <v>17246</v>
      </c>
      <c r="G573" s="3" t="s">
        <v>17247</v>
      </c>
      <c r="H573" s="3" t="s">
        <v>17248</v>
      </c>
      <c r="I573" s="5" t="str">
        <f>IFERROR(__xludf.DUMMYFUNCTION("GOOGLETRANSLATE(J573,""zh_HANS"",""zh_HANT"")"),"落英繽紛")</f>
        <v>落英繽紛</v>
      </c>
      <c r="J573" s="3" t="s">
        <v>17249</v>
      </c>
    </row>
    <row r="574">
      <c r="A574" s="5" t="str">
        <f t="shared" si="3"/>
        <v>NAME_MOVE_FREEZEDRY</v>
      </c>
      <c r="B574" s="3" t="s">
        <v>17250</v>
      </c>
      <c r="C574" s="3" t="s">
        <v>17251</v>
      </c>
      <c r="D574" s="3" t="s">
        <v>17252</v>
      </c>
      <c r="E574" s="3" t="s">
        <v>17253</v>
      </c>
      <c r="F574" s="3" t="s">
        <v>17254</v>
      </c>
      <c r="G574" s="3" t="s">
        <v>17255</v>
      </c>
      <c r="H574" s="3" t="s">
        <v>17256</v>
      </c>
      <c r="I574" s="5" t="str">
        <f>IFERROR(__xludf.DUMMYFUNCTION("GOOGLETRANSLATE(J574,""zh_HANS"",""zh_HANT"")"),"冷凍乾燥")</f>
        <v>冷凍乾燥</v>
      </c>
      <c r="J574" s="3" t="s">
        <v>17257</v>
      </c>
    </row>
    <row r="575">
      <c r="A575" s="5" t="str">
        <f t="shared" si="3"/>
        <v>NAME_MOVE_DISARMINGVOICE</v>
      </c>
      <c r="B575" s="3" t="s">
        <v>17258</v>
      </c>
      <c r="C575" s="3" t="s">
        <v>17259</v>
      </c>
      <c r="D575" s="3" t="s">
        <v>17260</v>
      </c>
      <c r="E575" s="3" t="s">
        <v>17261</v>
      </c>
      <c r="F575" s="3" t="s">
        <v>17262</v>
      </c>
      <c r="G575" s="3" t="s">
        <v>17263</v>
      </c>
      <c r="H575" s="3" t="s">
        <v>17264</v>
      </c>
      <c r="I575" s="3" t="s">
        <v>17265</v>
      </c>
      <c r="J575" s="5" t="str">
        <f>IFERROR(__xludf.DUMMYFUNCTION("GOOGLETRANSLATE(I575,""zh_HANT"",""zh_HANS"")"),"魅惑之声")</f>
        <v>魅惑之声</v>
      </c>
    </row>
    <row r="576">
      <c r="A576" s="5" t="str">
        <f t="shared" si="3"/>
        <v>NAME_MOVE_PARTINGSHOT</v>
      </c>
      <c r="B576" s="3" t="s">
        <v>17266</v>
      </c>
      <c r="C576" s="3" t="s">
        <v>17267</v>
      </c>
      <c r="D576" s="3" t="s">
        <v>17268</v>
      </c>
      <c r="E576" s="3" t="s">
        <v>17269</v>
      </c>
      <c r="F576" s="3" t="s">
        <v>17270</v>
      </c>
      <c r="G576" s="3" t="s">
        <v>17271</v>
      </c>
      <c r="H576" s="3" t="s">
        <v>17272</v>
      </c>
      <c r="I576" s="5" t="str">
        <f>IFERROR(__xludf.DUMMYFUNCTION("GOOGLETRANSLATE(J576,""zh_HANS"",""zh_HANT"")"),"拋下狠話")</f>
        <v>拋下狠話</v>
      </c>
      <c r="J576" s="3" t="s">
        <v>17273</v>
      </c>
    </row>
    <row r="577">
      <c r="A577" s="5" t="str">
        <f t="shared" si="3"/>
        <v>NAME_MOVE_TOPSYTURVY</v>
      </c>
      <c r="B577" s="3" t="s">
        <v>17274</v>
      </c>
      <c r="C577" s="3" t="s">
        <v>17275</v>
      </c>
      <c r="D577" s="3" t="s">
        <v>17276</v>
      </c>
      <c r="E577" s="3" t="s">
        <v>17277</v>
      </c>
      <c r="F577" s="3" t="s">
        <v>17278</v>
      </c>
      <c r="G577" s="3" t="s">
        <v>17279</v>
      </c>
      <c r="H577" s="3" t="s">
        <v>17280</v>
      </c>
      <c r="I577" s="5" t="str">
        <f>IFERROR(__xludf.DUMMYFUNCTION("GOOGLETRANSLATE(J577,""zh_HANS"",""zh_HANT"")"),"顛倒")</f>
        <v>顛倒</v>
      </c>
      <c r="J577" s="3" t="s">
        <v>17281</v>
      </c>
    </row>
    <row r="578">
      <c r="A578" s="5" t="str">
        <f t="shared" si="3"/>
        <v>NAME_MOVE_DRAININGKISS</v>
      </c>
      <c r="B578" s="3" t="s">
        <v>17282</v>
      </c>
      <c r="C578" s="3" t="s">
        <v>17283</v>
      </c>
      <c r="D578" s="3" t="s">
        <v>17284</v>
      </c>
      <c r="E578" s="3" t="s">
        <v>17285</v>
      </c>
      <c r="F578" s="3" t="s">
        <v>17286</v>
      </c>
      <c r="G578" s="3" t="s">
        <v>17287</v>
      </c>
      <c r="H578" s="3" t="s">
        <v>17288</v>
      </c>
      <c r="I578" s="5" t="str">
        <f>IFERROR(__xludf.DUMMYFUNCTION("GOOGLETRANSLATE(J578,""zh_HANS"",""zh_HANT"")"),"吸取之吻")</f>
        <v>吸取之吻</v>
      </c>
      <c r="J578" s="3" t="s">
        <v>17289</v>
      </c>
    </row>
    <row r="579">
      <c r="A579" s="5" t="str">
        <f t="shared" si="3"/>
        <v>NAME_MOVE_CRAFTYSHIELD</v>
      </c>
      <c r="B579" s="3" t="s">
        <v>17290</v>
      </c>
      <c r="C579" s="3" t="s">
        <v>17291</v>
      </c>
      <c r="D579" s="3" t="s">
        <v>17292</v>
      </c>
      <c r="E579" s="3" t="s">
        <v>17293</v>
      </c>
      <c r="F579" s="3" t="s">
        <v>17294</v>
      </c>
      <c r="G579" s="3" t="s">
        <v>17295</v>
      </c>
      <c r="H579" s="3" t="s">
        <v>17296</v>
      </c>
      <c r="I579" s="5" t="str">
        <f>IFERROR(__xludf.DUMMYFUNCTION("GOOGLETRANSLATE(J579,""zh_HANS"",""zh_HANT"")"),"戲法防守")</f>
        <v>戲法防守</v>
      </c>
      <c r="J579" s="3" t="s">
        <v>17297</v>
      </c>
    </row>
    <row r="580">
      <c r="A580" s="5" t="str">
        <f t="shared" si="3"/>
        <v>NAME_MOVE_FLOWERSHIELD</v>
      </c>
      <c r="B580" s="3" t="s">
        <v>17298</v>
      </c>
      <c r="C580" s="3" t="s">
        <v>17299</v>
      </c>
      <c r="D580" s="3" t="s">
        <v>17300</v>
      </c>
      <c r="E580" s="3" t="s">
        <v>17301</v>
      </c>
      <c r="F580" s="3" t="s">
        <v>17302</v>
      </c>
      <c r="G580" s="3" t="s">
        <v>17303</v>
      </c>
      <c r="H580" s="3" t="s">
        <v>17304</v>
      </c>
      <c r="I580" s="5" t="str">
        <f>IFERROR(__xludf.DUMMYFUNCTION("GOOGLETRANSLATE(J580,""zh_HANS"",""zh_HANT"")"),"花防守")</f>
        <v>花防守</v>
      </c>
      <c r="J580" s="3" t="s">
        <v>17305</v>
      </c>
    </row>
    <row r="581">
      <c r="A581" s="5" t="str">
        <f t="shared" si="3"/>
        <v>NAME_MOVE_GRASSYTERRAIN</v>
      </c>
      <c r="B581" s="3" t="s">
        <v>17306</v>
      </c>
      <c r="C581" s="3" t="s">
        <v>17307</v>
      </c>
      <c r="D581" s="3" t="s">
        <v>17308</v>
      </c>
      <c r="E581" s="3" t="s">
        <v>17309</v>
      </c>
      <c r="F581" s="3" t="s">
        <v>17310</v>
      </c>
      <c r="G581" s="3" t="s">
        <v>17311</v>
      </c>
      <c r="H581" s="3" t="s">
        <v>17312</v>
      </c>
      <c r="I581" s="3" t="s">
        <v>17313</v>
      </c>
      <c r="J581" s="5" t="str">
        <f>IFERROR(__xludf.DUMMYFUNCTION("GOOGLETRANSLATE(I581,""zh_HANT"",""zh_HANS"")"),"青草场地")</f>
        <v>青草场地</v>
      </c>
    </row>
    <row r="582">
      <c r="A582" s="5" t="str">
        <f t="shared" si="3"/>
        <v>NAME_MOVE_MISTYTERRAIN</v>
      </c>
      <c r="B582" s="3" t="s">
        <v>17314</v>
      </c>
      <c r="C582" s="3" t="s">
        <v>17315</v>
      </c>
      <c r="D582" s="3" t="s">
        <v>17316</v>
      </c>
      <c r="E582" s="3" t="s">
        <v>17317</v>
      </c>
      <c r="F582" s="3" t="s">
        <v>17318</v>
      </c>
      <c r="G582" s="3" t="s">
        <v>17319</v>
      </c>
      <c r="H582" s="3" t="s">
        <v>17320</v>
      </c>
      <c r="I582" s="3" t="s">
        <v>17321</v>
      </c>
      <c r="J582" s="5" t="str">
        <f>IFERROR(__xludf.DUMMYFUNCTION("GOOGLETRANSLATE(I582,""zh_HANT"",""zh_HANS"")"),"薄雾场地")</f>
        <v>薄雾场地</v>
      </c>
    </row>
    <row r="583">
      <c r="A583" s="5" t="str">
        <f t="shared" si="3"/>
        <v>NAME_MOVE_ELECTRIFY</v>
      </c>
      <c r="B583" s="3" t="s">
        <v>17322</v>
      </c>
      <c r="C583" s="3" t="s">
        <v>17323</v>
      </c>
      <c r="D583" s="3" t="s">
        <v>17324</v>
      </c>
      <c r="E583" s="3" t="s">
        <v>17325</v>
      </c>
      <c r="F583" s="3" t="s">
        <v>17326</v>
      </c>
      <c r="G583" s="3" t="s">
        <v>17327</v>
      </c>
      <c r="H583" s="3" t="s">
        <v>17328</v>
      </c>
      <c r="I583" s="5" t="str">
        <f>IFERROR(__xludf.DUMMYFUNCTION("GOOGLETRANSLATE(J583,""zh_HANS"",""zh_HANT"")"),"輸電")</f>
        <v>輸電</v>
      </c>
      <c r="J583" s="3" t="s">
        <v>17329</v>
      </c>
    </row>
    <row r="584">
      <c r="A584" s="5" t="str">
        <f t="shared" si="3"/>
        <v>NAME_MOVE_PLAYROUGH</v>
      </c>
      <c r="B584" s="3" t="s">
        <v>17330</v>
      </c>
      <c r="C584" s="3" t="s">
        <v>17331</v>
      </c>
      <c r="D584" s="3" t="s">
        <v>17332</v>
      </c>
      <c r="E584" s="3" t="s">
        <v>17333</v>
      </c>
      <c r="F584" s="3" t="s">
        <v>17334</v>
      </c>
      <c r="G584" s="3" t="s">
        <v>17335</v>
      </c>
      <c r="H584" s="3" t="s">
        <v>17336</v>
      </c>
      <c r="I584" s="5" t="str">
        <f>IFERROR(__xludf.DUMMYFUNCTION("GOOGLETRANSLATE(J584,""zh_HANS"",""zh_HANT"")"),"嬉鬧")</f>
        <v>嬉鬧</v>
      </c>
      <c r="J584" s="3" t="s">
        <v>17337</v>
      </c>
    </row>
    <row r="585">
      <c r="A585" s="5" t="str">
        <f t="shared" si="3"/>
        <v>NAME_MOVE_FAIRYWIND</v>
      </c>
      <c r="B585" s="3" t="s">
        <v>17338</v>
      </c>
      <c r="C585" s="3" t="s">
        <v>17339</v>
      </c>
      <c r="D585" s="3" t="s">
        <v>17340</v>
      </c>
      <c r="E585" s="3" t="s">
        <v>17341</v>
      </c>
      <c r="F585" s="3" t="s">
        <v>17342</v>
      </c>
      <c r="G585" s="3" t="s">
        <v>17343</v>
      </c>
      <c r="H585" s="3" t="s">
        <v>17344</v>
      </c>
      <c r="I585" s="5" t="str">
        <f>IFERROR(__xludf.DUMMYFUNCTION("GOOGLETRANSLATE(J585,""zh_HANS"",""zh_HANT"")"),"妖精之風")</f>
        <v>妖精之風</v>
      </c>
      <c r="J585" s="3" t="s">
        <v>17345</v>
      </c>
    </row>
    <row r="586">
      <c r="A586" s="5" t="str">
        <f t="shared" si="3"/>
        <v>NAME_MOVE_MOONBLAST</v>
      </c>
      <c r="B586" s="3" t="s">
        <v>17346</v>
      </c>
      <c r="C586" s="3" t="s">
        <v>17347</v>
      </c>
      <c r="D586" s="3" t="s">
        <v>17348</v>
      </c>
      <c r="E586" s="3" t="s">
        <v>17349</v>
      </c>
      <c r="F586" s="3" t="s">
        <v>17350</v>
      </c>
      <c r="G586" s="3" t="s">
        <v>17351</v>
      </c>
      <c r="H586" s="3" t="s">
        <v>17352</v>
      </c>
      <c r="I586" s="5" t="str">
        <f>IFERROR(__xludf.DUMMYFUNCTION("GOOGLETRANSLATE(J586,""zh_HANS"",""zh_HANT"")"),"月亮之力")</f>
        <v>月亮之力</v>
      </c>
      <c r="J586" s="3" t="s">
        <v>17353</v>
      </c>
    </row>
    <row r="587">
      <c r="A587" s="5" t="str">
        <f t="shared" si="3"/>
        <v>NAME_MOVE_BOOMBURST</v>
      </c>
      <c r="B587" s="3" t="s">
        <v>17354</v>
      </c>
      <c r="C587" s="3" t="s">
        <v>17355</v>
      </c>
      <c r="D587" s="3" t="s">
        <v>17356</v>
      </c>
      <c r="E587" s="3" t="s">
        <v>17357</v>
      </c>
      <c r="F587" s="3" t="s">
        <v>17358</v>
      </c>
      <c r="G587" s="3" t="s">
        <v>17359</v>
      </c>
      <c r="H587" s="3" t="s">
        <v>17360</v>
      </c>
      <c r="I587" s="5" t="str">
        <f>IFERROR(__xludf.DUMMYFUNCTION("GOOGLETRANSLATE(J587,""zh_HANS"",""zh_HANT"")"),"爆音波")</f>
        <v>爆音波</v>
      </c>
      <c r="J587" s="3" t="s">
        <v>17361</v>
      </c>
    </row>
    <row r="588">
      <c r="A588" s="5" t="str">
        <f t="shared" si="3"/>
        <v>NAME_MOVE_FAIRYLOCK</v>
      </c>
      <c r="B588" s="3" t="s">
        <v>17362</v>
      </c>
      <c r="C588" s="3" t="s">
        <v>17363</v>
      </c>
      <c r="D588" s="3" t="s">
        <v>17364</v>
      </c>
      <c r="E588" s="3" t="s">
        <v>17365</v>
      </c>
      <c r="F588" s="3" t="s">
        <v>17366</v>
      </c>
      <c r="G588" s="3" t="s">
        <v>17367</v>
      </c>
      <c r="H588" s="3" t="s">
        <v>17368</v>
      </c>
      <c r="I588" s="5" t="str">
        <f>IFERROR(__xludf.DUMMYFUNCTION("GOOGLETRANSLATE(J588,""zh_HANS"",""zh_HANT"")"),"妖精之鎖")</f>
        <v>妖精之鎖</v>
      </c>
      <c r="J588" s="3" t="s">
        <v>17369</v>
      </c>
    </row>
    <row r="589">
      <c r="A589" s="5" t="str">
        <f t="shared" si="3"/>
        <v>NAME_MOVE_KING'SSHIELD</v>
      </c>
      <c r="B589" s="3" t="s">
        <v>17370</v>
      </c>
      <c r="C589" s="3" t="s">
        <v>17371</v>
      </c>
      <c r="D589" s="3" t="s">
        <v>17372</v>
      </c>
      <c r="E589" s="3" t="s">
        <v>17373</v>
      </c>
      <c r="F589" s="3" t="s">
        <v>17374</v>
      </c>
      <c r="G589" s="3" t="s">
        <v>17375</v>
      </c>
      <c r="H589" s="3" t="s">
        <v>17376</v>
      </c>
      <c r="I589" s="5" t="str">
        <f>IFERROR(__xludf.DUMMYFUNCTION("GOOGLETRANSLATE(J589,""zh_HANS"",""zh_HANT"")"),"王者盾牌")</f>
        <v>王者盾牌</v>
      </c>
      <c r="J589" s="3" t="s">
        <v>17377</v>
      </c>
    </row>
    <row r="590">
      <c r="A590" s="5" t="str">
        <f t="shared" si="3"/>
        <v>NAME_MOVE_PLAYNICE</v>
      </c>
      <c r="B590" s="3" t="s">
        <v>17378</v>
      </c>
      <c r="C590" s="3" t="s">
        <v>17379</v>
      </c>
      <c r="D590" s="3" t="s">
        <v>17380</v>
      </c>
      <c r="E590" s="3" t="s">
        <v>17381</v>
      </c>
      <c r="F590" s="3" t="s">
        <v>17382</v>
      </c>
      <c r="G590" s="3" t="s">
        <v>17383</v>
      </c>
      <c r="H590" s="3" t="s">
        <v>17384</v>
      </c>
      <c r="I590" s="5" t="str">
        <f>IFERROR(__xludf.DUMMYFUNCTION("GOOGLETRANSLATE(J590,""zh_HANS"",""zh_HANT"")"),"和睦相處")</f>
        <v>和睦相處</v>
      </c>
      <c r="J590" s="3" t="s">
        <v>17385</v>
      </c>
    </row>
    <row r="591">
      <c r="A591" s="5" t="str">
        <f t="shared" si="3"/>
        <v>NAME_MOVE_CONFIDE</v>
      </c>
      <c r="B591" s="3" t="s">
        <v>17386</v>
      </c>
      <c r="C591" s="3" t="s">
        <v>17387</v>
      </c>
      <c r="D591" s="3" t="s">
        <v>17388</v>
      </c>
      <c r="E591" s="3" t="s">
        <v>17389</v>
      </c>
      <c r="F591" s="3" t="s">
        <v>17390</v>
      </c>
      <c r="G591" s="3" t="s">
        <v>17391</v>
      </c>
      <c r="H591" s="3" t="s">
        <v>17392</v>
      </c>
      <c r="I591" s="5" t="str">
        <f>IFERROR(__xludf.DUMMYFUNCTION("GOOGLETRANSLATE(J591,""zh_HANS"",""zh_HANT"")"),"密語")</f>
        <v>密語</v>
      </c>
      <c r="J591" s="3" t="s">
        <v>17393</v>
      </c>
    </row>
    <row r="592">
      <c r="A592" s="5" t="str">
        <f t="shared" si="3"/>
        <v>NAME_MOVE_DIAMONDSTORM</v>
      </c>
      <c r="B592" s="3" t="s">
        <v>17394</v>
      </c>
      <c r="C592" s="3" t="s">
        <v>17395</v>
      </c>
      <c r="D592" s="3" t="s">
        <v>17396</v>
      </c>
      <c r="E592" s="3" t="s">
        <v>17397</v>
      </c>
      <c r="F592" s="3" t="s">
        <v>17398</v>
      </c>
      <c r="G592" s="3" t="s">
        <v>17399</v>
      </c>
      <c r="H592" s="3" t="s">
        <v>17400</v>
      </c>
      <c r="I592" s="5" t="str">
        <f>IFERROR(__xludf.DUMMYFUNCTION("GOOGLETRANSLATE(J592,""zh_HANS"",""zh_HANT"")"),"鑽石風暴")</f>
        <v>鑽石風暴</v>
      </c>
      <c r="J592" s="3" t="s">
        <v>17401</v>
      </c>
    </row>
    <row r="593">
      <c r="A593" s="5" t="str">
        <f t="shared" si="3"/>
        <v>NAME_MOVE_STEAMERUPTION</v>
      </c>
      <c r="B593" s="3" t="s">
        <v>17402</v>
      </c>
      <c r="C593" s="3" t="s">
        <v>17403</v>
      </c>
      <c r="D593" s="3" t="s">
        <v>17404</v>
      </c>
      <c r="E593" s="3" t="s">
        <v>17405</v>
      </c>
      <c r="F593" s="3" t="s">
        <v>17406</v>
      </c>
      <c r="G593" s="3" t="s">
        <v>17407</v>
      </c>
      <c r="H593" s="3" t="s">
        <v>17408</v>
      </c>
      <c r="I593" s="5" t="str">
        <f>IFERROR(__xludf.DUMMYFUNCTION("GOOGLETRANSLATE(J593,""zh_HANS"",""zh_HANT"")"),"蒸氣爆炸")</f>
        <v>蒸氣爆炸</v>
      </c>
      <c r="J593" s="3" t="s">
        <v>17409</v>
      </c>
    </row>
    <row r="594">
      <c r="A594" s="5" t="str">
        <f t="shared" si="3"/>
        <v>NAME_MOVE_HYPERSPACEHOLE</v>
      </c>
      <c r="B594" s="3" t="s">
        <v>17410</v>
      </c>
      <c r="C594" s="3" t="s">
        <v>17411</v>
      </c>
      <c r="D594" s="3" t="s">
        <v>17412</v>
      </c>
      <c r="E594" s="3" t="s">
        <v>17413</v>
      </c>
      <c r="F594" s="3" t="s">
        <v>17414</v>
      </c>
      <c r="G594" s="3" t="s">
        <v>17415</v>
      </c>
      <c r="H594" s="3" t="s">
        <v>17416</v>
      </c>
      <c r="I594" s="5" t="str">
        <f>IFERROR(__xludf.DUMMYFUNCTION("GOOGLETRANSLATE(J594,""zh_HANS"",""zh_HANT"")"),"異次元洞")</f>
        <v>異次元洞</v>
      </c>
      <c r="J594" s="3" t="s">
        <v>17417</v>
      </c>
    </row>
    <row r="595">
      <c r="A595" s="5" t="str">
        <f t="shared" si="3"/>
        <v>NAME_MOVE_WATERSHURIKEN</v>
      </c>
      <c r="B595" s="3" t="s">
        <v>17418</v>
      </c>
      <c r="C595" s="3" t="s">
        <v>17419</v>
      </c>
      <c r="D595" s="3" t="s">
        <v>17420</v>
      </c>
      <c r="E595" s="3" t="s">
        <v>17421</v>
      </c>
      <c r="F595" s="3" t="s">
        <v>17422</v>
      </c>
      <c r="G595" s="3" t="s">
        <v>17423</v>
      </c>
      <c r="H595" s="3" t="s">
        <v>17424</v>
      </c>
      <c r="I595" s="5" t="str">
        <f>IFERROR(__xludf.DUMMYFUNCTION("GOOGLETRANSLATE(J595,""zh_HANS"",""zh_HANT"")"),"飛水手裡劍")</f>
        <v>飛水手裡劍</v>
      </c>
      <c r="J595" s="3" t="s">
        <v>17425</v>
      </c>
    </row>
    <row r="596">
      <c r="A596" s="5" t="str">
        <f t="shared" si="3"/>
        <v>NAME_MOVE_MYSTICALFIRE</v>
      </c>
      <c r="B596" s="3" t="s">
        <v>17426</v>
      </c>
      <c r="C596" s="3" t="s">
        <v>17427</v>
      </c>
      <c r="D596" s="3" t="s">
        <v>17428</v>
      </c>
      <c r="E596" s="3" t="s">
        <v>17429</v>
      </c>
      <c r="F596" s="3" t="s">
        <v>17430</v>
      </c>
      <c r="G596" s="3" t="s">
        <v>17431</v>
      </c>
      <c r="H596" s="3" t="s">
        <v>17432</v>
      </c>
      <c r="I596" s="5" t="str">
        <f>IFERROR(__xludf.DUMMYFUNCTION("GOOGLETRANSLATE(J596,""zh_HANS"",""zh_HANT"")"),"魔法火焰")</f>
        <v>魔法火焰</v>
      </c>
      <c r="J596" s="3" t="s">
        <v>17433</v>
      </c>
    </row>
    <row r="597">
      <c r="A597" s="5" t="str">
        <f t="shared" si="3"/>
        <v>NAME_MOVE_SPIKYSHIELD</v>
      </c>
      <c r="B597" s="3" t="s">
        <v>17434</v>
      </c>
      <c r="C597" s="3" t="s">
        <v>17435</v>
      </c>
      <c r="D597" s="3" t="s">
        <v>17436</v>
      </c>
      <c r="E597" s="3" t="s">
        <v>17437</v>
      </c>
      <c r="F597" s="3" t="s">
        <v>17438</v>
      </c>
      <c r="G597" s="3" t="s">
        <v>17439</v>
      </c>
      <c r="H597" s="3" t="s">
        <v>17440</v>
      </c>
      <c r="I597" s="5" t="str">
        <f>IFERROR(__xludf.DUMMYFUNCTION("GOOGLETRANSLATE(J597,""zh_HANS"",""zh_HANT"")"),"尖刺防守")</f>
        <v>尖刺防守</v>
      </c>
      <c r="J597" s="3" t="s">
        <v>17441</v>
      </c>
    </row>
    <row r="598">
      <c r="A598" s="5" t="str">
        <f t="shared" si="3"/>
        <v>NAME_MOVE_AROMATICMIST</v>
      </c>
      <c r="B598" s="3" t="s">
        <v>17442</v>
      </c>
      <c r="C598" s="3" t="s">
        <v>17443</v>
      </c>
      <c r="D598" s="3" t="s">
        <v>17444</v>
      </c>
      <c r="E598" s="3" t="s">
        <v>17445</v>
      </c>
      <c r="F598" s="3" t="s">
        <v>17446</v>
      </c>
      <c r="G598" s="3" t="s">
        <v>17447</v>
      </c>
      <c r="H598" s="3" t="s">
        <v>17448</v>
      </c>
      <c r="I598" s="5" t="str">
        <f>IFERROR(__xludf.DUMMYFUNCTION("GOOGLETRANSLATE(J598,""zh_HANS"",""zh_HANT"")"),"芳香薄霧")</f>
        <v>芳香薄霧</v>
      </c>
      <c r="J598" s="3" t="s">
        <v>17449</v>
      </c>
    </row>
    <row r="599">
      <c r="A599" s="5" t="str">
        <f t="shared" si="3"/>
        <v>NAME_MOVE_EERIEIMPULSE</v>
      </c>
      <c r="B599" s="3" t="s">
        <v>17450</v>
      </c>
      <c r="C599" s="3" t="s">
        <v>17451</v>
      </c>
      <c r="D599" s="3" t="s">
        <v>17452</v>
      </c>
      <c r="E599" s="3" t="s">
        <v>17453</v>
      </c>
      <c r="F599" s="3" t="s">
        <v>17454</v>
      </c>
      <c r="G599" s="3" t="s">
        <v>17455</v>
      </c>
      <c r="H599" s="3" t="s">
        <v>17456</v>
      </c>
      <c r="I599" s="5" t="str">
        <f>IFERROR(__xludf.DUMMYFUNCTION("GOOGLETRANSLATE(J599,""zh_HANS"",""zh_HANT"")"),"怪異電波")</f>
        <v>怪異電波</v>
      </c>
      <c r="J599" s="3" t="s">
        <v>17457</v>
      </c>
    </row>
    <row r="600">
      <c r="A600" s="5" t="str">
        <f t="shared" si="3"/>
        <v>NAME_MOVE_VENOMDRENCH</v>
      </c>
      <c r="B600" s="3" t="s">
        <v>17458</v>
      </c>
      <c r="C600" s="3" t="s">
        <v>17459</v>
      </c>
      <c r="D600" s="3" t="s">
        <v>17460</v>
      </c>
      <c r="E600" s="3" t="s">
        <v>17461</v>
      </c>
      <c r="F600" s="3" t="s">
        <v>17462</v>
      </c>
      <c r="G600" s="3" t="s">
        <v>17463</v>
      </c>
      <c r="H600" s="4" t="s">
        <v>17464</v>
      </c>
      <c r="I600" s="7" t="s">
        <v>17465</v>
      </c>
      <c r="J600" s="5" t="str">
        <f>I600</f>
        <v>毒液陷阱</v>
      </c>
    </row>
    <row r="601">
      <c r="A601" s="5" t="str">
        <f t="shared" si="3"/>
        <v>NAME_MOVE_POWDER</v>
      </c>
      <c r="B601" s="3" t="s">
        <v>17466</v>
      </c>
      <c r="C601" s="3" t="s">
        <v>17467</v>
      </c>
      <c r="D601" s="3" t="s">
        <v>17468</v>
      </c>
      <c r="E601" s="3" t="s">
        <v>17469</v>
      </c>
      <c r="F601" s="3" t="s">
        <v>17470</v>
      </c>
      <c r="G601" s="3" t="s">
        <v>17471</v>
      </c>
      <c r="H601" s="3" t="s">
        <v>17472</v>
      </c>
      <c r="I601" s="3" t="s">
        <v>17473</v>
      </c>
      <c r="J601" s="5" t="str">
        <f>IFERROR(__xludf.DUMMYFUNCTION("GOOGLETRANSLATE(I601,""zh_HANT"",""zh_HANS"")"),"粉尘")</f>
        <v>粉尘</v>
      </c>
    </row>
    <row r="602">
      <c r="A602" s="5" t="str">
        <f t="shared" si="3"/>
        <v>NAME_MOVE_GEOMANCY</v>
      </c>
      <c r="B602" s="3" t="s">
        <v>17474</v>
      </c>
      <c r="C602" s="3" t="s">
        <v>17475</v>
      </c>
      <c r="D602" s="3" t="s">
        <v>17476</v>
      </c>
      <c r="E602" s="3" t="s">
        <v>17477</v>
      </c>
      <c r="F602" s="3" t="s">
        <v>17478</v>
      </c>
      <c r="G602" s="5" t="str">
        <f>CONCATENATE(F602,"lo")</f>
        <v>Geocontrollo</v>
      </c>
      <c r="H602" s="3" t="s">
        <v>17479</v>
      </c>
      <c r="I602" s="3" t="s">
        <v>17480</v>
      </c>
      <c r="J602" s="5" t="str">
        <f>I602</f>
        <v>大地掌控</v>
      </c>
    </row>
    <row r="603">
      <c r="A603" s="5" t="str">
        <f t="shared" si="3"/>
        <v>NAME_MOVE_MAGNETICFLUX</v>
      </c>
      <c r="B603" s="3" t="s">
        <v>17481</v>
      </c>
      <c r="C603" s="3" t="s">
        <v>17482</v>
      </c>
      <c r="D603" s="3" t="s">
        <v>17483</v>
      </c>
      <c r="E603" s="3" t="s">
        <v>17484</v>
      </c>
      <c r="F603" s="3" t="s">
        <v>17485</v>
      </c>
      <c r="G603" s="3" t="s">
        <v>17486</v>
      </c>
      <c r="H603" s="3" t="s">
        <v>17487</v>
      </c>
      <c r="I603" s="3" t="s">
        <v>17488</v>
      </c>
      <c r="J603" s="5" t="str">
        <f>IFERROR(__xludf.DUMMYFUNCTION("GOOGLETRANSLATE(I603,""zh_HANT"",""zh_HANS"")"),"磁场操控")</f>
        <v>磁场操控</v>
      </c>
    </row>
    <row r="604">
      <c r="A604" s="5" t="str">
        <f t="shared" si="3"/>
        <v>NAME_MOVE_HAPPYHOUR</v>
      </c>
      <c r="B604" s="3" t="s">
        <v>17489</v>
      </c>
      <c r="C604" s="3" t="s">
        <v>17490</v>
      </c>
      <c r="D604" s="3" t="s">
        <v>17491</v>
      </c>
      <c r="E604" s="3" t="s">
        <v>17492</v>
      </c>
      <c r="F604" s="3" t="s">
        <v>17493</v>
      </c>
      <c r="G604" s="3" t="s">
        <v>17494</v>
      </c>
      <c r="H604" s="3" t="s">
        <v>17495</v>
      </c>
      <c r="I604" s="3" t="s">
        <v>17496</v>
      </c>
      <c r="J604" s="5" t="str">
        <f>IFERROR(__xludf.DUMMYFUNCTION("GOOGLETRANSLATE(I604,""zh_HANT"",""zh_HANS"")"),"欢乐时光")</f>
        <v>欢乐时光</v>
      </c>
    </row>
    <row r="605">
      <c r="A605" s="5" t="str">
        <f t="shared" si="3"/>
        <v>NAME_MOVE_ELECTRICTERRAIN</v>
      </c>
      <c r="B605" s="3" t="s">
        <v>17497</v>
      </c>
      <c r="C605" s="3" t="s">
        <v>17498</v>
      </c>
      <c r="D605" s="3" t="s">
        <v>17499</v>
      </c>
      <c r="E605" s="3" t="s">
        <v>17500</v>
      </c>
      <c r="F605" s="3" t="s">
        <v>17501</v>
      </c>
      <c r="G605" s="3" t="s">
        <v>17502</v>
      </c>
      <c r="H605" s="3" t="s">
        <v>17503</v>
      </c>
      <c r="I605" s="3" t="s">
        <v>17504</v>
      </c>
      <c r="J605" s="5" t="str">
        <f>IFERROR(__xludf.DUMMYFUNCTION("GOOGLETRANSLATE(I605,""zh_HANT"",""zh_HANS"")"),"电气场地")</f>
        <v>电气场地</v>
      </c>
    </row>
    <row r="606">
      <c r="A606" s="5" t="str">
        <f t="shared" si="3"/>
        <v>NAME_MOVE_DAZZLINGGLEAM</v>
      </c>
      <c r="B606" s="3" t="s">
        <v>17505</v>
      </c>
      <c r="C606" s="3" t="s">
        <v>17506</v>
      </c>
      <c r="D606" s="3" t="s">
        <v>17507</v>
      </c>
      <c r="E606" s="3" t="s">
        <v>17508</v>
      </c>
      <c r="F606" s="3" t="s">
        <v>17509</v>
      </c>
      <c r="G606" s="3" t="s">
        <v>17510</v>
      </c>
      <c r="H606" s="3" t="s">
        <v>17511</v>
      </c>
      <c r="I606" s="5" t="str">
        <f>IFERROR(__xludf.DUMMYFUNCTION("GOOGLETRANSLATE(J606,""zh_HANS"",""zh_HANT"")"),"魔法閃耀")</f>
        <v>魔法閃耀</v>
      </c>
      <c r="J606" s="3" t="s">
        <v>17512</v>
      </c>
    </row>
    <row r="607">
      <c r="A607" s="5" t="str">
        <f t="shared" si="3"/>
        <v>NAME_MOVE_CELEBRATE</v>
      </c>
      <c r="B607" s="3" t="s">
        <v>17513</v>
      </c>
      <c r="C607" s="3" t="s">
        <v>17514</v>
      </c>
      <c r="D607" s="3" t="s">
        <v>9817</v>
      </c>
      <c r="E607" s="3" t="s">
        <v>17515</v>
      </c>
      <c r="F607" s="3" t="s">
        <v>17516</v>
      </c>
      <c r="G607" s="3" t="s">
        <v>17517</v>
      </c>
      <c r="H607" s="3" t="s">
        <v>17518</v>
      </c>
      <c r="I607" s="5" t="str">
        <f>IFERROR(__xludf.DUMMYFUNCTION("GOOGLETRANSLATE(J607,""zh_HANS"",""zh_HANT"")"),"慶祝")</f>
        <v>慶祝</v>
      </c>
      <c r="J607" s="3" t="s">
        <v>17519</v>
      </c>
    </row>
    <row r="608">
      <c r="A608" s="5" t="str">
        <f t="shared" si="3"/>
        <v>NAME_MOVE_HOLDHANDS</v>
      </c>
      <c r="B608" s="3" t="s">
        <v>17520</v>
      </c>
      <c r="C608" s="3" t="s">
        <v>17521</v>
      </c>
      <c r="D608" s="3" t="s">
        <v>17522</v>
      </c>
      <c r="E608" s="3" t="s">
        <v>17523</v>
      </c>
      <c r="F608" s="3" t="s">
        <v>17524</v>
      </c>
      <c r="G608" s="3" t="s">
        <v>17525</v>
      </c>
      <c r="H608" s="3" t="s">
        <v>17526</v>
      </c>
      <c r="I608" s="5" t="str">
        <f>IFERROR(__xludf.DUMMYFUNCTION("GOOGLETRANSLATE(J608,""zh_HANS"",""zh_HANT"")"),"牽手")</f>
        <v>牽手</v>
      </c>
      <c r="J608" s="3" t="s">
        <v>17527</v>
      </c>
    </row>
    <row r="609">
      <c r="A609" s="5" t="str">
        <f t="shared" si="3"/>
        <v>NAME_MOVE_BABYDOLLEYES</v>
      </c>
      <c r="B609" s="3" t="s">
        <v>17528</v>
      </c>
      <c r="C609" s="3" t="s">
        <v>17529</v>
      </c>
      <c r="D609" s="3" t="s">
        <v>17530</v>
      </c>
      <c r="E609" s="3" t="s">
        <v>17531</v>
      </c>
      <c r="F609" s="3" t="s">
        <v>17532</v>
      </c>
      <c r="G609" s="3" t="s">
        <v>17533</v>
      </c>
      <c r="H609" s="3" t="s">
        <v>17534</v>
      </c>
      <c r="I609" s="5" t="str">
        <f>IFERROR(__xludf.DUMMYFUNCTION("GOOGLETRANSLATE(J609,""zh_HANS"",""zh_HANT"")"),"圓瞳")</f>
        <v>圓瞳</v>
      </c>
      <c r="J609" s="3" t="s">
        <v>17535</v>
      </c>
    </row>
    <row r="610">
      <c r="A610" s="5" t="str">
        <f t="shared" si="3"/>
        <v>NAME_MOVE_NUZZLE</v>
      </c>
      <c r="B610" s="3" t="s">
        <v>17536</v>
      </c>
      <c r="C610" s="3" t="s">
        <v>17537</v>
      </c>
      <c r="D610" s="3" t="s">
        <v>17538</v>
      </c>
      <c r="E610" s="3" t="s">
        <v>17539</v>
      </c>
      <c r="F610" s="3" t="s">
        <v>17540</v>
      </c>
      <c r="G610" s="3" t="s">
        <v>17541</v>
      </c>
      <c r="H610" s="3" t="s">
        <v>17542</v>
      </c>
      <c r="I610" s="5" t="str">
        <f>IFERROR(__xludf.DUMMYFUNCTION("GOOGLETRANSLATE(J610,""zh_HANS"",""zh_HANT"")"),"蹭蹭臉頰")</f>
        <v>蹭蹭臉頰</v>
      </c>
      <c r="J610" s="3" t="s">
        <v>17543</v>
      </c>
    </row>
    <row r="611">
      <c r="A611" s="5" t="str">
        <f t="shared" si="3"/>
        <v>NAME_MOVE_HOLDBACK</v>
      </c>
      <c r="B611" s="3" t="s">
        <v>17544</v>
      </c>
      <c r="C611" s="3" t="s">
        <v>17545</v>
      </c>
      <c r="D611" s="3" t="s">
        <v>17546</v>
      </c>
      <c r="E611" s="3" t="s">
        <v>17547</v>
      </c>
      <c r="F611" s="3" t="s">
        <v>17548</v>
      </c>
      <c r="G611" s="3" t="s">
        <v>17549</v>
      </c>
      <c r="H611" s="3" t="s">
        <v>17550</v>
      </c>
      <c r="I611" s="5" t="str">
        <f>IFERROR(__xludf.DUMMYFUNCTION("GOOGLETRANSLATE(J611,""zh_HANS"",""zh_HANT"")"),"手下留情")</f>
        <v>手下留情</v>
      </c>
      <c r="J611" s="3" t="s">
        <v>17551</v>
      </c>
    </row>
    <row r="612">
      <c r="A612" s="5" t="str">
        <f t="shared" si="3"/>
        <v>NAME_MOVE_INFESTATION</v>
      </c>
      <c r="B612" s="3" t="s">
        <v>17552</v>
      </c>
      <c r="C612" s="3" t="s">
        <v>17553</v>
      </c>
      <c r="D612" s="3" t="s">
        <v>17554</v>
      </c>
      <c r="E612" s="3" t="s">
        <v>17555</v>
      </c>
      <c r="F612" s="3" t="s">
        <v>17556</v>
      </c>
      <c r="G612" s="3" t="s">
        <v>17557</v>
      </c>
      <c r="H612" s="3" t="s">
        <v>17558</v>
      </c>
      <c r="I612" s="10" t="s">
        <v>17559</v>
      </c>
      <c r="J612" s="3" t="s">
        <v>17560</v>
      </c>
    </row>
    <row r="613">
      <c r="A613" s="5" t="str">
        <f t="shared" si="3"/>
        <v>NAME_MOVE_POWERUPPUNCH</v>
      </c>
      <c r="B613" s="3" t="s">
        <v>17561</v>
      </c>
      <c r="C613" s="3" t="s">
        <v>17562</v>
      </c>
      <c r="D613" s="3" t="s">
        <v>17563</v>
      </c>
      <c r="E613" s="3" t="s">
        <v>17564</v>
      </c>
      <c r="F613" s="3" t="s">
        <v>17565</v>
      </c>
      <c r="G613" s="3" t="s">
        <v>17566</v>
      </c>
      <c r="H613" s="3" t="s">
        <v>17567</v>
      </c>
      <c r="I613" s="5" t="str">
        <f>IFERROR(__xludf.DUMMYFUNCTION("GOOGLETRANSLATE(J613,""zh_HANS"",""zh_HANT"")"),"增強拳")</f>
        <v>增強拳</v>
      </c>
      <c r="J613" s="3" t="s">
        <v>17568</v>
      </c>
    </row>
    <row r="614">
      <c r="A614" s="5" t="str">
        <f t="shared" si="3"/>
        <v>NAME_MOVE_OBLIVIONWING</v>
      </c>
      <c r="B614" s="3" t="s">
        <v>17569</v>
      </c>
      <c r="C614" s="3" t="s">
        <v>17570</v>
      </c>
      <c r="D614" s="3" t="s">
        <v>17571</v>
      </c>
      <c r="E614" s="3" t="s">
        <v>17572</v>
      </c>
      <c r="F614" s="3" t="s">
        <v>17573</v>
      </c>
      <c r="G614" s="3" t="s">
        <v>17574</v>
      </c>
      <c r="H614" s="3" t="s">
        <v>17575</v>
      </c>
      <c r="I614" s="3" t="s">
        <v>17576</v>
      </c>
      <c r="J614" s="3" t="s">
        <v>17577</v>
      </c>
    </row>
    <row r="615">
      <c r="A615" s="5" t="str">
        <f t="shared" si="3"/>
        <v>NAME_MOVE_THOUSANDARROWS</v>
      </c>
      <c r="B615" s="3" t="s">
        <v>17578</v>
      </c>
      <c r="C615" s="3" t="s">
        <v>17579</v>
      </c>
      <c r="D615" s="3" t="s">
        <v>17580</v>
      </c>
      <c r="E615" s="3" t="s">
        <v>17581</v>
      </c>
      <c r="F615" s="3" t="s">
        <v>17582</v>
      </c>
      <c r="G615" s="3" t="s">
        <v>17583</v>
      </c>
      <c r="H615" s="3" t="s">
        <v>17584</v>
      </c>
      <c r="I615" s="5" t="str">
        <f>IFERROR(__xludf.DUMMYFUNCTION("GOOGLETRANSLATE(J615,""zh_HANS"",""zh_HANT"")"),"千箭齊發")</f>
        <v>千箭齊發</v>
      </c>
      <c r="J615" s="3" t="s">
        <v>17585</v>
      </c>
    </row>
    <row r="616">
      <c r="A616" s="5" t="str">
        <f t="shared" si="3"/>
        <v>NAME_MOVE_THOUSANDWAVES</v>
      </c>
      <c r="B616" s="3" t="s">
        <v>17586</v>
      </c>
      <c r="C616" s="3" t="s">
        <v>17587</v>
      </c>
      <c r="D616" s="3" t="s">
        <v>17588</v>
      </c>
      <c r="E616" s="3" t="s">
        <v>17589</v>
      </c>
      <c r="F616" s="3" t="s">
        <v>17590</v>
      </c>
      <c r="G616" s="3" t="s">
        <v>17591</v>
      </c>
      <c r="H616" s="3" t="s">
        <v>17592</v>
      </c>
      <c r="I616" s="5" t="str">
        <f>IFERROR(__xludf.DUMMYFUNCTION("GOOGLETRANSLATE(J616,""zh_HANS"",""zh_HANT"")"),"千波激盪")</f>
        <v>千波激盪</v>
      </c>
      <c r="J616" s="3" t="s">
        <v>17593</v>
      </c>
    </row>
    <row r="617">
      <c r="A617" s="5" t="str">
        <f t="shared" si="3"/>
        <v>NAME_MOVE_LAND'SWRATH</v>
      </c>
      <c r="B617" s="3" t="s">
        <v>17594</v>
      </c>
      <c r="C617" s="3" t="s">
        <v>17595</v>
      </c>
      <c r="D617" s="3" t="s">
        <v>17596</v>
      </c>
      <c r="E617" s="3" t="s">
        <v>17597</v>
      </c>
      <c r="F617" s="3" t="s">
        <v>17598</v>
      </c>
      <c r="G617" s="3" t="s">
        <v>17599</v>
      </c>
      <c r="H617" s="3" t="s">
        <v>17600</v>
      </c>
      <c r="I617" s="5" t="str">
        <f>IFERROR(__xludf.DUMMYFUNCTION("GOOGLETRANSLATE(J617,""zh_HANS"",""zh_HANT"")"),"大地神力")</f>
        <v>大地神力</v>
      </c>
      <c r="J617" s="3" t="s">
        <v>17601</v>
      </c>
    </row>
    <row r="618">
      <c r="A618" s="5" t="str">
        <f t="shared" si="3"/>
        <v>NAME_MOVE_LIGHTOFRUIN</v>
      </c>
      <c r="B618" s="3" t="s">
        <v>17602</v>
      </c>
      <c r="C618" s="3" t="s">
        <v>17603</v>
      </c>
      <c r="D618" s="3" t="s">
        <v>17604</v>
      </c>
      <c r="E618" s="3" t="s">
        <v>17605</v>
      </c>
      <c r="F618" s="3" t="s">
        <v>17606</v>
      </c>
      <c r="G618" s="3" t="s">
        <v>17607</v>
      </c>
      <c r="H618" s="3" t="s">
        <v>17608</v>
      </c>
      <c r="I618" s="5" t="str">
        <f>IFERROR(__xludf.DUMMYFUNCTION("GOOGLETRANSLATE(J618,""zh_HANS"",""zh_HANT"")"),"破滅之光")</f>
        <v>破滅之光</v>
      </c>
      <c r="J618" s="3" t="s">
        <v>17609</v>
      </c>
    </row>
    <row r="619">
      <c r="A619" s="5" t="str">
        <f t="shared" si="3"/>
        <v>NAME_MOVE_ORIGINPULSE</v>
      </c>
      <c r="B619" s="3" t="s">
        <v>17610</v>
      </c>
      <c r="C619" s="3" t="s">
        <v>17611</v>
      </c>
      <c r="D619" s="3" t="s">
        <v>17612</v>
      </c>
      <c r="E619" s="3" t="s">
        <v>17613</v>
      </c>
      <c r="F619" s="3" t="s">
        <v>17614</v>
      </c>
      <c r="G619" s="3" t="s">
        <v>17615</v>
      </c>
      <c r="H619" s="3" t="s">
        <v>17616</v>
      </c>
      <c r="I619" s="5" t="str">
        <f>IFERROR(__xludf.DUMMYFUNCTION("GOOGLETRANSLATE(J619,""zh_HANS"",""zh_HANT"")"),"根源波動")</f>
        <v>根源波動</v>
      </c>
      <c r="J619" s="3" t="s">
        <v>17617</v>
      </c>
    </row>
    <row r="620">
      <c r="A620" s="5" t="str">
        <f t="shared" si="3"/>
        <v>NAME_MOVE_PRECIPICEBLADES</v>
      </c>
      <c r="B620" s="3" t="s">
        <v>17618</v>
      </c>
      <c r="C620" s="3" t="s">
        <v>17619</v>
      </c>
      <c r="D620" s="3" t="s">
        <v>17620</v>
      </c>
      <c r="E620" s="3" t="s">
        <v>17621</v>
      </c>
      <c r="F620" s="3" t="s">
        <v>17622</v>
      </c>
      <c r="G620" s="3" t="s">
        <v>17623</v>
      </c>
      <c r="H620" s="3" t="s">
        <v>17624</v>
      </c>
      <c r="I620" s="5" t="str">
        <f>IFERROR(__xludf.DUMMYFUNCTION("GOOGLETRANSLATE(J620,""zh_HANS"",""zh_HANT"")"),"斷崖之劍")</f>
        <v>斷崖之劍</v>
      </c>
      <c r="J620" s="3" t="s">
        <v>17625</v>
      </c>
    </row>
    <row r="621">
      <c r="A621" s="5" t="str">
        <f t="shared" si="3"/>
        <v>NAME_MOVE_DRAGONASCENT</v>
      </c>
      <c r="B621" s="3" t="s">
        <v>17626</v>
      </c>
      <c r="C621" s="3" t="s">
        <v>17627</v>
      </c>
      <c r="D621" s="3" t="s">
        <v>17628</v>
      </c>
      <c r="E621" s="3" t="s">
        <v>17629</v>
      </c>
      <c r="F621" s="3" t="s">
        <v>17630</v>
      </c>
      <c r="G621" s="3" t="s">
        <v>17631</v>
      </c>
      <c r="H621" s="3" t="s">
        <v>17632</v>
      </c>
      <c r="I621" s="5" t="str">
        <f>IFERROR(__xludf.DUMMYFUNCTION("GOOGLETRANSLATE(J621,""zh_HANS"",""zh_HANT"")"),"畫龍點睛")</f>
        <v>畫龍點睛</v>
      </c>
      <c r="J621" s="3" t="s">
        <v>17633</v>
      </c>
    </row>
    <row r="622">
      <c r="A622" s="5" t="str">
        <f t="shared" si="3"/>
        <v>NAME_MOVE_HYPERSPACEFURY</v>
      </c>
      <c r="B622" s="3" t="s">
        <v>17634</v>
      </c>
      <c r="C622" s="3" t="s">
        <v>17635</v>
      </c>
      <c r="D622" s="3" t="s">
        <v>17636</v>
      </c>
      <c r="E622" s="3" t="s">
        <v>17637</v>
      </c>
      <c r="F622" s="3" t="s">
        <v>17638</v>
      </c>
      <c r="G622" s="3" t="s">
        <v>17639</v>
      </c>
      <c r="H622" s="3" t="s">
        <v>17640</v>
      </c>
      <c r="I622" s="5" t="str">
        <f>IFERROR(__xludf.DUMMYFUNCTION("GOOGLETRANSLATE(J622,""zh_HANS"",""zh_HANT"")"),"異次元猛攻")</f>
        <v>異次元猛攻</v>
      </c>
      <c r="J622" s="3" t="s">
        <v>17641</v>
      </c>
    </row>
    <row r="623">
      <c r="A623" s="5" t="str">
        <f t="shared" si="3"/>
        <v>NAME_MOVE_BREAKNECKBLITZ</v>
      </c>
      <c r="B623" s="3" t="s">
        <v>17642</v>
      </c>
      <c r="C623" s="3" t="s">
        <v>17643</v>
      </c>
      <c r="D623" s="3" t="s">
        <v>17644</v>
      </c>
      <c r="E623" s="3" t="s">
        <v>17645</v>
      </c>
      <c r="F623" s="3" t="s">
        <v>17646</v>
      </c>
      <c r="G623" s="3" t="s">
        <v>17647</v>
      </c>
      <c r="H623" s="3" t="s">
        <v>17648</v>
      </c>
      <c r="I623" s="3" t="s">
        <v>17649</v>
      </c>
      <c r="J623" s="5" t="str">
        <f>IFERROR(__xludf.DUMMYFUNCTION("GOOGLETRANSLATE(I623,""zh_HANT"",""zh_HANS"")"),"究极无敌大冲撞")</f>
        <v>究极无敌大冲撞</v>
      </c>
    </row>
    <row r="624">
      <c r="A624" s="5" t="str">
        <f t="shared" si="3"/>
        <v>NAME_MOVE_ALLOUTPUMMELING</v>
      </c>
      <c r="B624" s="3" t="s">
        <v>17650</v>
      </c>
      <c r="C624" s="3" t="s">
        <v>17651</v>
      </c>
      <c r="D624" s="3" t="s">
        <v>17652</v>
      </c>
      <c r="E624" s="3" t="s">
        <v>17653</v>
      </c>
      <c r="F624" s="3" t="s">
        <v>17654</v>
      </c>
      <c r="G624" s="3" t="s">
        <v>17655</v>
      </c>
      <c r="H624" s="3" t="s">
        <v>17656</v>
      </c>
      <c r="I624" s="3" t="s">
        <v>17657</v>
      </c>
      <c r="J624" s="5" t="str">
        <f>IFERROR(__xludf.DUMMYFUNCTION("GOOGLETRANSLATE(I624,""zh_HANT"",""zh_HANS"")"),"全力无双激烈拳")</f>
        <v>全力无双激烈拳</v>
      </c>
    </row>
    <row r="625">
      <c r="A625" s="5" t="str">
        <f t="shared" si="3"/>
        <v>NAME_MOVE_SUPERSONICSKYSTRIKE</v>
      </c>
      <c r="B625" s="3" t="s">
        <v>17658</v>
      </c>
      <c r="C625" s="3" t="s">
        <v>17659</v>
      </c>
      <c r="D625" s="3" t="s">
        <v>17660</v>
      </c>
      <c r="E625" s="3" t="s">
        <v>17661</v>
      </c>
      <c r="F625" s="3" t="s">
        <v>17662</v>
      </c>
      <c r="G625" s="3" t="s">
        <v>17663</v>
      </c>
      <c r="H625" s="3" t="s">
        <v>17664</v>
      </c>
      <c r="I625" s="3" t="s">
        <v>17665</v>
      </c>
      <c r="J625" s="5" t="str">
        <f>IFERROR(__xludf.DUMMYFUNCTION("GOOGLETRANSLATE(I625,""zh_HANT"",""zh_HANS"")"),"极速俯冲轰烈撞")</f>
        <v>极速俯冲轰烈撞</v>
      </c>
    </row>
    <row r="626">
      <c r="A626" s="5" t="str">
        <f t="shared" si="3"/>
        <v>NAME_MOVE_ACIDDOWNPOUR</v>
      </c>
      <c r="B626" s="3" t="s">
        <v>17666</v>
      </c>
      <c r="C626" s="3" t="s">
        <v>17667</v>
      </c>
      <c r="D626" s="3" t="s">
        <v>17668</v>
      </c>
      <c r="E626" s="3" t="s">
        <v>17669</v>
      </c>
      <c r="F626" s="3" t="s">
        <v>17670</v>
      </c>
      <c r="G626" s="3" t="s">
        <v>17671</v>
      </c>
      <c r="H626" s="3" t="s">
        <v>17672</v>
      </c>
      <c r="I626" s="3" t="s">
        <v>17673</v>
      </c>
      <c r="J626" s="5" t="str">
        <f>IFERROR(__xludf.DUMMYFUNCTION("GOOGLETRANSLATE(I626,""zh_HANT"",""zh_HANS"")"),"强酸剧毒灭绝雨")</f>
        <v>强酸剧毒灭绝雨</v>
      </c>
    </row>
    <row r="627">
      <c r="A627" s="5" t="str">
        <f t="shared" si="3"/>
        <v>NAME_MOVE_TECTONICRAGE</v>
      </c>
      <c r="B627" s="3" t="s">
        <v>17674</v>
      </c>
      <c r="C627" s="3" t="s">
        <v>17675</v>
      </c>
      <c r="D627" s="3" t="s">
        <v>17676</v>
      </c>
      <c r="E627" s="3" t="s">
        <v>17677</v>
      </c>
      <c r="F627" s="3" t="s">
        <v>17678</v>
      </c>
      <c r="G627" s="3" t="s">
        <v>17679</v>
      </c>
      <c r="H627" s="3" t="s">
        <v>17680</v>
      </c>
      <c r="I627" s="3" t="s">
        <v>17681</v>
      </c>
      <c r="J627" s="5" t="str">
        <f>IFERROR(__xludf.DUMMYFUNCTION("GOOGLETRANSLATE(I627,""zh_HANT"",""zh_HANS"")"),"地隆啸天大终结")</f>
        <v>地隆啸天大终结</v>
      </c>
    </row>
    <row r="628">
      <c r="A628" s="5" t="str">
        <f t="shared" si="3"/>
        <v>NAME_MOVE_CONTINENTALCRUSH</v>
      </c>
      <c r="B628" s="3" t="s">
        <v>17682</v>
      </c>
      <c r="C628" s="3" t="s">
        <v>17683</v>
      </c>
      <c r="D628" s="3" t="s">
        <v>17684</v>
      </c>
      <c r="E628" s="3" t="s">
        <v>17685</v>
      </c>
      <c r="F628" s="3" t="s">
        <v>17686</v>
      </c>
      <c r="G628" s="3" t="s">
        <v>17687</v>
      </c>
      <c r="H628" s="3" t="s">
        <v>17688</v>
      </c>
      <c r="I628" s="3" t="s">
        <v>17689</v>
      </c>
      <c r="J628" s="5" t="str">
        <f>IFERROR(__xludf.DUMMYFUNCTION("GOOGLETRANSLATE(I628,""zh_HANT"",""zh_HANS"")"),"毁天灭地巨岩坠")</f>
        <v>毁天灭地巨岩坠</v>
      </c>
    </row>
    <row r="629">
      <c r="A629" s="5" t="str">
        <f t="shared" si="3"/>
        <v>NAME_MOVE_SAVAGESPINOUT</v>
      </c>
      <c r="B629" s="3" t="s">
        <v>17690</v>
      </c>
      <c r="C629" s="3" t="s">
        <v>17691</v>
      </c>
      <c r="D629" s="3" t="s">
        <v>17692</v>
      </c>
      <c r="E629" s="3" t="s">
        <v>17693</v>
      </c>
      <c r="F629" s="3" t="s">
        <v>17694</v>
      </c>
      <c r="G629" s="3" t="s">
        <v>17695</v>
      </c>
      <c r="H629" s="3" t="s">
        <v>17696</v>
      </c>
      <c r="I629" s="3" t="s">
        <v>17697</v>
      </c>
      <c r="J629" s="5" t="str">
        <f>IFERROR(__xludf.DUMMYFUNCTION("GOOGLETRANSLATE(I629,""zh_HANT"",""zh_HANS"")"),"绝对捕食回旋斩")</f>
        <v>绝对捕食回旋斩</v>
      </c>
    </row>
    <row r="630">
      <c r="A630" s="5" t="str">
        <f t="shared" si="3"/>
        <v>NAME_MOVE_NEVERENDINGNIGHTMARE</v>
      </c>
      <c r="B630" s="3" t="s">
        <v>17698</v>
      </c>
      <c r="C630" s="3" t="s">
        <v>17699</v>
      </c>
      <c r="D630" s="3" t="s">
        <v>17700</v>
      </c>
      <c r="E630" s="3" t="s">
        <v>17701</v>
      </c>
      <c r="F630" s="3" t="s">
        <v>17702</v>
      </c>
      <c r="G630" s="3" t="s">
        <v>17703</v>
      </c>
      <c r="H630" s="3" t="s">
        <v>17704</v>
      </c>
      <c r="I630" s="3" t="s">
        <v>17705</v>
      </c>
      <c r="J630" s="5" t="str">
        <f>IFERROR(__xludf.DUMMYFUNCTION("GOOGLETRANSLATE(I630,""zh_HANT"",""zh_HANS"")"),"无尽暗夜之诱惑")</f>
        <v>无尽暗夜之诱惑</v>
      </c>
    </row>
    <row r="631">
      <c r="A631" s="5" t="str">
        <f t="shared" si="3"/>
        <v>NAME_MOVE_CORKSCREWCRASH</v>
      </c>
      <c r="B631" s="3" t="s">
        <v>17706</v>
      </c>
      <c r="C631" s="3" t="s">
        <v>17707</v>
      </c>
      <c r="D631" s="3" t="s">
        <v>17708</v>
      </c>
      <c r="E631" s="3" t="s">
        <v>17709</v>
      </c>
      <c r="F631" s="3" t="s">
        <v>17710</v>
      </c>
      <c r="G631" s="3" t="s">
        <v>17711</v>
      </c>
      <c r="H631" s="3" t="s">
        <v>17712</v>
      </c>
      <c r="I631" s="3" t="s">
        <v>17713</v>
      </c>
      <c r="J631" s="5" t="str">
        <f>IFERROR(__xludf.DUMMYFUNCTION("GOOGLETRANSLATE(I631,""zh_HANT"",""zh_HANS"")"),"超绝螺旋连击")</f>
        <v>超绝螺旋连击</v>
      </c>
    </row>
    <row r="632">
      <c r="A632" s="5" t="str">
        <f t="shared" si="3"/>
        <v>NAME_MOVE_INFERNOOVERDRIVE</v>
      </c>
      <c r="B632" s="3" t="s">
        <v>17714</v>
      </c>
      <c r="C632" s="3" t="s">
        <v>17715</v>
      </c>
      <c r="D632" s="3" t="s">
        <v>17716</v>
      </c>
      <c r="E632" s="3" t="s">
        <v>17717</v>
      </c>
      <c r="F632" s="3" t="s">
        <v>17718</v>
      </c>
      <c r="G632" s="3" t="s">
        <v>17719</v>
      </c>
      <c r="H632" s="3" t="s">
        <v>17720</v>
      </c>
      <c r="I632" s="3" t="s">
        <v>17721</v>
      </c>
      <c r="J632" s="5" t="str">
        <f>IFERROR(__xludf.DUMMYFUNCTION("GOOGLETRANSLATE(I632,""zh_HANT"",""zh_HANS"")"),"超强极限爆焰弹")</f>
        <v>超强极限爆焰弹</v>
      </c>
    </row>
    <row r="633">
      <c r="A633" s="5" t="str">
        <f t="shared" si="3"/>
        <v>NAME_MOVE_HYDROVORTEX</v>
      </c>
      <c r="B633" s="3" t="s">
        <v>17722</v>
      </c>
      <c r="C633" s="3" t="s">
        <v>17723</v>
      </c>
      <c r="D633" s="3" t="s">
        <v>17724</v>
      </c>
      <c r="E633" s="3" t="s">
        <v>17725</v>
      </c>
      <c r="F633" s="3" t="s">
        <v>17726</v>
      </c>
      <c r="G633" s="3" t="s">
        <v>17727</v>
      </c>
      <c r="H633" s="3" t="s">
        <v>17728</v>
      </c>
      <c r="I633" s="3" t="s">
        <v>17729</v>
      </c>
      <c r="J633" s="5" t="str">
        <f>IFERROR(__xludf.DUMMYFUNCTION("GOOGLETRANSLATE(I633,""zh_HANT"",""zh_HANS"")"),"超级水流大漩涡")</f>
        <v>超级水流大漩涡</v>
      </c>
    </row>
    <row r="634">
      <c r="A634" s="5" t="str">
        <f t="shared" si="3"/>
        <v>NAME_MOVE_BLOOMDOOM</v>
      </c>
      <c r="B634" s="3" t="s">
        <v>17730</v>
      </c>
      <c r="C634" s="3" t="s">
        <v>17731</v>
      </c>
      <c r="D634" s="3" t="s">
        <v>17732</v>
      </c>
      <c r="E634" s="3" t="s">
        <v>17733</v>
      </c>
      <c r="F634" s="3" t="s">
        <v>17734</v>
      </c>
      <c r="G634" s="3" t="s">
        <v>17735</v>
      </c>
      <c r="H634" s="3" t="s">
        <v>17736</v>
      </c>
      <c r="I634" s="3" t="s">
        <v>17737</v>
      </c>
      <c r="J634" s="5" t="str">
        <f>IFERROR(__xludf.DUMMYFUNCTION("GOOGLETRANSLATE(I634,""zh_HANT"",""zh_HANS"")"),"绚烂缤纷花怒放")</f>
        <v>绚烂缤纷花怒放</v>
      </c>
    </row>
    <row r="635">
      <c r="A635" s="5" t="str">
        <f t="shared" si="3"/>
        <v>NAME_MOVE_GIGAVOLTHAVOC</v>
      </c>
      <c r="B635" s="3" t="s">
        <v>17738</v>
      </c>
      <c r="C635" s="3" t="s">
        <v>17739</v>
      </c>
      <c r="D635" s="3" t="s">
        <v>17740</v>
      </c>
      <c r="E635" s="3" t="s">
        <v>17741</v>
      </c>
      <c r="F635" s="3" t="s">
        <v>17742</v>
      </c>
      <c r="G635" s="3" t="s">
        <v>17743</v>
      </c>
      <c r="H635" s="3" t="s">
        <v>17744</v>
      </c>
      <c r="I635" s="3" t="s">
        <v>17745</v>
      </c>
      <c r="J635" s="5" t="str">
        <f>IFERROR(__xludf.DUMMYFUNCTION("GOOGLETRANSLATE(I635,""zh_HANT"",""zh_HANS"")"),"终极伏特狂雷闪")</f>
        <v>终极伏特狂雷闪</v>
      </c>
    </row>
    <row r="636">
      <c r="A636" s="5" t="str">
        <f t="shared" si="3"/>
        <v>NAME_MOVE_SHATTEREDPSYCHE</v>
      </c>
      <c r="B636" s="3" t="s">
        <v>17746</v>
      </c>
      <c r="C636" s="3" t="s">
        <v>17747</v>
      </c>
      <c r="D636" s="3" t="s">
        <v>17748</v>
      </c>
      <c r="E636" s="3" t="s">
        <v>17749</v>
      </c>
      <c r="F636" s="3" t="s">
        <v>17750</v>
      </c>
      <c r="G636" s="3" t="s">
        <v>17751</v>
      </c>
      <c r="H636" s="3" t="s">
        <v>17752</v>
      </c>
      <c r="I636" s="3" t="s">
        <v>17753</v>
      </c>
      <c r="J636" s="5" t="str">
        <f>IFERROR(__xludf.DUMMYFUNCTION("GOOGLETRANSLATE(I636,""zh_HANT"",""zh_HANS"")"),"至高精神破坏波")</f>
        <v>至高精神破坏波</v>
      </c>
    </row>
    <row r="637">
      <c r="A637" s="5" t="str">
        <f t="shared" si="3"/>
        <v>NAME_MOVE_SUBZEROSLAMMER</v>
      </c>
      <c r="B637" s="3" t="s">
        <v>17754</v>
      </c>
      <c r="C637" s="3" t="s">
        <v>17755</v>
      </c>
      <c r="D637" s="3" t="s">
        <v>17756</v>
      </c>
      <c r="E637" s="3" t="s">
        <v>17757</v>
      </c>
      <c r="F637" s="3" t="s">
        <v>17758</v>
      </c>
      <c r="G637" s="3" t="s">
        <v>17759</v>
      </c>
      <c r="H637" s="3" t="s">
        <v>17760</v>
      </c>
      <c r="I637" s="3" t="s">
        <v>17761</v>
      </c>
      <c r="J637" s="5" t="str">
        <f>IFERROR(__xludf.DUMMYFUNCTION("GOOGLETRANSLATE(I637,""zh_HANT"",""zh_HANS"")"),"激狂大地万里冰")</f>
        <v>激狂大地万里冰</v>
      </c>
    </row>
    <row r="638">
      <c r="A638" s="5" t="str">
        <f t="shared" si="3"/>
        <v>NAME_MOVE_DEVASTATINGDRAKE</v>
      </c>
      <c r="B638" s="3" t="s">
        <v>17762</v>
      </c>
      <c r="C638" s="3" t="s">
        <v>17763</v>
      </c>
      <c r="D638" s="3" t="s">
        <v>17764</v>
      </c>
      <c r="E638" s="3" t="s">
        <v>17765</v>
      </c>
      <c r="F638" s="3" t="s">
        <v>17766</v>
      </c>
      <c r="G638" s="3" t="s">
        <v>17767</v>
      </c>
      <c r="H638" s="3" t="s">
        <v>17768</v>
      </c>
      <c r="I638" s="3" t="s">
        <v>17769</v>
      </c>
      <c r="J638" s="5" t="str">
        <f>IFERROR(__xludf.DUMMYFUNCTION("GOOGLETRANSLATE(I638,""zh_HANT"",""zh_HANS"")"),"究极巨龙震天地")</f>
        <v>究极巨龙震天地</v>
      </c>
    </row>
    <row r="639">
      <c r="A639" s="5" t="str">
        <f t="shared" si="3"/>
        <v>NAME_MOVE_BLACKHOLEECLIPSE</v>
      </c>
      <c r="B639" s="3" t="s">
        <v>17770</v>
      </c>
      <c r="C639" s="3" t="s">
        <v>17771</v>
      </c>
      <c r="D639" s="3" t="s">
        <v>17772</v>
      </c>
      <c r="E639" s="3" t="s">
        <v>17772</v>
      </c>
      <c r="F639" s="3" t="s">
        <v>17773</v>
      </c>
      <c r="G639" s="3" t="s">
        <v>17774</v>
      </c>
      <c r="H639" s="3" t="s">
        <v>17775</v>
      </c>
      <c r="I639" s="3" t="s">
        <v>17776</v>
      </c>
      <c r="J639" s="5" t="str">
        <f>IFERROR(__xludf.DUMMYFUNCTION("GOOGLETRANSLATE(I639,""zh_HANT"",""zh_HANS"")"),"黑洞吞噬万物灭")</f>
        <v>黑洞吞噬万物灭</v>
      </c>
    </row>
    <row r="640">
      <c r="A640" s="5" t="str">
        <f t="shared" si="3"/>
        <v>NAME_MOVE_TWINKLETACKLE</v>
      </c>
      <c r="B640" s="3" t="s">
        <v>17777</v>
      </c>
      <c r="C640" s="3" t="s">
        <v>17778</v>
      </c>
      <c r="D640" s="3" t="s">
        <v>17779</v>
      </c>
      <c r="E640" s="3" t="s">
        <v>17780</v>
      </c>
      <c r="F640" s="3" t="s">
        <v>17781</v>
      </c>
      <c r="G640" s="3" t="s">
        <v>17782</v>
      </c>
      <c r="H640" s="3" t="s">
        <v>17783</v>
      </c>
      <c r="I640" s="3" t="s">
        <v>17784</v>
      </c>
      <c r="J640" s="5" t="str">
        <f>IFERROR(__xludf.DUMMYFUNCTION("GOOGLETRANSLATE(I640,""zh_HANT"",""zh_HANS"")"),"可爱星星飞天撞")</f>
        <v>可爱星星飞天撞</v>
      </c>
    </row>
    <row r="641">
      <c r="A641" s="5" t="str">
        <f t="shared" si="3"/>
        <v>NAME_MOVE_CATASTROPIKA</v>
      </c>
      <c r="B641" s="3" t="s">
        <v>17785</v>
      </c>
      <c r="C641" s="3" t="s">
        <v>17786</v>
      </c>
      <c r="D641" s="3" t="s">
        <v>17787</v>
      </c>
      <c r="E641" s="3" t="s">
        <v>17788</v>
      </c>
      <c r="F641" s="3" t="s">
        <v>17789</v>
      </c>
      <c r="G641" s="3" t="s">
        <v>17790</v>
      </c>
      <c r="H641" s="3" t="s">
        <v>17791</v>
      </c>
      <c r="I641" s="3" t="s">
        <v>17792</v>
      </c>
      <c r="J641" s="5" t="str">
        <f>IFERROR(__xludf.DUMMYFUNCTION("GOOGLETRANSLATE(I641,""zh_HANT"",""zh_HANS"")"),"皮卡皮卡必杀击")</f>
        <v>皮卡皮卡必杀击</v>
      </c>
    </row>
    <row r="642">
      <c r="A642" s="5" t="str">
        <f t="shared" si="3"/>
        <v>NAME_MOVE_SHOREUP</v>
      </c>
      <c r="B642" s="3" t="s">
        <v>17793</v>
      </c>
      <c r="C642" s="3" t="s">
        <v>17794</v>
      </c>
      <c r="D642" s="3" t="s">
        <v>17795</v>
      </c>
      <c r="E642" s="3" t="s">
        <v>17796</v>
      </c>
      <c r="F642" s="3" t="s">
        <v>17797</v>
      </c>
      <c r="G642" s="3" t="s">
        <v>17798</v>
      </c>
      <c r="H642" s="3" t="s">
        <v>17799</v>
      </c>
      <c r="I642" s="5" t="str">
        <f>IFERROR(__xludf.DUMMYFUNCTION("GOOGLETRANSLATE(J642,""zh_HANS"",""zh_HANT"")"),"集沙")</f>
        <v>集沙</v>
      </c>
      <c r="J642" s="3" t="s">
        <v>17800</v>
      </c>
    </row>
    <row r="643">
      <c r="A643" s="5" t="str">
        <f t="shared" si="3"/>
        <v>NAME_MOVE_FIRSTIMPRESSION</v>
      </c>
      <c r="B643" s="3" t="s">
        <v>17801</v>
      </c>
      <c r="C643" s="3" t="s">
        <v>17802</v>
      </c>
      <c r="D643" s="3" t="s">
        <v>17803</v>
      </c>
      <c r="E643" s="3" t="s">
        <v>17804</v>
      </c>
      <c r="F643" s="3" t="s">
        <v>17805</v>
      </c>
      <c r="G643" s="3" t="s">
        <v>17806</v>
      </c>
      <c r="H643" s="7" t="s">
        <v>17807</v>
      </c>
      <c r="I643" s="5" t="str">
        <f>IFERROR(__xludf.DUMMYFUNCTION("GOOGLETRANSLATE(J643,""zh_HANS"",""zh_HANT"")"),"迎頭一擊")</f>
        <v>迎頭一擊</v>
      </c>
      <c r="J643" s="3" t="s">
        <v>17808</v>
      </c>
    </row>
    <row r="644">
      <c r="A644" s="5" t="str">
        <f t="shared" si="3"/>
        <v>NAME_MOVE_BANEFULBUNKER</v>
      </c>
      <c r="B644" s="3" t="s">
        <v>17809</v>
      </c>
      <c r="C644" s="3" t="s">
        <v>17810</v>
      </c>
      <c r="D644" s="3" t="s">
        <v>17811</v>
      </c>
      <c r="E644" s="3" t="s">
        <v>17812</v>
      </c>
      <c r="F644" s="3" t="s">
        <v>17813</v>
      </c>
      <c r="G644" s="3" t="s">
        <v>17814</v>
      </c>
      <c r="H644" s="7" t="s">
        <v>17815</v>
      </c>
      <c r="I644" s="5" t="str">
        <f>IFERROR(__xludf.DUMMYFUNCTION("GOOGLETRANSLATE(J644,""zh_HANS"",""zh_HANT"")"),"碉堡")</f>
        <v>碉堡</v>
      </c>
      <c r="J644" s="3" t="s">
        <v>17816</v>
      </c>
    </row>
    <row r="645">
      <c r="A645" s="5" t="str">
        <f t="shared" si="3"/>
        <v>NAME_MOVE_SPIRITSHACKLE</v>
      </c>
      <c r="B645" s="3" t="s">
        <v>17817</v>
      </c>
      <c r="C645" s="3" t="s">
        <v>17818</v>
      </c>
      <c r="D645" s="3" t="s">
        <v>17819</v>
      </c>
      <c r="E645" s="3" t="s">
        <v>17820</v>
      </c>
      <c r="F645" s="3" t="s">
        <v>17821</v>
      </c>
      <c r="G645" s="3" t="s">
        <v>17822</v>
      </c>
      <c r="H645" s="7" t="s">
        <v>17823</v>
      </c>
      <c r="I645" s="5" t="str">
        <f>IFERROR(__xludf.DUMMYFUNCTION("GOOGLETRANSLATE(J645,""zh_HANS"",""zh_HANT"")"),"縫影")</f>
        <v>縫影</v>
      </c>
      <c r="J645" s="3" t="s">
        <v>17824</v>
      </c>
    </row>
    <row r="646">
      <c r="A646" s="5" t="str">
        <f t="shared" si="3"/>
        <v>NAME_MOVE_DARKESTLARIAT</v>
      </c>
      <c r="B646" s="3" t="s">
        <v>17825</v>
      </c>
      <c r="C646" s="3" t="s">
        <v>17826</v>
      </c>
      <c r="D646" s="3" t="s">
        <v>17827</v>
      </c>
      <c r="E646" s="5" t="str">
        <f>D646</f>
        <v>Dark Lariat</v>
      </c>
      <c r="F646" s="3" t="s">
        <v>17828</v>
      </c>
      <c r="G646" s="3" t="s">
        <v>17829</v>
      </c>
      <c r="H646" s="7" t="s">
        <v>17830</v>
      </c>
      <c r="I646" s="5" t="str">
        <f>IFERROR(__xludf.DUMMYFUNCTION("GOOGLETRANSLATE(J646,""zh_HANS"",""zh_HANT"")"),"ＤＤ金勾臂")</f>
        <v>ＤＤ金勾臂</v>
      </c>
      <c r="J646" s="3" t="s">
        <v>17831</v>
      </c>
    </row>
    <row r="647">
      <c r="A647" s="5" t="str">
        <f t="shared" si="3"/>
        <v>NAME_MOVE_SPARKLINGARIA</v>
      </c>
      <c r="B647" s="3" t="s">
        <v>17832</v>
      </c>
      <c r="C647" s="3" t="s">
        <v>17833</v>
      </c>
      <c r="D647" s="3" t="s">
        <v>17834</v>
      </c>
      <c r="E647" s="3" t="s">
        <v>17835</v>
      </c>
      <c r="F647" s="3" t="s">
        <v>17836</v>
      </c>
      <c r="G647" s="3" t="s">
        <v>17837</v>
      </c>
      <c r="H647" s="7" t="s">
        <v>17838</v>
      </c>
      <c r="I647" s="5" t="str">
        <f>IFERROR(__xludf.DUMMYFUNCTION("GOOGLETRANSLATE(J647,""zh_HANS"",""zh_HANT"")"),"泡影的詠嘆調")</f>
        <v>泡影的詠嘆調</v>
      </c>
      <c r="J647" s="3" t="s">
        <v>17839</v>
      </c>
    </row>
    <row r="648">
      <c r="A648" s="5" t="str">
        <f t="shared" si="3"/>
        <v>NAME_MOVE_ICEHAMMER</v>
      </c>
      <c r="B648" s="3" t="s">
        <v>17840</v>
      </c>
      <c r="C648" s="3" t="s">
        <v>17841</v>
      </c>
      <c r="D648" s="3" t="s">
        <v>17842</v>
      </c>
      <c r="E648" s="3" t="s">
        <v>17843</v>
      </c>
      <c r="F648" s="3" t="s">
        <v>17844</v>
      </c>
      <c r="G648" s="3" t="s">
        <v>17845</v>
      </c>
      <c r="H648" s="7" t="s">
        <v>17846</v>
      </c>
      <c r="I648" s="5" t="str">
        <f>IFERROR(__xludf.DUMMYFUNCTION("GOOGLETRANSLATE(J648,""zh_HANS"",""zh_HANT"")"),"冰錘")</f>
        <v>冰錘</v>
      </c>
      <c r="J648" s="3" t="s">
        <v>17847</v>
      </c>
    </row>
    <row r="649">
      <c r="A649" s="5" t="str">
        <f t="shared" si="3"/>
        <v>NAME_MOVE_FLORALHEALING</v>
      </c>
      <c r="B649" s="3" t="s">
        <v>17848</v>
      </c>
      <c r="C649" s="3" t="s">
        <v>17849</v>
      </c>
      <c r="D649" s="3" t="s">
        <v>17850</v>
      </c>
      <c r="E649" s="3" t="s">
        <v>17851</v>
      </c>
      <c r="F649" s="3" t="s">
        <v>17852</v>
      </c>
      <c r="G649" s="3" t="s">
        <v>17853</v>
      </c>
      <c r="H649" s="7" t="s">
        <v>17854</v>
      </c>
      <c r="I649" s="5" t="str">
        <f>IFERROR(__xludf.DUMMYFUNCTION("GOOGLETRANSLATE(J649,""zh_HANS"",""zh_HANT"")"),"花療")</f>
        <v>花療</v>
      </c>
      <c r="J649" s="3" t="s">
        <v>17855</v>
      </c>
    </row>
    <row r="650">
      <c r="A650" s="5" t="str">
        <f t="shared" si="3"/>
        <v>NAME_MOVE_HIGHHORSEPOWER</v>
      </c>
      <c r="B650" s="3" t="s">
        <v>17856</v>
      </c>
      <c r="C650" s="3" t="s">
        <v>17857</v>
      </c>
      <c r="D650" s="3" t="s">
        <v>17858</v>
      </c>
      <c r="E650" s="3" t="s">
        <v>17859</v>
      </c>
      <c r="F650" s="3" t="s">
        <v>17860</v>
      </c>
      <c r="G650" s="3" t="s">
        <v>17861</v>
      </c>
      <c r="H650" s="7" t="s">
        <v>17862</v>
      </c>
      <c r="I650" s="6" t="s">
        <v>17863</v>
      </c>
      <c r="J650" s="5" t="str">
        <f>IFERROR(__xludf.DUMMYFUNCTION("GOOGLETRANSLATE(I650,""zh_HANT"",""zh_HANS"")"),"十万马力")</f>
        <v>十万马力</v>
      </c>
    </row>
    <row r="651">
      <c r="A651" s="5" t="str">
        <f t="shared" si="3"/>
        <v>NAME_MOVE_STRENGTHSAP</v>
      </c>
      <c r="B651" s="3" t="s">
        <v>17864</v>
      </c>
      <c r="C651" s="3" t="s">
        <v>17865</v>
      </c>
      <c r="D651" s="3" t="s">
        <v>17866</v>
      </c>
      <c r="E651" s="3" t="s">
        <v>17867</v>
      </c>
      <c r="F651" s="3" t="s">
        <v>17868</v>
      </c>
      <c r="G651" s="3" t="s">
        <v>17869</v>
      </c>
      <c r="H651" s="3" t="s">
        <v>17870</v>
      </c>
      <c r="I651" s="5" t="str">
        <f>IFERROR(__xludf.DUMMYFUNCTION("GOOGLETRANSLATE(J651,""zh_HANS"",""zh_HANT"")"),"吸收力量")</f>
        <v>吸收力量</v>
      </c>
      <c r="J651" s="3" t="s">
        <v>17871</v>
      </c>
    </row>
    <row r="652">
      <c r="A652" s="5" t="str">
        <f t="shared" si="3"/>
        <v>NAME_MOVE_SOLARBLADE</v>
      </c>
      <c r="B652" s="3" t="s">
        <v>17872</v>
      </c>
      <c r="C652" s="3" t="s">
        <v>17873</v>
      </c>
      <c r="D652" s="3" t="s">
        <v>17874</v>
      </c>
      <c r="E652" s="3" t="s">
        <v>17875</v>
      </c>
      <c r="F652" s="3" t="s">
        <v>17876</v>
      </c>
      <c r="G652" s="3" t="s">
        <v>17877</v>
      </c>
      <c r="H652" s="3" t="s">
        <v>17878</v>
      </c>
      <c r="I652" s="5" t="str">
        <f>IFERROR(__xludf.DUMMYFUNCTION("GOOGLETRANSLATE(J652,""zh_HANS"",""zh_HANT"")"),"日光刃")</f>
        <v>日光刃</v>
      </c>
      <c r="J652" s="3" t="s">
        <v>17879</v>
      </c>
    </row>
    <row r="653">
      <c r="A653" s="5" t="str">
        <f t="shared" si="3"/>
        <v>NAME_MOVE_LEAFAGE</v>
      </c>
      <c r="B653" s="3" t="s">
        <v>17880</v>
      </c>
      <c r="C653" s="3" t="s">
        <v>17881</v>
      </c>
      <c r="D653" s="3" t="s">
        <v>17882</v>
      </c>
      <c r="E653" s="3" t="s">
        <v>17883</v>
      </c>
      <c r="F653" s="3" t="s">
        <v>17884</v>
      </c>
      <c r="G653" s="3" t="s">
        <v>17885</v>
      </c>
      <c r="H653" s="3" t="s">
        <v>17886</v>
      </c>
      <c r="I653" s="5" t="str">
        <f>IFERROR(__xludf.DUMMYFUNCTION("GOOGLETRANSLATE(J653,""zh_HANS"",""zh_HANT"")"),"樹葉")</f>
        <v>樹葉</v>
      </c>
      <c r="J653" s="3" t="s">
        <v>17887</v>
      </c>
    </row>
    <row r="654">
      <c r="A654" s="5" t="str">
        <f t="shared" si="3"/>
        <v>NAME_MOVE_SPOTLIGHT</v>
      </c>
      <c r="B654" s="3" t="s">
        <v>17888</v>
      </c>
      <c r="C654" s="3" t="s">
        <v>17889</v>
      </c>
      <c r="D654" s="3" t="s">
        <v>17890</v>
      </c>
      <c r="E654" s="3" t="s">
        <v>17891</v>
      </c>
      <c r="F654" s="3" t="s">
        <v>17892</v>
      </c>
      <c r="G654" s="3" t="s">
        <v>17893</v>
      </c>
      <c r="H654" s="3" t="s">
        <v>17894</v>
      </c>
      <c r="I654" s="5" t="str">
        <f>IFERROR(__xludf.DUMMYFUNCTION("GOOGLETRANSLATE(J654,""zh_HANS"",""zh_HANT"")"),"聚光燈")</f>
        <v>聚光燈</v>
      </c>
      <c r="J654" s="3" t="s">
        <v>17895</v>
      </c>
    </row>
    <row r="655">
      <c r="A655" s="5" t="str">
        <f t="shared" si="3"/>
        <v>NAME_MOVE_TOXICTHREAD</v>
      </c>
      <c r="B655" s="3" t="s">
        <v>17896</v>
      </c>
      <c r="C655" s="3" t="s">
        <v>17897</v>
      </c>
      <c r="D655" s="3" t="s">
        <v>17898</v>
      </c>
      <c r="E655" s="3" t="s">
        <v>17899</v>
      </c>
      <c r="F655" s="3" t="s">
        <v>17900</v>
      </c>
      <c r="G655" s="3" t="s">
        <v>17901</v>
      </c>
      <c r="H655" s="3" t="s">
        <v>17902</v>
      </c>
      <c r="I655" s="5" t="str">
        <f>IFERROR(__xludf.DUMMYFUNCTION("GOOGLETRANSLATE(J655,""zh_HANS"",""zh_HANT"")"),"毒絲")</f>
        <v>毒絲</v>
      </c>
      <c r="J655" s="3" t="s">
        <v>17903</v>
      </c>
    </row>
    <row r="656">
      <c r="A656" s="5" t="str">
        <f t="shared" si="3"/>
        <v>NAME_MOVE_LASERFOCUS</v>
      </c>
      <c r="B656" s="3" t="s">
        <v>17904</v>
      </c>
      <c r="C656" s="3" t="s">
        <v>17905</v>
      </c>
      <c r="D656" s="3" t="s">
        <v>17906</v>
      </c>
      <c r="E656" s="3" t="s">
        <v>17907</v>
      </c>
      <c r="F656" s="3" t="s">
        <v>17908</v>
      </c>
      <c r="G656" s="3" t="s">
        <v>17909</v>
      </c>
      <c r="H656" s="3" t="s">
        <v>17910</v>
      </c>
      <c r="I656" s="5" t="str">
        <f>IFERROR(__xludf.DUMMYFUNCTION("GOOGLETRANSLATE(J656,""zh_HANS"",""zh_HANT"")"),"磨礪")</f>
        <v>磨礪</v>
      </c>
      <c r="J656" s="3" t="s">
        <v>17911</v>
      </c>
    </row>
    <row r="657">
      <c r="A657" s="5" t="str">
        <f t="shared" si="3"/>
        <v>NAME_MOVE_GEARUP</v>
      </c>
      <c r="B657" s="3" t="s">
        <v>17912</v>
      </c>
      <c r="C657" s="3" t="s">
        <v>17913</v>
      </c>
      <c r="D657" s="3" t="s">
        <v>10635</v>
      </c>
      <c r="E657" s="3" t="s">
        <v>17914</v>
      </c>
      <c r="F657" s="3" t="s">
        <v>17915</v>
      </c>
      <c r="G657" s="3" t="s">
        <v>17916</v>
      </c>
      <c r="H657" s="3" t="s">
        <v>17917</v>
      </c>
      <c r="I657" s="5" t="str">
        <f>IFERROR(__xludf.DUMMYFUNCTION("GOOGLETRANSLATE(J657,""zh_HANS"",""zh_HANT"")"),"輔助齒輪")</f>
        <v>輔助齒輪</v>
      </c>
      <c r="J657" s="3" t="s">
        <v>17918</v>
      </c>
    </row>
    <row r="658">
      <c r="A658" s="5" t="str">
        <f t="shared" si="3"/>
        <v>NAME_MOVE_THROATCHOP</v>
      </c>
      <c r="B658" s="3" t="s">
        <v>17919</v>
      </c>
      <c r="C658" s="3" t="s">
        <v>17920</v>
      </c>
      <c r="D658" s="3" t="s">
        <v>17921</v>
      </c>
      <c r="E658" s="3" t="s">
        <v>17922</v>
      </c>
      <c r="F658" s="3" t="s">
        <v>17923</v>
      </c>
      <c r="G658" s="3" t="s">
        <v>17924</v>
      </c>
      <c r="H658" s="3" t="s">
        <v>17925</v>
      </c>
      <c r="I658" s="10" t="s">
        <v>17926</v>
      </c>
      <c r="J658" s="3" t="s">
        <v>17927</v>
      </c>
    </row>
    <row r="659">
      <c r="A659" s="5" t="str">
        <f t="shared" si="3"/>
        <v>NAME_MOVE_POLLENPUFF</v>
      </c>
      <c r="B659" s="3" t="s">
        <v>17928</v>
      </c>
      <c r="C659" s="3" t="s">
        <v>17929</v>
      </c>
      <c r="D659" s="3" t="s">
        <v>17930</v>
      </c>
      <c r="E659" s="3" t="s">
        <v>17931</v>
      </c>
      <c r="F659" s="3" t="s">
        <v>17932</v>
      </c>
      <c r="G659" s="3" t="s">
        <v>17933</v>
      </c>
      <c r="H659" s="3" t="s">
        <v>17934</v>
      </c>
      <c r="I659" s="5" t="str">
        <f>IFERROR(__xludf.DUMMYFUNCTION("GOOGLETRANSLATE(J659,""zh_HANS"",""zh_HANT"")"),"花粉團")</f>
        <v>花粉團</v>
      </c>
      <c r="J659" s="3" t="s">
        <v>17935</v>
      </c>
    </row>
    <row r="660">
      <c r="A660" s="5" t="str">
        <f t="shared" si="3"/>
        <v>NAME_MOVE_ANCHORSHOT</v>
      </c>
      <c r="B660" s="3" t="s">
        <v>17936</v>
      </c>
      <c r="C660" s="3" t="s">
        <v>17937</v>
      </c>
      <c r="D660" s="3" t="s">
        <v>17938</v>
      </c>
      <c r="E660" s="3" t="s">
        <v>17939</v>
      </c>
      <c r="F660" s="3" t="s">
        <v>17940</v>
      </c>
      <c r="G660" s="3" t="s">
        <v>17941</v>
      </c>
      <c r="H660" s="3" t="s">
        <v>17942</v>
      </c>
      <c r="I660" s="5" t="str">
        <f>IFERROR(__xludf.DUMMYFUNCTION("GOOGLETRANSLATE(J660,""zh_HANS"",""zh_HANT"")"),"擲錨")</f>
        <v>擲錨</v>
      </c>
      <c r="J660" s="3" t="s">
        <v>17943</v>
      </c>
    </row>
    <row r="661">
      <c r="A661" s="5" t="str">
        <f t="shared" si="3"/>
        <v>NAME_MOVE_PSYCHICTERRAIN</v>
      </c>
      <c r="B661" s="3" t="s">
        <v>17944</v>
      </c>
      <c r="C661" s="3" t="s">
        <v>17945</v>
      </c>
      <c r="D661" s="3" t="s">
        <v>17946</v>
      </c>
      <c r="E661" s="3" t="s">
        <v>17947</v>
      </c>
      <c r="F661" s="3" t="s">
        <v>17948</v>
      </c>
      <c r="G661" s="3" t="s">
        <v>17949</v>
      </c>
      <c r="H661" s="3" t="s">
        <v>17950</v>
      </c>
      <c r="I661" s="3" t="s">
        <v>17951</v>
      </c>
      <c r="J661" s="5" t="str">
        <f>IFERROR(__xludf.DUMMYFUNCTION("GOOGLETRANSLATE(I661,""zh_HANT"",""zh_HANS"")"),"精神场地")</f>
        <v>精神场地</v>
      </c>
    </row>
    <row r="662">
      <c r="A662" s="5" t="str">
        <f t="shared" si="3"/>
        <v>NAME_MOVE_LUNGE</v>
      </c>
      <c r="B662" s="3" t="s">
        <v>17952</v>
      </c>
      <c r="C662" s="3" t="s">
        <v>17953</v>
      </c>
      <c r="D662" s="3" t="s">
        <v>17954</v>
      </c>
      <c r="E662" s="3" t="s">
        <v>17955</v>
      </c>
      <c r="F662" s="3" t="s">
        <v>17956</v>
      </c>
      <c r="G662" s="3" t="s">
        <v>17957</v>
      </c>
      <c r="H662" s="3" t="s">
        <v>17958</v>
      </c>
      <c r="I662" s="5" t="str">
        <f>IFERROR(__xludf.DUMMYFUNCTION("GOOGLETRANSLATE(J662,""zh_HANS"",""zh_HANT"")"),"猛撲")</f>
        <v>猛撲</v>
      </c>
      <c r="J662" s="3" t="s">
        <v>17959</v>
      </c>
    </row>
    <row r="663">
      <c r="A663" s="5" t="str">
        <f t="shared" si="3"/>
        <v>NAME_MOVE_FIRELASH</v>
      </c>
      <c r="B663" s="3" t="s">
        <v>17960</v>
      </c>
      <c r="C663" s="3" t="s">
        <v>17961</v>
      </c>
      <c r="D663" s="3" t="s">
        <v>17962</v>
      </c>
      <c r="E663" s="3" t="s">
        <v>17963</v>
      </c>
      <c r="F663" s="3" t="s">
        <v>17964</v>
      </c>
      <c r="G663" s="3" t="s">
        <v>17965</v>
      </c>
      <c r="H663" s="3" t="s">
        <v>17966</v>
      </c>
      <c r="I663" s="5" t="str">
        <f>IFERROR(__xludf.DUMMYFUNCTION("GOOGLETRANSLATE(J663,""zh_HANS"",""zh_HANT"")"),"火焰鞭")</f>
        <v>火焰鞭</v>
      </c>
      <c r="J663" s="3" t="s">
        <v>17967</v>
      </c>
    </row>
    <row r="664">
      <c r="A664" s="5" t="str">
        <f t="shared" si="3"/>
        <v>NAME_MOVE_POWERTRIP</v>
      </c>
      <c r="B664" s="3" t="s">
        <v>17968</v>
      </c>
      <c r="C664" s="3" t="s">
        <v>17969</v>
      </c>
      <c r="D664" s="3" t="s">
        <v>17970</v>
      </c>
      <c r="E664" s="3" t="s">
        <v>17971</v>
      </c>
      <c r="F664" s="3" t="s">
        <v>17972</v>
      </c>
      <c r="G664" s="3" t="s">
        <v>17973</v>
      </c>
      <c r="H664" s="3" t="s">
        <v>17974</v>
      </c>
      <c r="I664" s="5" t="str">
        <f>IFERROR(__xludf.DUMMYFUNCTION("GOOGLETRANSLATE(J664,""zh_HANS"",""zh_HANT"")"),"囂張")</f>
        <v>囂張</v>
      </c>
      <c r="J664" s="3" t="s">
        <v>17975</v>
      </c>
    </row>
    <row r="665">
      <c r="A665" s="5" t="str">
        <f t="shared" si="3"/>
        <v>NAME_MOVE_BURNUP</v>
      </c>
      <c r="B665" s="3" t="s">
        <v>17976</v>
      </c>
      <c r="C665" s="3" t="s">
        <v>17977</v>
      </c>
      <c r="D665" s="3" t="s">
        <v>17978</v>
      </c>
      <c r="E665" s="3" t="s">
        <v>17979</v>
      </c>
      <c r="F665" s="3" t="s">
        <v>17980</v>
      </c>
      <c r="G665" s="3" t="s">
        <v>17981</v>
      </c>
      <c r="H665" s="3" t="s">
        <v>17982</v>
      </c>
      <c r="I665" s="5" t="str">
        <f>IFERROR(__xludf.DUMMYFUNCTION("GOOGLETRANSLATE(J665,""zh_HANS"",""zh_HANT"")"),"燃盡")</f>
        <v>燃盡</v>
      </c>
      <c r="J665" s="3" t="s">
        <v>17983</v>
      </c>
    </row>
    <row r="666">
      <c r="A666" s="5" t="str">
        <f t="shared" si="3"/>
        <v>NAME_MOVE_SPEEDSWAP</v>
      </c>
      <c r="B666" s="3" t="s">
        <v>17984</v>
      </c>
      <c r="C666" s="3" t="s">
        <v>17985</v>
      </c>
      <c r="D666" s="3" t="s">
        <v>17986</v>
      </c>
      <c r="E666" s="3" t="s">
        <v>17987</v>
      </c>
      <c r="F666" s="3" t="s">
        <v>17988</v>
      </c>
      <c r="G666" s="3" t="s">
        <v>17989</v>
      </c>
      <c r="H666" s="3" t="s">
        <v>17990</v>
      </c>
      <c r="I666" s="5" t="str">
        <f>IFERROR(__xludf.DUMMYFUNCTION("GOOGLETRANSLATE(J666,""zh_HANS"",""zh_HANT"")"),"速度互換")</f>
        <v>速度互換</v>
      </c>
      <c r="J666" s="3" t="s">
        <v>17991</v>
      </c>
    </row>
    <row r="667">
      <c r="A667" s="5" t="str">
        <f t="shared" si="3"/>
        <v>NAME_MOVE_SMARTSTRIKE</v>
      </c>
      <c r="B667" s="3" t="s">
        <v>17992</v>
      </c>
      <c r="C667" s="3" t="s">
        <v>17993</v>
      </c>
      <c r="D667" s="3" t="s">
        <v>17994</v>
      </c>
      <c r="E667" s="3" t="s">
        <v>17995</v>
      </c>
      <c r="F667" s="3" t="s">
        <v>17996</v>
      </c>
      <c r="G667" s="3" t="s">
        <v>17997</v>
      </c>
      <c r="H667" s="3" t="s">
        <v>17998</v>
      </c>
      <c r="I667" s="5" t="str">
        <f>IFERROR(__xludf.DUMMYFUNCTION("GOOGLETRANSLATE(J667,""zh_HANS"",""zh_HANT"")"),"修長之角")</f>
        <v>修長之角</v>
      </c>
      <c r="J667" s="3" t="s">
        <v>17999</v>
      </c>
    </row>
    <row r="668">
      <c r="A668" s="5" t="str">
        <f t="shared" si="3"/>
        <v>NAME_MOVE_PURIFY</v>
      </c>
      <c r="B668" s="3" t="s">
        <v>18000</v>
      </c>
      <c r="C668" s="3" t="s">
        <v>18001</v>
      </c>
      <c r="D668" s="3" t="s">
        <v>18002</v>
      </c>
      <c r="E668" s="3" t="s">
        <v>18003</v>
      </c>
      <c r="F668" s="3" t="s">
        <v>18004</v>
      </c>
      <c r="G668" s="3" t="s">
        <v>18005</v>
      </c>
      <c r="H668" s="3" t="s">
        <v>18006</v>
      </c>
      <c r="I668" s="5" t="str">
        <f>IFERROR(__xludf.DUMMYFUNCTION("GOOGLETRANSLATE(J668,""zh_HANS"",""zh_HANT"")"),"淨化")</f>
        <v>淨化</v>
      </c>
      <c r="J668" s="3" t="s">
        <v>18007</v>
      </c>
    </row>
    <row r="669">
      <c r="A669" s="5" t="str">
        <f t="shared" si="3"/>
        <v>NAME_MOVE_REVELATIONDANCE</v>
      </c>
      <c r="B669" s="3" t="s">
        <v>18008</v>
      </c>
      <c r="C669" s="3" t="s">
        <v>18009</v>
      </c>
      <c r="D669" s="3" t="s">
        <v>18010</v>
      </c>
      <c r="E669" s="3" t="s">
        <v>18011</v>
      </c>
      <c r="F669" s="3" t="s">
        <v>18012</v>
      </c>
      <c r="G669" s="3" t="s">
        <v>18013</v>
      </c>
      <c r="H669" s="3" t="s">
        <v>18014</v>
      </c>
      <c r="I669" s="5" t="str">
        <f>IFERROR(__xludf.DUMMYFUNCTION("GOOGLETRANSLATE(J669,""zh_HANS"",""zh_HANT"")"),"覺醒之舞")</f>
        <v>覺醒之舞</v>
      </c>
      <c r="J669" s="3" t="s">
        <v>18015</v>
      </c>
    </row>
    <row r="670">
      <c r="A670" s="5" t="str">
        <f t="shared" si="3"/>
        <v>NAME_MOVE_COREENFORCER</v>
      </c>
      <c r="B670" s="3" t="s">
        <v>18016</v>
      </c>
      <c r="C670" s="3" t="s">
        <v>18017</v>
      </c>
      <c r="D670" s="3" t="s">
        <v>18018</v>
      </c>
      <c r="E670" s="3" t="s">
        <v>18019</v>
      </c>
      <c r="F670" s="3" t="s">
        <v>18020</v>
      </c>
      <c r="G670" s="3" t="s">
        <v>18021</v>
      </c>
      <c r="H670" s="3" t="s">
        <v>18022</v>
      </c>
      <c r="I670" s="5" t="str">
        <f>IFERROR(__xludf.DUMMYFUNCTION("GOOGLETRANSLATE(J670,""zh_HANS"",""zh_HANT"")"),"核心懲罰者")</f>
        <v>核心懲罰者</v>
      </c>
      <c r="J670" s="3" t="s">
        <v>18023</v>
      </c>
    </row>
    <row r="671">
      <c r="A671" s="5" t="str">
        <f t="shared" si="3"/>
        <v>NAME_MOVE_TROPKICK</v>
      </c>
      <c r="B671" s="3" t="s">
        <v>18024</v>
      </c>
      <c r="C671" s="3" t="s">
        <v>18025</v>
      </c>
      <c r="D671" s="3" t="s">
        <v>18026</v>
      </c>
      <c r="E671" s="3" t="s">
        <v>18027</v>
      </c>
      <c r="F671" s="3" t="s">
        <v>18028</v>
      </c>
      <c r="G671" s="3" t="s">
        <v>18029</v>
      </c>
      <c r="H671" s="3" t="s">
        <v>18030</v>
      </c>
      <c r="I671" s="5" t="str">
        <f>IFERROR(__xludf.DUMMYFUNCTION("GOOGLETRANSLATE(J671,""zh_HANS"",""zh_HANT"")"),"熱帶踢")</f>
        <v>熱帶踢</v>
      </c>
      <c r="J671" s="3" t="s">
        <v>18031</v>
      </c>
    </row>
    <row r="672">
      <c r="A672" s="5" t="str">
        <f t="shared" si="3"/>
        <v>NAME_MOVE_INSTRUCT</v>
      </c>
      <c r="B672" s="3" t="s">
        <v>18032</v>
      </c>
      <c r="C672" s="3" t="s">
        <v>18033</v>
      </c>
      <c r="D672" s="3" t="s">
        <v>18034</v>
      </c>
      <c r="E672" s="3" t="s">
        <v>18035</v>
      </c>
      <c r="F672" s="3" t="s">
        <v>18036</v>
      </c>
      <c r="G672" s="3" t="s">
        <v>18037</v>
      </c>
      <c r="H672" s="3" t="s">
        <v>18038</v>
      </c>
      <c r="I672" s="5" t="str">
        <f>IFERROR(__xludf.DUMMYFUNCTION("GOOGLETRANSLATE(J672,""zh_HANS"",""zh_HANT"")"),"號令")</f>
        <v>號令</v>
      </c>
      <c r="J672" s="3" t="s">
        <v>18039</v>
      </c>
    </row>
    <row r="673">
      <c r="A673" s="5" t="str">
        <f t="shared" si="3"/>
        <v>NAME_MOVE_BEAKBLAST</v>
      </c>
      <c r="B673" s="3" t="s">
        <v>18040</v>
      </c>
      <c r="C673" s="3" t="s">
        <v>18041</v>
      </c>
      <c r="D673" s="3" t="s">
        <v>18042</v>
      </c>
      <c r="E673" s="3" t="s">
        <v>18043</v>
      </c>
      <c r="F673" s="3" t="s">
        <v>18044</v>
      </c>
      <c r="G673" s="3" t="s">
        <v>18045</v>
      </c>
      <c r="H673" s="3" t="s">
        <v>18046</v>
      </c>
      <c r="I673" s="5" t="str">
        <f>IFERROR(__xludf.DUMMYFUNCTION("GOOGLETRANSLATE(J673,""zh_HANS"",""zh_HANT"")"),"鳥嘴加農炮")</f>
        <v>鳥嘴加農炮</v>
      </c>
      <c r="J673" s="3" t="s">
        <v>18047</v>
      </c>
    </row>
    <row r="674">
      <c r="A674" s="5" t="str">
        <f t="shared" si="3"/>
        <v>NAME_MOVE_CLANGINGSCALES</v>
      </c>
      <c r="B674" s="3" t="s">
        <v>18048</v>
      </c>
      <c r="C674" s="3" t="s">
        <v>18049</v>
      </c>
      <c r="D674" s="3" t="s">
        <v>18050</v>
      </c>
      <c r="E674" s="3" t="s">
        <v>18051</v>
      </c>
      <c r="F674" s="3" t="s">
        <v>18052</v>
      </c>
      <c r="G674" s="3" t="s">
        <v>18053</v>
      </c>
      <c r="H674" s="3" t="s">
        <v>18054</v>
      </c>
      <c r="I674" s="5" t="str">
        <f>IFERROR(__xludf.DUMMYFUNCTION("GOOGLETRANSLATE(J674,""zh_HANS"",""zh_HANT"")"),"鱗片噪音")</f>
        <v>鱗片噪音</v>
      </c>
      <c r="J674" s="3" t="s">
        <v>18055</v>
      </c>
    </row>
    <row r="675">
      <c r="A675" s="5" t="str">
        <f t="shared" si="3"/>
        <v>NAME_MOVE_DRAGONHAMMER</v>
      </c>
      <c r="B675" s="3" t="s">
        <v>18056</v>
      </c>
      <c r="C675" s="3" t="s">
        <v>18057</v>
      </c>
      <c r="D675" s="3" t="s">
        <v>18058</v>
      </c>
      <c r="E675" s="3" t="s">
        <v>18059</v>
      </c>
      <c r="F675" s="3" t="s">
        <v>18060</v>
      </c>
      <c r="G675" s="3" t="s">
        <v>18061</v>
      </c>
      <c r="H675" s="3" t="s">
        <v>18062</v>
      </c>
      <c r="I675" s="3" t="s">
        <v>18063</v>
      </c>
      <c r="J675" s="5" t="str">
        <f>IFERROR(__xludf.DUMMYFUNCTION("GOOGLETRANSLATE(I675,""zh_HANT"",""zh_HANS"")"),"龙锤")</f>
        <v>龙锤</v>
      </c>
    </row>
    <row r="676">
      <c r="A676" s="5" t="str">
        <f t="shared" si="3"/>
        <v>NAME_MOVE_BRUTALSWING</v>
      </c>
      <c r="B676" s="3" t="s">
        <v>18064</v>
      </c>
      <c r="C676" s="3" t="s">
        <v>18065</v>
      </c>
      <c r="D676" s="3" t="s">
        <v>18066</v>
      </c>
      <c r="E676" s="3" t="s">
        <v>18067</v>
      </c>
      <c r="F676" s="3" t="s">
        <v>18068</v>
      </c>
      <c r="G676" s="3" t="s">
        <v>18069</v>
      </c>
      <c r="H676" s="3" t="s">
        <v>18070</v>
      </c>
      <c r="I676" s="3" t="s">
        <v>18071</v>
      </c>
      <c r="J676" s="5" t="str">
        <f>IFERROR(__xludf.DUMMYFUNCTION("GOOGLETRANSLATE(I676,""zh_HANT"",""zh_HANS"")"),"狂舞挥打")</f>
        <v>狂舞挥打</v>
      </c>
    </row>
    <row r="677">
      <c r="A677" s="5" t="str">
        <f t="shared" si="3"/>
        <v>NAME_MOVE_AURORAVEIL</v>
      </c>
      <c r="B677" s="3" t="s">
        <v>18072</v>
      </c>
      <c r="C677" s="3" t="s">
        <v>18073</v>
      </c>
      <c r="D677" s="3" t="s">
        <v>18074</v>
      </c>
      <c r="E677" s="3" t="s">
        <v>18075</v>
      </c>
      <c r="F677" s="3" t="s">
        <v>18076</v>
      </c>
      <c r="G677" s="3" t="s">
        <v>18077</v>
      </c>
      <c r="H677" s="3" t="s">
        <v>18078</v>
      </c>
      <c r="I677" s="3" t="s">
        <v>18079</v>
      </c>
      <c r="J677" s="5" t="str">
        <f>IFERROR(__xludf.DUMMYFUNCTION("GOOGLETRANSLATE(I677,""zh_HANT"",""zh_HANS"")"),"极光幕")</f>
        <v>极光幕</v>
      </c>
    </row>
    <row r="678">
      <c r="A678" s="5" t="str">
        <f t="shared" si="3"/>
        <v>NAME_MOVE_SINISTERARROWRAID</v>
      </c>
      <c r="B678" s="3" t="s">
        <v>18080</v>
      </c>
      <c r="C678" s="3" t="s">
        <v>18081</v>
      </c>
      <c r="D678" s="3" t="s">
        <v>18082</v>
      </c>
      <c r="E678" s="3" t="s">
        <v>18083</v>
      </c>
      <c r="F678" s="3" t="s">
        <v>18084</v>
      </c>
      <c r="G678" s="3" t="s">
        <v>18085</v>
      </c>
      <c r="H678" s="3" t="s">
        <v>18086</v>
      </c>
      <c r="I678" s="3" t="s">
        <v>18087</v>
      </c>
      <c r="J678" s="5" t="str">
        <f>I678</f>
        <v>遮天蔽日暗影箭</v>
      </c>
    </row>
    <row r="679">
      <c r="A679" s="5" t="str">
        <f t="shared" si="3"/>
        <v>NAME_MOVE_MALICIOUSMOONSAULT</v>
      </c>
      <c r="B679" s="3" t="s">
        <v>18088</v>
      </c>
      <c r="C679" s="3" t="s">
        <v>18089</v>
      </c>
      <c r="D679" s="3" t="s">
        <v>18090</v>
      </c>
      <c r="E679" s="3" t="s">
        <v>18091</v>
      </c>
      <c r="F679" s="3" t="s">
        <v>18092</v>
      </c>
      <c r="G679" s="3" t="s">
        <v>18093</v>
      </c>
      <c r="H679" s="3" t="s">
        <v>18094</v>
      </c>
      <c r="I679" s="3" t="s">
        <v>18095</v>
      </c>
      <c r="J679" s="5" t="str">
        <f>IFERROR(__xludf.DUMMYFUNCTION("GOOGLETRANSLATE(I679,""zh_HANT"",""zh_HANS"")"),"极恶飞跃粉碎击")</f>
        <v>极恶飞跃粉碎击</v>
      </c>
    </row>
    <row r="680">
      <c r="A680" s="5" t="str">
        <f t="shared" si="3"/>
        <v>NAME_MOVE_OCEANICOPERETTA</v>
      </c>
      <c r="B680" s="3" t="s">
        <v>18096</v>
      </c>
      <c r="C680" s="3" t="s">
        <v>18097</v>
      </c>
      <c r="D680" s="3" t="s">
        <v>18098</v>
      </c>
      <c r="E680" s="3" t="s">
        <v>18099</v>
      </c>
      <c r="F680" s="3" t="s">
        <v>18100</v>
      </c>
      <c r="G680" s="3" t="s">
        <v>18101</v>
      </c>
      <c r="H680" s="3" t="s">
        <v>18102</v>
      </c>
      <c r="I680" s="3" t="s">
        <v>18103</v>
      </c>
      <c r="J680" s="5" t="str">
        <f>IFERROR(__xludf.DUMMYFUNCTION("GOOGLETRANSLATE(I680,""zh_HANT"",""zh_HANS"")"),"海神庄严交响乐")</f>
        <v>海神庄严交响乐</v>
      </c>
    </row>
    <row r="681">
      <c r="A681" s="5" t="str">
        <f t="shared" si="3"/>
        <v>NAME_MOVE_GUARDIANOFALOLA</v>
      </c>
      <c r="B681" s="3" t="s">
        <v>18104</v>
      </c>
      <c r="C681" s="3" t="s">
        <v>18105</v>
      </c>
      <c r="D681" s="3" t="s">
        <v>18106</v>
      </c>
      <c r="E681" s="3" t="s">
        <v>18107</v>
      </c>
      <c r="F681" s="3" t="s">
        <v>18108</v>
      </c>
      <c r="G681" s="3" t="s">
        <v>18109</v>
      </c>
      <c r="H681" s="3" t="s">
        <v>18110</v>
      </c>
      <c r="I681" s="3" t="s">
        <v>18111</v>
      </c>
      <c r="J681" s="5" t="str">
        <f>IFERROR(__xludf.DUMMYFUNCTION("GOOGLETRANSLATE(I681,""zh_HANT"",""zh_HANS"")"),"巨人卫士・阿罗拉")</f>
        <v>巨人卫士・阿罗拉</v>
      </c>
    </row>
    <row r="682">
      <c r="A682" s="5" t="str">
        <f t="shared" si="3"/>
        <v>NAME_MOVE_SOULSTEALING7STARSTRIKE</v>
      </c>
      <c r="B682" s="3" t="s">
        <v>18112</v>
      </c>
      <c r="C682" s="3" t="s">
        <v>18113</v>
      </c>
      <c r="D682" s="3" t="s">
        <v>18114</v>
      </c>
      <c r="E682" s="3" t="s">
        <v>18115</v>
      </c>
      <c r="F682" s="3" t="s">
        <v>18116</v>
      </c>
      <c r="G682" s="3" t="s">
        <v>18117</v>
      </c>
      <c r="H682" s="3" t="s">
        <v>18118</v>
      </c>
      <c r="I682" s="3" t="s">
        <v>18113</v>
      </c>
      <c r="J682" s="5" t="str">
        <f>IFERROR(__xludf.DUMMYFUNCTION("GOOGLETRANSLATE(I682,""zh_HANT"",""zh_HANS"")"),"七星夺魂腿")</f>
        <v>七星夺魂腿</v>
      </c>
    </row>
    <row r="683">
      <c r="A683" s="5" t="str">
        <f t="shared" si="3"/>
        <v>NAME_MOVE_STOKEDSPARKSURFER</v>
      </c>
      <c r="B683" s="3" t="s">
        <v>18119</v>
      </c>
      <c r="C683" s="3" t="s">
        <v>18120</v>
      </c>
      <c r="D683" s="3" t="s">
        <v>18121</v>
      </c>
      <c r="E683" s="3" t="s">
        <v>18122</v>
      </c>
      <c r="F683" s="3" t="s">
        <v>18123</v>
      </c>
      <c r="G683" s="3" t="s">
        <v>18124</v>
      </c>
      <c r="H683" s="3" t="s">
        <v>18125</v>
      </c>
      <c r="I683" s="3" t="s">
        <v>18126</v>
      </c>
      <c r="J683" s="5" t="str">
        <f>IFERROR(__xludf.DUMMYFUNCTION("GOOGLETRANSLATE(I683,""zh_HANT"",""zh_HANS"")"),"驾雷驭电戏冲浪")</f>
        <v>驾雷驭电戏冲浪</v>
      </c>
    </row>
    <row r="684">
      <c r="A684" s="5" t="str">
        <f t="shared" si="3"/>
        <v>NAME_MOVE_PULVERIZINGPANCAKE</v>
      </c>
      <c r="B684" s="3" t="s">
        <v>18127</v>
      </c>
      <c r="C684" s="3" t="s">
        <v>18128</v>
      </c>
      <c r="D684" s="3" t="s">
        <v>18129</v>
      </c>
      <c r="E684" s="3" t="s">
        <v>18130</v>
      </c>
      <c r="F684" s="3" t="s">
        <v>18131</v>
      </c>
      <c r="G684" s="3" t="s">
        <v>18132</v>
      </c>
      <c r="H684" s="3" t="s">
        <v>18133</v>
      </c>
      <c r="I684" s="3" t="s">
        <v>18134</v>
      </c>
      <c r="J684" s="5" t="str">
        <f>IFERROR(__xludf.DUMMYFUNCTION("GOOGLETRANSLATE(I684,""zh_HANT"",""zh_HANS"")"),"认真起来大爆击")</f>
        <v>认真起来大爆击</v>
      </c>
    </row>
    <row r="685">
      <c r="A685" s="5" t="str">
        <f t="shared" si="3"/>
        <v>NAME_MOVE_EXTREMEEVOBOOST</v>
      </c>
      <c r="B685" s="3" t="s">
        <v>18135</v>
      </c>
      <c r="C685" s="3" t="s">
        <v>18136</v>
      </c>
      <c r="D685" s="3" t="s">
        <v>18137</v>
      </c>
      <c r="E685" s="3" t="s">
        <v>18138</v>
      </c>
      <c r="F685" s="3" t="s">
        <v>18139</v>
      </c>
      <c r="G685" s="3" t="s">
        <v>18140</v>
      </c>
      <c r="H685" s="3" t="s">
        <v>18141</v>
      </c>
      <c r="I685" s="3" t="s">
        <v>18142</v>
      </c>
      <c r="J685" s="5" t="str">
        <f>IFERROR(__xludf.DUMMYFUNCTION("GOOGLETRANSLATE(I685,""zh_HANT"",""zh_HANS"")"),"九彩升华齐聚顶")</f>
        <v>九彩升华齐聚顶</v>
      </c>
    </row>
    <row r="686">
      <c r="A686" s="5" t="str">
        <f t="shared" si="3"/>
        <v>NAME_MOVE_GENESISSUPERNOVA</v>
      </c>
      <c r="B686" s="3" t="s">
        <v>18143</v>
      </c>
      <c r="C686" s="3" t="s">
        <v>18144</v>
      </c>
      <c r="D686" s="3" t="s">
        <v>18145</v>
      </c>
      <c r="E686" s="3" t="s">
        <v>18146</v>
      </c>
      <c r="F686" s="3" t="s">
        <v>18147</v>
      </c>
      <c r="G686" s="3" t="s">
        <v>18148</v>
      </c>
      <c r="H686" s="3" t="s">
        <v>18149</v>
      </c>
      <c r="I686" s="3" t="s">
        <v>18150</v>
      </c>
      <c r="J686" s="5" t="str">
        <f>I686</f>
        <v>起源超新星大爆炸</v>
      </c>
    </row>
    <row r="687">
      <c r="A687" s="5" t="str">
        <f t="shared" si="3"/>
        <v>NAME_MOVE_SHELLTRAP</v>
      </c>
      <c r="B687" s="3" t="s">
        <v>18151</v>
      </c>
      <c r="C687" s="3" t="s">
        <v>18152</v>
      </c>
      <c r="D687" s="3" t="s">
        <v>18153</v>
      </c>
      <c r="E687" s="3" t="s">
        <v>18154</v>
      </c>
      <c r="F687" s="3" t="s">
        <v>18155</v>
      </c>
      <c r="G687" s="3" t="s">
        <v>18156</v>
      </c>
      <c r="H687" s="3" t="s">
        <v>18157</v>
      </c>
      <c r="I687" s="5" t="str">
        <f>IFERROR(__xludf.DUMMYFUNCTION("GOOGLETRANSLATE(J687,""zh_HANS"",""zh_HANT"")"),"陷阱甲殼")</f>
        <v>陷阱甲殼</v>
      </c>
      <c r="J687" s="3" t="s">
        <v>18158</v>
      </c>
    </row>
    <row r="688">
      <c r="A688" s="5" t="str">
        <f t="shared" si="3"/>
        <v>NAME_MOVE_FLEURCANNON</v>
      </c>
      <c r="B688" s="3" t="s">
        <v>18159</v>
      </c>
      <c r="C688" s="3" t="s">
        <v>18160</v>
      </c>
      <c r="D688" s="3" t="s">
        <v>18161</v>
      </c>
      <c r="E688" s="3" t="s">
        <v>18162</v>
      </c>
      <c r="F688" s="3" t="s">
        <v>18163</v>
      </c>
      <c r="G688" s="3" t="s">
        <v>18164</v>
      </c>
      <c r="H688" s="3" t="s">
        <v>18165</v>
      </c>
      <c r="I688" s="5" t="str">
        <f>IFERROR(__xludf.DUMMYFUNCTION("GOOGLETRANSLATE(J688,""zh_HANS"",""zh_HANT"")"),"花朵加農炮")</f>
        <v>花朵加農炮</v>
      </c>
      <c r="J688" s="3" t="s">
        <v>18166</v>
      </c>
    </row>
    <row r="689">
      <c r="A689" s="5" t="str">
        <f t="shared" si="3"/>
        <v>NAME_MOVE_PSYCHICFANGS</v>
      </c>
      <c r="B689" s="3" t="s">
        <v>18167</v>
      </c>
      <c r="C689" s="3" t="s">
        <v>18168</v>
      </c>
      <c r="D689" s="3" t="s">
        <v>18169</v>
      </c>
      <c r="E689" s="3" t="s">
        <v>18170</v>
      </c>
      <c r="F689" s="3" t="s">
        <v>18171</v>
      </c>
      <c r="G689" s="3" t="s">
        <v>18172</v>
      </c>
      <c r="H689" s="3" t="s">
        <v>18173</v>
      </c>
      <c r="I689" s="5" t="str">
        <f>IFERROR(__xludf.DUMMYFUNCTION("GOOGLETRANSLATE(J689,""zh_HANS"",""zh_HANT"")"),"精神之牙")</f>
        <v>精神之牙</v>
      </c>
      <c r="J689" s="3" t="s">
        <v>18174</v>
      </c>
    </row>
    <row r="690">
      <c r="A690" s="5" t="str">
        <f t="shared" si="3"/>
        <v>NAME_MOVE_STOMPINGTANTRUM</v>
      </c>
      <c r="B690" s="3" t="s">
        <v>18175</v>
      </c>
      <c r="C690" s="3" t="s">
        <v>18176</v>
      </c>
      <c r="D690" s="3" t="s">
        <v>18177</v>
      </c>
      <c r="E690" s="3" t="s">
        <v>18178</v>
      </c>
      <c r="F690" s="3" t="s">
        <v>18179</v>
      </c>
      <c r="G690" s="3" t="s">
        <v>18180</v>
      </c>
      <c r="H690" s="3" t="s">
        <v>18181</v>
      </c>
      <c r="I690" s="5" t="str">
        <f>IFERROR(__xludf.DUMMYFUNCTION("GOOGLETRANSLATE(J690,""zh_HANS"",""zh_HANT"")"),"跺腳")</f>
        <v>跺腳</v>
      </c>
      <c r="J690" s="3" t="s">
        <v>18182</v>
      </c>
    </row>
    <row r="691">
      <c r="A691" s="5" t="str">
        <f t="shared" si="3"/>
        <v>NAME_MOVE_SHADOWBONE</v>
      </c>
      <c r="B691" s="3" t="s">
        <v>18183</v>
      </c>
      <c r="C691" s="3" t="s">
        <v>14720</v>
      </c>
      <c r="D691" s="3" t="s">
        <v>18184</v>
      </c>
      <c r="E691" s="3" t="s">
        <v>18185</v>
      </c>
      <c r="F691" s="3" t="s">
        <v>18186</v>
      </c>
      <c r="G691" s="3" t="s">
        <v>18187</v>
      </c>
      <c r="H691" s="3" t="s">
        <v>18188</v>
      </c>
      <c r="I691" s="5" t="str">
        <f>IFERROR(__xludf.DUMMYFUNCTION("GOOGLETRANSLATE(J691,""zh_HANS"",""zh_HANT"")"),"暗影之骨")</f>
        <v>暗影之骨</v>
      </c>
      <c r="J691" s="3" t="s">
        <v>18189</v>
      </c>
    </row>
    <row r="692">
      <c r="A692" s="5" t="str">
        <f t="shared" si="3"/>
        <v>NAME_MOVE_ACCELEROCK</v>
      </c>
      <c r="B692" s="3" t="s">
        <v>18190</v>
      </c>
      <c r="C692" s="3" t="s">
        <v>18191</v>
      </c>
      <c r="D692" s="3" t="s">
        <v>18192</v>
      </c>
      <c r="E692" s="3" t="s">
        <v>18193</v>
      </c>
      <c r="F692" s="3" t="s">
        <v>18194</v>
      </c>
      <c r="G692" s="3" t="s">
        <v>18195</v>
      </c>
      <c r="H692" s="3" t="s">
        <v>18196</v>
      </c>
      <c r="I692" s="5" t="str">
        <f>IFERROR(__xludf.DUMMYFUNCTION("GOOGLETRANSLATE(J692,""zh_HANS"",""zh_HANT"")"),"衝岩")</f>
        <v>衝岩</v>
      </c>
      <c r="J692" s="3" t="s">
        <v>18197</v>
      </c>
    </row>
    <row r="693">
      <c r="A693" s="5" t="str">
        <f t="shared" si="3"/>
        <v>NAME_MOVE_LIQUIDATION</v>
      </c>
      <c r="B693" s="3" t="s">
        <v>18198</v>
      </c>
      <c r="C693" s="3" t="s">
        <v>18199</v>
      </c>
      <c r="D693" s="3" t="s">
        <v>18200</v>
      </c>
      <c r="E693" s="3" t="s">
        <v>18201</v>
      </c>
      <c r="F693" s="3" t="s">
        <v>18202</v>
      </c>
      <c r="G693" s="3" t="s">
        <v>18203</v>
      </c>
      <c r="H693" s="3" t="s">
        <v>18204</v>
      </c>
      <c r="I693" s="5" t="str">
        <f>IFERROR(__xludf.DUMMYFUNCTION("GOOGLETRANSLATE(J693,""zh_HANS"",""zh_HANT"")"),"水流裂破")</f>
        <v>水流裂破</v>
      </c>
      <c r="J693" s="3" t="s">
        <v>18205</v>
      </c>
    </row>
    <row r="694">
      <c r="A694" s="5" t="str">
        <f t="shared" si="3"/>
        <v>NAME_MOVE_PRISMATICLASER</v>
      </c>
      <c r="B694" s="3" t="s">
        <v>18206</v>
      </c>
      <c r="C694" s="3" t="s">
        <v>18207</v>
      </c>
      <c r="D694" s="3" t="s">
        <v>18208</v>
      </c>
      <c r="E694" s="3" t="s">
        <v>18209</v>
      </c>
      <c r="F694" s="3" t="s">
        <v>18210</v>
      </c>
      <c r="G694" s="3" t="s">
        <v>18211</v>
      </c>
      <c r="H694" s="3" t="s">
        <v>18212</v>
      </c>
      <c r="I694" s="5" t="str">
        <f>IFERROR(__xludf.DUMMYFUNCTION("GOOGLETRANSLATE(J694,""zh_HANS"",""zh_HANT"")"),"棱鏡鐳射")</f>
        <v>棱鏡鐳射</v>
      </c>
      <c r="J694" s="3" t="s">
        <v>18213</v>
      </c>
    </row>
    <row r="695">
      <c r="A695" s="5" t="str">
        <f t="shared" si="3"/>
        <v>NAME_MOVE_SPECTRALTHIEF</v>
      </c>
      <c r="B695" s="3" t="s">
        <v>18214</v>
      </c>
      <c r="C695" s="3" t="s">
        <v>18215</v>
      </c>
      <c r="D695" s="3" t="s">
        <v>18216</v>
      </c>
      <c r="E695" s="3" t="s">
        <v>18217</v>
      </c>
      <c r="F695" s="3" t="s">
        <v>18218</v>
      </c>
      <c r="G695" s="3" t="s">
        <v>18219</v>
      </c>
      <c r="H695" s="3" t="s">
        <v>18220</v>
      </c>
      <c r="I695" s="5" t="str">
        <f>IFERROR(__xludf.DUMMYFUNCTION("GOOGLETRANSLATE(J695,""zh_HANS"",""zh_HANT"")"),"暗影偷竊")</f>
        <v>暗影偷竊</v>
      </c>
      <c r="J695" s="3" t="s">
        <v>18221</v>
      </c>
    </row>
    <row r="696">
      <c r="A696" s="5" t="str">
        <f t="shared" si="3"/>
        <v>NAME_MOVE_SUNSTEELSTRIKE</v>
      </c>
      <c r="B696" s="3" t="s">
        <v>18222</v>
      </c>
      <c r="C696" s="3" t="s">
        <v>18223</v>
      </c>
      <c r="D696" s="3" t="s">
        <v>18224</v>
      </c>
      <c r="E696" s="3" t="s">
        <v>18225</v>
      </c>
      <c r="F696" s="3" t="s">
        <v>18226</v>
      </c>
      <c r="G696" s="3" t="s">
        <v>18227</v>
      </c>
      <c r="H696" s="3" t="s">
        <v>18228</v>
      </c>
      <c r="I696" s="5" t="str">
        <f>IFERROR(__xludf.DUMMYFUNCTION("GOOGLETRANSLATE(J696,""zh_HANS"",""zh_HANT"")"),"流星閃衝")</f>
        <v>流星閃衝</v>
      </c>
      <c r="J696" s="3" t="s">
        <v>18229</v>
      </c>
    </row>
    <row r="697">
      <c r="A697" s="5" t="str">
        <f t="shared" si="3"/>
        <v>NAME_MOVE_MOONGEISTBEAM</v>
      </c>
      <c r="B697" s="3" t="s">
        <v>18230</v>
      </c>
      <c r="C697" s="3" t="s">
        <v>18231</v>
      </c>
      <c r="D697" s="3" t="s">
        <v>18232</v>
      </c>
      <c r="E697" s="3" t="s">
        <v>18233</v>
      </c>
      <c r="F697" s="3" t="s">
        <v>18234</v>
      </c>
      <c r="G697" s="3" t="s">
        <v>18235</v>
      </c>
      <c r="H697" s="3" t="s">
        <v>18236</v>
      </c>
      <c r="I697" s="5" t="str">
        <f>IFERROR(__xludf.DUMMYFUNCTION("GOOGLETRANSLATE(J697,""zh_HANS"",""zh_HANT"")"),"暗影之光")</f>
        <v>暗影之光</v>
      </c>
      <c r="J697" s="3" t="s">
        <v>18237</v>
      </c>
    </row>
    <row r="698">
      <c r="A698" s="5" t="str">
        <f t="shared" si="3"/>
        <v>NAME_MOVE_TEARFULLOOK</v>
      </c>
      <c r="B698" s="3" t="s">
        <v>18238</v>
      </c>
      <c r="C698" s="3" t="s">
        <v>18239</v>
      </c>
      <c r="D698" s="3" t="s">
        <v>18240</v>
      </c>
      <c r="E698" s="3" t="s">
        <v>18241</v>
      </c>
      <c r="F698" s="3" t="s">
        <v>18242</v>
      </c>
      <c r="G698" s="3" t="s">
        <v>18243</v>
      </c>
      <c r="H698" s="3" t="s">
        <v>18244</v>
      </c>
      <c r="I698" s="5" t="str">
        <f>IFERROR(__xludf.DUMMYFUNCTION("GOOGLETRANSLATE(J698,""zh_HANS"",""zh_HANT"")"),"淚眼汪汪")</f>
        <v>淚眼汪汪</v>
      </c>
      <c r="J698" s="3" t="s">
        <v>18245</v>
      </c>
    </row>
    <row r="699">
      <c r="A699" s="5" t="str">
        <f t="shared" si="3"/>
        <v>NAME_MOVE_ZINGZAP</v>
      </c>
      <c r="B699" s="3" t="s">
        <v>18246</v>
      </c>
      <c r="C699" s="3" t="s">
        <v>18247</v>
      </c>
      <c r="D699" s="3" t="s">
        <v>18248</v>
      </c>
      <c r="E699" s="3" t="s">
        <v>18249</v>
      </c>
      <c r="F699" s="3" t="s">
        <v>18250</v>
      </c>
      <c r="G699" s="3" t="s">
        <v>18251</v>
      </c>
      <c r="H699" s="3" t="s">
        <v>18252</v>
      </c>
      <c r="I699" s="5" t="str">
        <f>IFERROR(__xludf.DUMMYFUNCTION("GOOGLETRANSLATE(J699,""zh_HANS"",""zh_HANT"")"),"麻麻刺刺")</f>
        <v>麻麻刺刺</v>
      </c>
      <c r="J699" s="3" t="s">
        <v>18253</v>
      </c>
    </row>
    <row r="700">
      <c r="A700" s="3" t="s">
        <v>18254</v>
      </c>
      <c r="B700" s="3" t="s">
        <v>18255</v>
      </c>
      <c r="C700" s="3" t="s">
        <v>18256</v>
      </c>
      <c r="D700" s="3" t="s">
        <v>18257</v>
      </c>
      <c r="E700" s="3" t="s">
        <v>18258</v>
      </c>
      <c r="F700" s="3" t="s">
        <v>18259</v>
      </c>
      <c r="G700" s="3" t="s">
        <v>18260</v>
      </c>
      <c r="H700" s="4" t="s">
        <v>18261</v>
      </c>
      <c r="I700" s="6" t="s">
        <v>18262</v>
      </c>
      <c r="J700" s="5" t="str">
        <f>I700</f>
        <v>自然之怒</v>
      </c>
    </row>
    <row r="701">
      <c r="A701" s="5" t="str">
        <f t="shared" ref="A701:A708" si="45">CONCATENATE("NAME_MOVE_", SUBSTITUTE(SUBSTITUTE(UPPER(B701), " ", ""), "-", ""))</f>
        <v>NAME_MOVE_MULTIATTACK</v>
      </c>
      <c r="B701" s="3" t="s">
        <v>18263</v>
      </c>
      <c r="C701" s="3" t="s">
        <v>18264</v>
      </c>
      <c r="D701" s="3" t="s">
        <v>18265</v>
      </c>
      <c r="E701" s="3" t="s">
        <v>18266</v>
      </c>
      <c r="F701" s="3" t="s">
        <v>18267</v>
      </c>
      <c r="G701" s="3" t="s">
        <v>18268</v>
      </c>
      <c r="H701" s="3" t="s">
        <v>18269</v>
      </c>
      <c r="I701" s="3" t="s">
        <v>18270</v>
      </c>
      <c r="J701" s="5" t="str">
        <f>IFERROR(__xludf.DUMMYFUNCTION("GOOGLETRANSLATE(I701,""zh_HANT"",""zh_HANS"")"),"多属性攻击")</f>
        <v>多属性攻击</v>
      </c>
    </row>
    <row r="702">
      <c r="A702" s="5" t="str">
        <f t="shared" si="45"/>
        <v>NAME_MOVE_10,000,000VOLTTHUNDERBOLT</v>
      </c>
      <c r="B702" s="3" t="s">
        <v>18271</v>
      </c>
      <c r="C702" s="3" t="s">
        <v>18272</v>
      </c>
      <c r="D702" s="3" t="s">
        <v>18273</v>
      </c>
      <c r="E702" s="3" t="s">
        <v>18274</v>
      </c>
      <c r="F702" s="3" t="s">
        <v>18275</v>
      </c>
      <c r="G702" s="3" t="s">
        <v>18276</v>
      </c>
      <c r="H702" s="3" t="s">
        <v>18277</v>
      </c>
      <c r="I702" s="3" t="s">
        <v>18278</v>
      </c>
      <c r="J702" s="5" t="str">
        <f>IFERROR(__xludf.DUMMYFUNCTION("GOOGLETRANSLATE(I702,""zh_HANT"",""zh_HANS"")"),"千万伏特")</f>
        <v>千万伏特</v>
      </c>
    </row>
    <row r="703">
      <c r="A703" s="5" t="str">
        <f t="shared" si="45"/>
        <v>NAME_MOVE_MINDBLOWN</v>
      </c>
      <c r="B703" s="3" t="s">
        <v>18279</v>
      </c>
      <c r="C703" s="3" t="s">
        <v>18280</v>
      </c>
      <c r="D703" s="3" t="s">
        <v>18281</v>
      </c>
      <c r="E703" s="3" t="s">
        <v>18282</v>
      </c>
      <c r="F703" s="3" t="s">
        <v>18283</v>
      </c>
      <c r="G703" s="3" t="s">
        <v>18284</v>
      </c>
      <c r="H703" s="3" t="s">
        <v>18285</v>
      </c>
      <c r="I703" s="3" t="s">
        <v>18286</v>
      </c>
      <c r="J703" s="5" t="str">
        <f>IFERROR(__xludf.DUMMYFUNCTION("GOOGLETRANSLATE(I703,""zh_HANT"",""zh_HANS"")"),"惊爆大头")</f>
        <v>惊爆大头</v>
      </c>
    </row>
    <row r="704">
      <c r="A704" s="5" t="str">
        <f t="shared" si="45"/>
        <v>NAME_MOVE_PLASMAFISTS</v>
      </c>
      <c r="B704" s="3" t="s">
        <v>18287</v>
      </c>
      <c r="C704" s="3" t="s">
        <v>18288</v>
      </c>
      <c r="D704" s="3" t="s">
        <v>18289</v>
      </c>
      <c r="E704" s="3" t="s">
        <v>18290</v>
      </c>
      <c r="F704" s="3" t="s">
        <v>18291</v>
      </c>
      <c r="G704" s="3" t="s">
        <v>18292</v>
      </c>
      <c r="H704" s="3" t="s">
        <v>18293</v>
      </c>
      <c r="I704" s="3" t="s">
        <v>18294</v>
      </c>
      <c r="J704" s="5" t="str">
        <f>IFERROR(__xludf.DUMMYFUNCTION("GOOGLETRANSLATE(I704,""zh_HANT"",""zh_HANS"")"),"等离子闪电拳")</f>
        <v>等离子闪电拳</v>
      </c>
    </row>
    <row r="705">
      <c r="A705" s="5" t="str">
        <f t="shared" si="45"/>
        <v>NAME_MOVE_PHOTONGEYSER</v>
      </c>
      <c r="B705" s="3" t="s">
        <v>18295</v>
      </c>
      <c r="C705" s="3" t="s">
        <v>18296</v>
      </c>
      <c r="D705" s="3" t="s">
        <v>18297</v>
      </c>
      <c r="E705" s="3" t="s">
        <v>18298</v>
      </c>
      <c r="F705" s="3" t="s">
        <v>18299</v>
      </c>
      <c r="G705" s="3" t="s">
        <v>18300</v>
      </c>
      <c r="H705" s="3" t="s">
        <v>18301</v>
      </c>
      <c r="I705" s="3" t="s">
        <v>18302</v>
      </c>
      <c r="J705" s="5" t="str">
        <f>IFERROR(__xludf.DUMMYFUNCTION("GOOGLETRANSLATE(I705,""zh_HANT"",""zh_HANS"")"),"光子喷涌")</f>
        <v>光子喷涌</v>
      </c>
    </row>
    <row r="706">
      <c r="A706" s="5" t="str">
        <f t="shared" si="45"/>
        <v>NAME_MOVE_LIGHTTHATBURNSTHESKY</v>
      </c>
      <c r="B706" s="3" t="s">
        <v>18303</v>
      </c>
      <c r="C706" s="3" t="s">
        <v>18304</v>
      </c>
      <c r="D706" s="3" t="s">
        <v>18305</v>
      </c>
      <c r="E706" s="3" t="s">
        <v>18306</v>
      </c>
      <c r="F706" s="3" t="s">
        <v>18307</v>
      </c>
      <c r="G706" s="3" t="s">
        <v>18308</v>
      </c>
      <c r="H706" s="3" t="s">
        <v>18309</v>
      </c>
      <c r="I706" s="3" t="s">
        <v>18310</v>
      </c>
      <c r="J706" s="5" t="str">
        <f>IFERROR(__xludf.DUMMYFUNCTION("GOOGLETRANSLATE(I706,""zh_HANT"",""zh_HANS"")"),"焚天灭世炽光爆")</f>
        <v>焚天灭世炽光爆</v>
      </c>
    </row>
    <row r="707">
      <c r="A707" s="5" t="str">
        <f t="shared" si="45"/>
        <v>NAME_MOVE_SEARINGSUNRAZESMASH</v>
      </c>
      <c r="B707" s="3" t="s">
        <v>18311</v>
      </c>
      <c r="C707" s="3" t="s">
        <v>18312</v>
      </c>
      <c r="D707" s="3" t="s">
        <v>18313</v>
      </c>
      <c r="E707" s="3" t="s">
        <v>18314</v>
      </c>
      <c r="F707" s="3" t="s">
        <v>18315</v>
      </c>
      <c r="G707" s="3" t="s">
        <v>18316</v>
      </c>
      <c r="H707" s="3" t="s">
        <v>18317</v>
      </c>
      <c r="I707" s="3" t="s">
        <v>18318</v>
      </c>
      <c r="J707" s="5" t="str">
        <f>IFERROR(__xludf.DUMMYFUNCTION("GOOGLETRANSLATE(I707,""zh_HANT"",""zh_HANS"")"),"日光回旋下苍穹")</f>
        <v>日光回旋下苍穹</v>
      </c>
    </row>
    <row r="708">
      <c r="A708" s="5" t="str">
        <f t="shared" si="45"/>
        <v>NAME_MOVE_MENACINGMOONRAZEMAELSTROM</v>
      </c>
      <c r="B708" s="3" t="s">
        <v>18319</v>
      </c>
      <c r="C708" s="3" t="s">
        <v>18320</v>
      </c>
      <c r="D708" s="3" t="s">
        <v>18321</v>
      </c>
      <c r="E708" s="3" t="s">
        <v>18322</v>
      </c>
      <c r="F708" s="3" t="s">
        <v>18323</v>
      </c>
      <c r="G708" s="3" t="s">
        <v>18324</v>
      </c>
      <c r="H708" s="3" t="s">
        <v>18325</v>
      </c>
      <c r="I708" s="3" t="s">
        <v>18326</v>
      </c>
      <c r="J708" s="5" t="str">
        <f>IFERROR(__xludf.DUMMYFUNCTION("GOOGLETRANSLATE(I708,""zh_HANT"",""zh_HANS"")"),"月华飞溅落灵霄")</f>
        <v>月华飞溅落灵霄</v>
      </c>
    </row>
    <row r="709">
      <c r="A709" s="3" t="s">
        <v>18327</v>
      </c>
      <c r="B709" s="3" t="s">
        <v>18328</v>
      </c>
      <c r="C709" s="3" t="s">
        <v>18329</v>
      </c>
      <c r="D709" s="3" t="s">
        <v>18330</v>
      </c>
      <c r="E709" s="3" t="s">
        <v>18331</v>
      </c>
      <c r="F709" s="3" t="s">
        <v>18332</v>
      </c>
      <c r="G709" s="3" t="s">
        <v>18333</v>
      </c>
      <c r="H709" s="3" t="s">
        <v>18334</v>
      </c>
      <c r="I709" s="3" t="s">
        <v>18335</v>
      </c>
      <c r="J709" s="5" t="str">
        <f>IFERROR(__xludf.DUMMYFUNCTION("GOOGLETRANSLATE(I709,""zh_HANT"",""zh_HANS"")"),"亲密无间大乱揍")</f>
        <v>亲密无间大乱揍</v>
      </c>
    </row>
    <row r="710">
      <c r="A710" s="5" t="str">
        <f t="shared" ref="A710:A935" si="46">CONCATENATE("NAME_MOVE_", SUBSTITUTE(SUBSTITUTE(UPPER(B710), " ", ""), "-", ""))</f>
        <v>NAME_MOVE_SPLINTEREDSTORMSHARDS</v>
      </c>
      <c r="B710" s="3" t="s">
        <v>18336</v>
      </c>
      <c r="C710" s="3" t="s">
        <v>18337</v>
      </c>
      <c r="D710" s="3" t="s">
        <v>18338</v>
      </c>
      <c r="E710" s="3" t="s">
        <v>18339</v>
      </c>
      <c r="F710" s="3" t="s">
        <v>18340</v>
      </c>
      <c r="G710" s="3" t="s">
        <v>18341</v>
      </c>
      <c r="H710" s="3" t="s">
        <v>18342</v>
      </c>
      <c r="I710" s="3" t="s">
        <v>18343</v>
      </c>
      <c r="J710" s="5" t="str">
        <f>IFERROR(__xludf.DUMMYFUNCTION("GOOGLETRANSLATE(I710,""zh_HANT"",""zh_HANS"")"),"狼啸石牙飓风暴")</f>
        <v>狼啸石牙飓风暴</v>
      </c>
    </row>
    <row r="711">
      <c r="A711" s="5" t="str">
        <f t="shared" si="46"/>
        <v>NAME_MOVE_CLANGOROUSSOULBLAZE</v>
      </c>
      <c r="B711" s="3" t="s">
        <v>18344</v>
      </c>
      <c r="C711" s="3" t="s">
        <v>18345</v>
      </c>
      <c r="D711" s="3" t="s">
        <v>18346</v>
      </c>
      <c r="E711" s="3" t="s">
        <v>18347</v>
      </c>
      <c r="F711" s="3" t="s">
        <v>18348</v>
      </c>
      <c r="G711" s="3" t="s">
        <v>18349</v>
      </c>
      <c r="H711" s="3" t="s">
        <v>18350</v>
      </c>
      <c r="I711" s="3" t="s">
        <v>18351</v>
      </c>
      <c r="J711" s="5" t="str">
        <f>IFERROR(__xludf.DUMMYFUNCTION("GOOGLETRANSLATE(I711,""zh_HANT"",""zh_HANS"")"),"炽魂热舞烈音爆")</f>
        <v>炽魂热舞烈音爆</v>
      </c>
    </row>
    <row r="712">
      <c r="A712" s="5" t="str">
        <f t="shared" si="46"/>
        <v>NAME_MOVE_ZIPPYZAP</v>
      </c>
      <c r="B712" s="3" t="s">
        <v>18352</v>
      </c>
      <c r="C712" s="3" t="s">
        <v>18353</v>
      </c>
      <c r="D712" s="3" t="s">
        <v>18354</v>
      </c>
      <c r="E712" s="3" t="s">
        <v>18355</v>
      </c>
      <c r="F712" s="3" t="s">
        <v>18356</v>
      </c>
      <c r="G712" s="3" t="s">
        <v>18357</v>
      </c>
      <c r="H712" s="3" t="s">
        <v>18358</v>
      </c>
      <c r="I712" s="3" t="s">
        <v>18359</v>
      </c>
      <c r="J712" s="5" t="str">
        <f>IFERROR(__xludf.DUMMYFUNCTION("GOOGLETRANSLATE(I712,""zh_HANT"",""zh_HANS"")"),"电电加速")</f>
        <v>电电加速</v>
      </c>
    </row>
    <row r="713">
      <c r="A713" s="5" t="str">
        <f t="shared" si="46"/>
        <v>NAME_MOVE_SPLISHYSPLASH</v>
      </c>
      <c r="B713" s="3" t="s">
        <v>18360</v>
      </c>
      <c r="C713" s="3" t="s">
        <v>18361</v>
      </c>
      <c r="D713" s="3" t="s">
        <v>18362</v>
      </c>
      <c r="E713" s="3" t="s">
        <v>18363</v>
      </c>
      <c r="F713" s="3" t="s">
        <v>18364</v>
      </c>
      <c r="G713" s="3" t="s">
        <v>18365</v>
      </c>
      <c r="H713" s="3" t="s">
        <v>18366</v>
      </c>
      <c r="I713" s="3" t="s">
        <v>18367</v>
      </c>
      <c r="J713" s="5" t="str">
        <f>IFERROR(__xludf.DUMMYFUNCTION("GOOGLETRANSLATE(I713,""zh_HANT"",""zh_HANS"")"),"滔滔冲浪")</f>
        <v>滔滔冲浪</v>
      </c>
    </row>
    <row r="714">
      <c r="A714" s="5" t="str">
        <f t="shared" si="46"/>
        <v>NAME_MOVE_FLOATYFALL</v>
      </c>
      <c r="B714" s="3" t="s">
        <v>18368</v>
      </c>
      <c r="C714" s="3" t="s">
        <v>18369</v>
      </c>
      <c r="D714" s="3" t="s">
        <v>18370</v>
      </c>
      <c r="E714" s="3" t="s">
        <v>18371</v>
      </c>
      <c r="F714" s="3" t="s">
        <v>18372</v>
      </c>
      <c r="G714" s="3" t="s">
        <v>18373</v>
      </c>
      <c r="H714" s="3" t="s">
        <v>18374</v>
      </c>
      <c r="I714" s="3" t="s">
        <v>18375</v>
      </c>
      <c r="J714" s="5" t="str">
        <f>IFERROR(__xludf.DUMMYFUNCTION("GOOGLETRANSLATE(I714,""zh_HANT"",""zh_HANS"")"),"飘飘坠落")</f>
        <v>飘飘坠落</v>
      </c>
    </row>
    <row r="715">
      <c r="A715" s="5" t="str">
        <f t="shared" si="46"/>
        <v>NAME_MOVE_PIKAPAPOW</v>
      </c>
      <c r="B715" s="3" t="s">
        <v>18376</v>
      </c>
      <c r="C715" s="3" t="s">
        <v>18377</v>
      </c>
      <c r="D715" s="3" t="s">
        <v>18378</v>
      </c>
      <c r="E715" s="3" t="s">
        <v>18379</v>
      </c>
      <c r="F715" s="3" t="s">
        <v>18380</v>
      </c>
      <c r="G715" s="3" t="s">
        <v>18381</v>
      </c>
      <c r="H715" s="3" t="s">
        <v>18382</v>
      </c>
      <c r="I715" s="3" t="s">
        <v>18383</v>
      </c>
      <c r="J715" s="5" t="str">
        <f>IFERROR(__xludf.DUMMYFUNCTION("GOOGLETRANSLATE(I715,""zh_HANT"",""zh_HANS"")"),"闪闪雷光")</f>
        <v>闪闪雷光</v>
      </c>
    </row>
    <row r="716">
      <c r="A716" s="5" t="str">
        <f t="shared" si="46"/>
        <v>NAME_MOVE_BOUNCYBUBBLE</v>
      </c>
      <c r="B716" s="3" t="s">
        <v>18384</v>
      </c>
      <c r="C716" s="3" t="s">
        <v>18385</v>
      </c>
      <c r="D716" s="3" t="s">
        <v>18386</v>
      </c>
      <c r="E716" s="3" t="s">
        <v>18387</v>
      </c>
      <c r="F716" s="3" t="s">
        <v>18388</v>
      </c>
      <c r="G716" s="3" t="s">
        <v>18389</v>
      </c>
      <c r="H716" s="3" t="s">
        <v>18390</v>
      </c>
      <c r="I716" s="3" t="s">
        <v>18391</v>
      </c>
      <c r="J716" s="5" t="str">
        <f>IFERROR(__xludf.DUMMYFUNCTION("GOOGLETRANSLATE(I716,""zh_HANT"",""zh_HANS"")"),"活活气泡")</f>
        <v>活活气泡</v>
      </c>
    </row>
    <row r="717">
      <c r="A717" s="5" t="str">
        <f t="shared" si="46"/>
        <v>NAME_MOVE_BUZZYBUZZ</v>
      </c>
      <c r="B717" s="3" t="s">
        <v>18392</v>
      </c>
      <c r="C717" s="3" t="s">
        <v>18393</v>
      </c>
      <c r="D717" s="3" t="s">
        <v>18394</v>
      </c>
      <c r="E717" s="3" t="s">
        <v>18395</v>
      </c>
      <c r="F717" s="3" t="s">
        <v>18396</v>
      </c>
      <c r="G717" s="3" t="s">
        <v>18397</v>
      </c>
      <c r="H717" s="3" t="s">
        <v>18398</v>
      </c>
      <c r="I717" s="3" t="s">
        <v>18399</v>
      </c>
      <c r="J717" s="5" t="str">
        <f>IFERROR(__xludf.DUMMYFUNCTION("GOOGLETRANSLATE(I717,""zh_HANT"",""zh_HANS"")"),"麻麻电击")</f>
        <v>麻麻电击</v>
      </c>
    </row>
    <row r="718">
      <c r="A718" s="5" t="str">
        <f t="shared" si="46"/>
        <v>NAME_MOVE_SIZZLYSLIDE</v>
      </c>
      <c r="B718" s="3" t="s">
        <v>18400</v>
      </c>
      <c r="C718" s="3" t="s">
        <v>18401</v>
      </c>
      <c r="D718" s="3" t="s">
        <v>18402</v>
      </c>
      <c r="E718" s="3" t="s">
        <v>18403</v>
      </c>
      <c r="F718" s="3" t="s">
        <v>18404</v>
      </c>
      <c r="G718" s="3" t="s">
        <v>18405</v>
      </c>
      <c r="H718" s="3" t="s">
        <v>18406</v>
      </c>
      <c r="I718" s="3" t="s">
        <v>18407</v>
      </c>
      <c r="J718" s="5" t="str">
        <f>I718</f>
        <v>熊熊火爆</v>
      </c>
    </row>
    <row r="719">
      <c r="A719" s="5" t="str">
        <f t="shared" si="46"/>
        <v>NAME_MOVE_GLITZYGLOW</v>
      </c>
      <c r="B719" s="3" t="s">
        <v>18408</v>
      </c>
      <c r="C719" s="3" t="s">
        <v>18409</v>
      </c>
      <c r="D719" s="3" t="s">
        <v>18410</v>
      </c>
      <c r="E719" s="3" t="s">
        <v>18411</v>
      </c>
      <c r="F719" s="3" t="s">
        <v>18412</v>
      </c>
      <c r="G719" s="3" t="s">
        <v>18413</v>
      </c>
      <c r="H719" s="3" t="s">
        <v>18414</v>
      </c>
      <c r="I719" s="3" t="s">
        <v>18415</v>
      </c>
      <c r="J719" s="5" t="str">
        <f>IFERROR(__xludf.DUMMYFUNCTION("GOOGLETRANSLATE(I719,""zh_HANT"",""zh_HANS"")"),"哗哗气场")</f>
        <v>哗哗气场</v>
      </c>
    </row>
    <row r="720">
      <c r="A720" s="5" t="str">
        <f t="shared" si="46"/>
        <v>NAME_MOVE_BADDYBAD</v>
      </c>
      <c r="B720" s="3" t="s">
        <v>18416</v>
      </c>
      <c r="C720" s="3" t="s">
        <v>18417</v>
      </c>
      <c r="D720" s="3" t="s">
        <v>18418</v>
      </c>
      <c r="E720" s="3" t="s">
        <v>18419</v>
      </c>
      <c r="F720" s="3" t="s">
        <v>18420</v>
      </c>
      <c r="G720" s="3" t="s">
        <v>18421</v>
      </c>
      <c r="H720" s="3" t="s">
        <v>18422</v>
      </c>
      <c r="I720" s="3" t="s">
        <v>18423</v>
      </c>
      <c r="J720" s="5" t="str">
        <f>IFERROR(__xludf.DUMMYFUNCTION("GOOGLETRANSLATE(I720,""zh_HANT"",""zh_HANS"")"),"坏坏领域")</f>
        <v>坏坏领域</v>
      </c>
    </row>
    <row r="721">
      <c r="A721" s="5" t="str">
        <f t="shared" si="46"/>
        <v>NAME_MOVE_SAPPYSEED</v>
      </c>
      <c r="B721" s="3" t="s">
        <v>18424</v>
      </c>
      <c r="C721" s="3" t="s">
        <v>18425</v>
      </c>
      <c r="D721" s="3" t="s">
        <v>18426</v>
      </c>
      <c r="E721" s="3" t="s">
        <v>18427</v>
      </c>
      <c r="F721" s="3" t="s">
        <v>18428</v>
      </c>
      <c r="G721" s="3" t="s">
        <v>18429</v>
      </c>
      <c r="H721" s="3" t="s">
        <v>18430</v>
      </c>
      <c r="I721" s="3" t="s">
        <v>18431</v>
      </c>
      <c r="J721" s="3" t="s">
        <v>18432</v>
      </c>
    </row>
    <row r="722">
      <c r="A722" s="5" t="str">
        <f t="shared" si="46"/>
        <v>NAME_MOVE_FREEZYFROST</v>
      </c>
      <c r="B722" s="3" t="s">
        <v>18433</v>
      </c>
      <c r="C722" s="3" t="s">
        <v>18434</v>
      </c>
      <c r="D722" s="3" t="s">
        <v>18435</v>
      </c>
      <c r="E722" s="3" t="s">
        <v>18436</v>
      </c>
      <c r="F722" s="3" t="s">
        <v>18437</v>
      </c>
      <c r="G722" s="3" t="s">
        <v>18438</v>
      </c>
      <c r="H722" s="3" t="s">
        <v>18439</v>
      </c>
      <c r="I722" s="3" t="s">
        <v>18440</v>
      </c>
      <c r="J722" s="5" t="str">
        <f>IFERROR(__xludf.DUMMYFUNCTION("GOOGLETRANSLATE(I722,""zh_HANT"",""zh_HANS"")"),"冰冰霜冻")</f>
        <v>冰冰霜冻</v>
      </c>
    </row>
    <row r="723">
      <c r="A723" s="5" t="str">
        <f t="shared" si="46"/>
        <v>NAME_MOVE_SPARKLYSWIRL</v>
      </c>
      <c r="B723" s="3" t="s">
        <v>18441</v>
      </c>
      <c r="C723" s="3" t="s">
        <v>18442</v>
      </c>
      <c r="D723" s="3" t="s">
        <v>18443</v>
      </c>
      <c r="E723" s="3" t="s">
        <v>18444</v>
      </c>
      <c r="F723" s="3" t="s">
        <v>18445</v>
      </c>
      <c r="G723" s="3" t="s">
        <v>18446</v>
      </c>
      <c r="H723" s="3" t="s">
        <v>18447</v>
      </c>
      <c r="I723" s="3" t="s">
        <v>18448</v>
      </c>
      <c r="J723" s="5" t="str">
        <f>IFERROR(__xludf.DUMMYFUNCTION("GOOGLETRANSLATE(I723,""zh_HANT"",""zh_HANS"")"),"亮亮风暴")</f>
        <v>亮亮风暴</v>
      </c>
    </row>
    <row r="724">
      <c r="A724" s="5" t="str">
        <f t="shared" si="46"/>
        <v>NAME_MOVE_VEEVEEVOLLEY</v>
      </c>
      <c r="B724" s="3" t="s">
        <v>18449</v>
      </c>
      <c r="C724" s="3" t="s">
        <v>18450</v>
      </c>
      <c r="D724" s="3" t="s">
        <v>18451</v>
      </c>
      <c r="E724" s="3" t="s">
        <v>18452</v>
      </c>
      <c r="F724" s="3" t="s">
        <v>18453</v>
      </c>
      <c r="G724" s="3" t="s">
        <v>18454</v>
      </c>
      <c r="H724" s="3" t="s">
        <v>18455</v>
      </c>
      <c r="I724" s="3" t="s">
        <v>18456</v>
      </c>
      <c r="J724" s="5" t="str">
        <f>IFERROR(__xludf.DUMMYFUNCTION("GOOGLETRANSLATE(I724,""zh_HANT"",""zh_HANS"")"),"砰砰撃破")</f>
        <v>砰砰撃破</v>
      </c>
    </row>
    <row r="725">
      <c r="A725" s="5" t="str">
        <f t="shared" si="46"/>
        <v>NAME_MOVE_DOUBLEIRONBASH</v>
      </c>
      <c r="B725" s="3" t="s">
        <v>18457</v>
      </c>
      <c r="C725" s="3" t="s">
        <v>18458</v>
      </c>
      <c r="D725" s="3" t="s">
        <v>18459</v>
      </c>
      <c r="E725" s="3" t="s">
        <v>18460</v>
      </c>
      <c r="F725" s="3" t="s">
        <v>18461</v>
      </c>
      <c r="G725" s="3" t="s">
        <v>18462</v>
      </c>
      <c r="H725" s="3" t="s">
        <v>18463</v>
      </c>
      <c r="I725" s="3" t="s">
        <v>18464</v>
      </c>
      <c r="J725" s="5" t="str">
        <f>IFERROR(__xludf.DUMMYFUNCTION("GOOGLETRANSLATE(I725,""zh_HANT"",""zh_HANS"")"),"钢拳双击")</f>
        <v>钢拳双击</v>
      </c>
    </row>
    <row r="726">
      <c r="A726" s="5" t="str">
        <f t="shared" si="46"/>
        <v>NAME_MOVE_MAXGUARD</v>
      </c>
      <c r="B726" s="3" t="s">
        <v>18465</v>
      </c>
      <c r="C726" s="3" t="s">
        <v>18466</v>
      </c>
      <c r="D726" s="3" t="s">
        <v>18467</v>
      </c>
      <c r="E726" s="3" t="s">
        <v>18468</v>
      </c>
      <c r="F726" s="3" t="s">
        <v>18469</v>
      </c>
      <c r="G726" s="3" t="s">
        <v>18470</v>
      </c>
      <c r="H726" s="3" t="s">
        <v>18471</v>
      </c>
      <c r="I726" s="3" t="s">
        <v>18472</v>
      </c>
      <c r="J726" s="5" t="str">
        <f>IFERROR(__xludf.DUMMYFUNCTION("GOOGLETRANSLATE(I726,""zh_HANT"",""zh_HANS"")"),"极巨防壁")</f>
        <v>极巨防壁</v>
      </c>
    </row>
    <row r="727">
      <c r="A727" s="5" t="str">
        <f t="shared" si="46"/>
        <v>NAME_MOVE_DYNAMAXCANNON</v>
      </c>
      <c r="B727" s="3" t="s">
        <v>18473</v>
      </c>
      <c r="C727" s="3" t="s">
        <v>18474</v>
      </c>
      <c r="D727" s="3" t="s">
        <v>18475</v>
      </c>
      <c r="E727" s="3" t="s">
        <v>18476</v>
      </c>
      <c r="F727" s="3" t="s">
        <v>18477</v>
      </c>
      <c r="G727" s="3" t="s">
        <v>18478</v>
      </c>
      <c r="H727" s="3" t="s">
        <v>18479</v>
      </c>
      <c r="I727" s="3" t="s">
        <v>18480</v>
      </c>
      <c r="J727" s="5" t="str">
        <f>IFERROR(__xludf.DUMMYFUNCTION("GOOGLETRANSLATE(I727,""zh_HANT"",""zh_HANS"")"),"极巨炮")</f>
        <v>极巨炮</v>
      </c>
    </row>
    <row r="728">
      <c r="A728" s="5" t="str">
        <f t="shared" si="46"/>
        <v>NAME_MOVE_SNIPESHOT</v>
      </c>
      <c r="B728" s="3" t="s">
        <v>18481</v>
      </c>
      <c r="C728" s="17" t="s">
        <v>18482</v>
      </c>
      <c r="D728" s="3" t="s">
        <v>18483</v>
      </c>
      <c r="E728" s="3" t="s">
        <v>18484</v>
      </c>
      <c r="F728" s="3" t="s">
        <v>18485</v>
      </c>
      <c r="G728" s="3" t="s">
        <v>18486</v>
      </c>
      <c r="H728" s="3" t="s">
        <v>18487</v>
      </c>
      <c r="I728" s="3" t="s">
        <v>18488</v>
      </c>
      <c r="J728" s="5" t="str">
        <f>IFERROR(__xludf.DUMMYFUNCTION("GOOGLETRANSLATE(I728,""zh_HANT"",""zh_HANS"")"),"狙击")</f>
        <v>狙击</v>
      </c>
    </row>
    <row r="729">
      <c r="A729" s="5" t="str">
        <f t="shared" si="46"/>
        <v>NAME_MOVE_JAWLOCK</v>
      </c>
      <c r="B729" s="3" t="s">
        <v>18489</v>
      </c>
      <c r="C729" s="3" t="s">
        <v>18490</v>
      </c>
      <c r="D729" s="3" t="s">
        <v>18491</v>
      </c>
      <c r="E729" s="3" t="s">
        <v>18492</v>
      </c>
      <c r="F729" s="3" t="s">
        <v>18493</v>
      </c>
      <c r="G729" s="3" t="s">
        <v>18494</v>
      </c>
      <c r="H729" s="3" t="s">
        <v>18495</v>
      </c>
      <c r="I729" s="5" t="str">
        <f>IFERROR(__xludf.DUMMYFUNCTION("GOOGLETRANSLATE(J729,""zh_HANS"",""zh_HANT"")"),"緊咬不放")</f>
        <v>緊咬不放</v>
      </c>
      <c r="J729" s="3" t="s">
        <v>18496</v>
      </c>
    </row>
    <row r="730">
      <c r="A730" s="5" t="str">
        <f t="shared" si="46"/>
        <v>NAME_MOVE_STUFFCHEEKS</v>
      </c>
      <c r="B730" s="3" t="s">
        <v>18497</v>
      </c>
      <c r="C730" s="3" t="s">
        <v>18498</v>
      </c>
      <c r="D730" s="3" t="s">
        <v>18499</v>
      </c>
      <c r="E730" s="3" t="s">
        <v>18500</v>
      </c>
      <c r="F730" s="3" t="s">
        <v>18501</v>
      </c>
      <c r="G730" s="3" t="s">
        <v>18502</v>
      </c>
      <c r="H730" s="3" t="s">
        <v>18503</v>
      </c>
      <c r="I730" s="5" t="str">
        <f>IFERROR(__xludf.DUMMYFUNCTION("GOOGLETRANSLATE(J730,""zh_HANS"",""zh_HANT"")"),"大快朵頤")</f>
        <v>大快朵頤</v>
      </c>
      <c r="J730" s="3" t="s">
        <v>18504</v>
      </c>
    </row>
    <row r="731">
      <c r="A731" s="5" t="str">
        <f t="shared" si="46"/>
        <v>NAME_MOVE_NORETREAT</v>
      </c>
      <c r="B731" s="3" t="s">
        <v>18505</v>
      </c>
      <c r="C731" s="3" t="s">
        <v>18506</v>
      </c>
      <c r="D731" s="3" t="s">
        <v>18507</v>
      </c>
      <c r="E731" s="3" t="s">
        <v>18508</v>
      </c>
      <c r="F731" s="3" t="s">
        <v>18509</v>
      </c>
      <c r="G731" s="3" t="s">
        <v>18510</v>
      </c>
      <c r="H731" s="3" t="s">
        <v>18511</v>
      </c>
      <c r="I731" s="5" t="str">
        <f>IFERROR(__xludf.DUMMYFUNCTION("GOOGLETRANSLATE(J731,""zh_HANS"",""zh_HANT"")"),"背水一戰")</f>
        <v>背水一戰</v>
      </c>
      <c r="J731" s="3" t="s">
        <v>18512</v>
      </c>
    </row>
    <row r="732">
      <c r="A732" s="5" t="str">
        <f t="shared" si="46"/>
        <v>NAME_MOVE_TARSHOT</v>
      </c>
      <c r="B732" s="3" t="s">
        <v>18513</v>
      </c>
      <c r="C732" s="3" t="s">
        <v>18514</v>
      </c>
      <c r="D732" s="3" t="s">
        <v>18515</v>
      </c>
      <c r="E732" s="3" t="s">
        <v>18516</v>
      </c>
      <c r="F732" s="3" t="s">
        <v>18517</v>
      </c>
      <c r="G732" s="3" t="s">
        <v>18518</v>
      </c>
      <c r="H732" s="3" t="s">
        <v>18519</v>
      </c>
      <c r="I732" s="5" t="str">
        <f>IFERROR(__xludf.DUMMYFUNCTION("GOOGLETRANSLATE(J732,""zh_HANS"",""zh_HANT"")"),"瀝青射擊")</f>
        <v>瀝青射擊</v>
      </c>
      <c r="J732" s="3" t="s">
        <v>18520</v>
      </c>
    </row>
    <row r="733">
      <c r="A733" s="5" t="str">
        <f t="shared" si="46"/>
        <v>NAME_MOVE_MAGICPOWDER</v>
      </c>
      <c r="B733" s="3" t="s">
        <v>18521</v>
      </c>
      <c r="C733" s="3" t="s">
        <v>18522</v>
      </c>
      <c r="D733" s="3" t="s">
        <v>18523</v>
      </c>
      <c r="E733" s="3" t="s">
        <v>18524</v>
      </c>
      <c r="F733" s="3" t="s">
        <v>18525</v>
      </c>
      <c r="G733" s="3" t="s">
        <v>18526</v>
      </c>
      <c r="H733" s="3" t="s">
        <v>18527</v>
      </c>
      <c r="I733" s="5" t="str">
        <f>IFERROR(__xludf.DUMMYFUNCTION("GOOGLETRANSLATE(J733,""zh_HANS"",""zh_HANT"")"),"魔法粉")</f>
        <v>魔法粉</v>
      </c>
      <c r="J733" s="3" t="s">
        <v>18528</v>
      </c>
    </row>
    <row r="734">
      <c r="A734" s="5" t="str">
        <f t="shared" si="46"/>
        <v>NAME_MOVE_DRAGONDARTS</v>
      </c>
      <c r="B734" s="3" t="s">
        <v>18529</v>
      </c>
      <c r="C734" s="3" t="s">
        <v>18530</v>
      </c>
      <c r="D734" s="3" t="s">
        <v>18531</v>
      </c>
      <c r="E734" s="3" t="s">
        <v>18532</v>
      </c>
      <c r="F734" s="3" t="s">
        <v>18533</v>
      </c>
      <c r="G734" s="3" t="s">
        <v>18534</v>
      </c>
      <c r="H734" s="3" t="s">
        <v>18535</v>
      </c>
      <c r="I734" s="3" t="s">
        <v>18536</v>
      </c>
      <c r="J734" s="5" t="str">
        <f>IFERROR(__xludf.DUMMYFUNCTION("GOOGLETRANSLATE(I734,""zh_HANT"",""zh_HANS"")"),"龙箭")</f>
        <v>龙箭</v>
      </c>
    </row>
    <row r="735">
      <c r="A735" s="5" t="str">
        <f t="shared" si="46"/>
        <v>NAME_MOVE_TEATIME</v>
      </c>
      <c r="B735" s="3" t="s">
        <v>18537</v>
      </c>
      <c r="C735" s="3" t="s">
        <v>18538</v>
      </c>
      <c r="D735" s="3" t="s">
        <v>18539</v>
      </c>
      <c r="E735" s="5" t="str">
        <f>B735</f>
        <v>Teatime</v>
      </c>
      <c r="F735" s="3" t="s">
        <v>18540</v>
      </c>
      <c r="G735" s="3" t="s">
        <v>18541</v>
      </c>
      <c r="H735" s="3" t="s">
        <v>18542</v>
      </c>
      <c r="I735" s="3" t="s">
        <v>18543</v>
      </c>
      <c r="J735" s="5" t="str">
        <f>IFERROR(__xludf.DUMMYFUNCTION("GOOGLETRANSLATE(I735,""zh_HANT"",""zh_HANS"")"),"茶会")</f>
        <v>茶会</v>
      </c>
    </row>
    <row r="736">
      <c r="A736" s="5" t="str">
        <f t="shared" si="46"/>
        <v>NAME_MOVE_OCTOLOCK</v>
      </c>
      <c r="B736" s="3" t="s">
        <v>18544</v>
      </c>
      <c r="C736" s="3" t="s">
        <v>18545</v>
      </c>
      <c r="D736" s="3" t="s">
        <v>18546</v>
      </c>
      <c r="E736" s="3" t="s">
        <v>18547</v>
      </c>
      <c r="F736" s="3" t="s">
        <v>18548</v>
      </c>
      <c r="G736" s="3" t="s">
        <v>18549</v>
      </c>
      <c r="H736" s="3" t="s">
        <v>18550</v>
      </c>
      <c r="I736" s="3" t="s">
        <v>18551</v>
      </c>
      <c r="J736" s="5" t="str">
        <f>I736</f>
        <v>蛸固</v>
      </c>
    </row>
    <row r="737">
      <c r="A737" s="5" t="str">
        <f t="shared" si="46"/>
        <v>NAME_MOVE_BOLTBEAK</v>
      </c>
      <c r="B737" s="3" t="s">
        <v>18552</v>
      </c>
      <c r="C737" s="3" t="s">
        <v>18553</v>
      </c>
      <c r="D737" s="3" t="s">
        <v>18554</v>
      </c>
      <c r="E737" s="3" t="s">
        <v>18555</v>
      </c>
      <c r="F737" s="3" t="s">
        <v>18556</v>
      </c>
      <c r="G737" s="3" t="s">
        <v>18557</v>
      </c>
      <c r="H737" s="3" t="s">
        <v>18558</v>
      </c>
      <c r="I737" s="3" t="s">
        <v>18559</v>
      </c>
      <c r="J737" s="5" t="str">
        <f>IFERROR(__xludf.DUMMYFUNCTION("GOOGLETRANSLATE(I737,""zh_HANT"",""zh_HANS"")"),"电喙")</f>
        <v>电喙</v>
      </c>
    </row>
    <row r="738">
      <c r="A738" s="5" t="str">
        <f t="shared" si="46"/>
        <v>NAME_MOVE_FISHIOUSREND</v>
      </c>
      <c r="B738" s="3" t="s">
        <v>18560</v>
      </c>
      <c r="C738" s="3" t="s">
        <v>18561</v>
      </c>
      <c r="D738" s="3" t="s">
        <v>18562</v>
      </c>
      <c r="E738" s="3" t="s">
        <v>18563</v>
      </c>
      <c r="F738" s="3" t="s">
        <v>18564</v>
      </c>
      <c r="G738" s="3" t="s">
        <v>18565</v>
      </c>
      <c r="H738" s="3" t="s">
        <v>18566</v>
      </c>
      <c r="I738" s="3" t="s">
        <v>18567</v>
      </c>
      <c r="J738" s="5" t="str">
        <f>IFERROR(__xludf.DUMMYFUNCTION("GOOGLETRANSLATE(I738,""zh_HANT"",""zh_HANS"")"),"鳃咬")</f>
        <v>鳃咬</v>
      </c>
    </row>
    <row r="739">
      <c r="A739" s="5" t="str">
        <f t="shared" si="46"/>
        <v>NAME_MOVE_COURTCHANGE</v>
      </c>
      <c r="B739" s="3" t="s">
        <v>18568</v>
      </c>
      <c r="C739" s="3" t="s">
        <v>18569</v>
      </c>
      <c r="D739" s="3" t="s">
        <v>18570</v>
      </c>
      <c r="E739" s="3" t="s">
        <v>18571</v>
      </c>
      <c r="F739" s="3" t="s">
        <v>18572</v>
      </c>
      <c r="G739" s="3" t="s">
        <v>18573</v>
      </c>
      <c r="H739" s="3" t="s">
        <v>18574</v>
      </c>
      <c r="I739" s="3" t="s">
        <v>18575</v>
      </c>
      <c r="J739" s="5" t="str">
        <f>IFERROR(__xludf.DUMMYFUNCTION("GOOGLETRANSLATE(I739,""zh_HANT"",""zh_HANS"")"),"换场")</f>
        <v>换场</v>
      </c>
    </row>
    <row r="740">
      <c r="A740" s="5" t="str">
        <f t="shared" si="46"/>
        <v>NAME_MOVE_MAXFLARE</v>
      </c>
      <c r="B740" s="3" t="s">
        <v>18576</v>
      </c>
      <c r="C740" s="3" t="s">
        <v>18577</v>
      </c>
      <c r="D740" s="3" t="s">
        <v>18578</v>
      </c>
      <c r="E740" s="3" t="s">
        <v>18579</v>
      </c>
      <c r="F740" s="3" t="s">
        <v>18580</v>
      </c>
      <c r="G740" s="3" t="s">
        <v>18581</v>
      </c>
      <c r="H740" s="3" t="s">
        <v>18582</v>
      </c>
      <c r="I740" s="3" t="s">
        <v>18583</v>
      </c>
      <c r="J740" s="5" t="str">
        <f>IFERROR(__xludf.DUMMYFUNCTION("GOOGLETRANSLATE(I740,""zh_HANT"",""zh_HANS"")"),"极巨火爆")</f>
        <v>极巨火爆</v>
      </c>
    </row>
    <row r="741">
      <c r="A741" s="5" t="str">
        <f t="shared" si="46"/>
        <v>NAME_MOVE_MAXFLUTTERBY</v>
      </c>
      <c r="B741" s="3" t="s">
        <v>18584</v>
      </c>
      <c r="C741" s="3" t="s">
        <v>18585</v>
      </c>
      <c r="D741" s="3" t="s">
        <v>18586</v>
      </c>
      <c r="E741" s="3" t="s">
        <v>18587</v>
      </c>
      <c r="F741" s="3" t="s">
        <v>18588</v>
      </c>
      <c r="G741" s="3" t="s">
        <v>18589</v>
      </c>
      <c r="H741" s="3" t="s">
        <v>18590</v>
      </c>
      <c r="I741" s="3" t="s">
        <v>18591</v>
      </c>
      <c r="J741" s="5" t="str">
        <f>IFERROR(__xludf.DUMMYFUNCTION("GOOGLETRANSLATE(I741,""zh_HANT"",""zh_HANS"")"),"极巨虫蛊")</f>
        <v>极巨虫蛊</v>
      </c>
    </row>
    <row r="742">
      <c r="A742" s="5" t="str">
        <f t="shared" si="46"/>
        <v>NAME_MOVE_MAXLIGHTNING</v>
      </c>
      <c r="B742" s="3" t="s">
        <v>18592</v>
      </c>
      <c r="C742" s="3" t="s">
        <v>18593</v>
      </c>
      <c r="D742" s="3" t="s">
        <v>18594</v>
      </c>
      <c r="E742" s="3" t="s">
        <v>18595</v>
      </c>
      <c r="F742" s="3" t="s">
        <v>18596</v>
      </c>
      <c r="G742" s="3" t="s">
        <v>18597</v>
      </c>
      <c r="H742" s="3" t="s">
        <v>18598</v>
      </c>
      <c r="I742" s="3" t="s">
        <v>18599</v>
      </c>
      <c r="J742" s="5" t="str">
        <f>IFERROR(__xludf.DUMMYFUNCTION("GOOGLETRANSLATE(I742,""zh_HANT"",""zh_HANS"")"),"极巨闪电")</f>
        <v>极巨闪电</v>
      </c>
    </row>
    <row r="743">
      <c r="A743" s="5" t="str">
        <f t="shared" si="46"/>
        <v>NAME_MOVE_MAXSTRIKE</v>
      </c>
      <c r="B743" s="3" t="s">
        <v>18600</v>
      </c>
      <c r="C743" s="3" t="s">
        <v>18601</v>
      </c>
      <c r="D743" s="3" t="s">
        <v>18602</v>
      </c>
      <c r="E743" s="3" t="s">
        <v>18603</v>
      </c>
      <c r="F743" s="3" t="s">
        <v>18604</v>
      </c>
      <c r="G743" s="3" t="s">
        <v>18605</v>
      </c>
      <c r="H743" s="3" t="s">
        <v>18606</v>
      </c>
      <c r="I743" s="3" t="s">
        <v>18607</v>
      </c>
      <c r="J743" s="5" t="str">
        <f>IFERROR(__xludf.DUMMYFUNCTION("GOOGLETRANSLATE(I743,""zh_HANT"",""zh_HANS"")"),"极巨攻击")</f>
        <v>极巨攻击</v>
      </c>
    </row>
    <row r="744">
      <c r="A744" s="5" t="str">
        <f t="shared" si="46"/>
        <v>NAME_MOVE_MAXKNUCKLE</v>
      </c>
      <c r="B744" s="3" t="s">
        <v>18608</v>
      </c>
      <c r="C744" s="3" t="s">
        <v>18609</v>
      </c>
      <c r="D744" s="3" t="s">
        <v>18610</v>
      </c>
      <c r="E744" s="3" t="s">
        <v>18611</v>
      </c>
      <c r="F744" s="3" t="s">
        <v>18612</v>
      </c>
      <c r="G744" s="3" t="s">
        <v>18613</v>
      </c>
      <c r="H744" s="3" t="s">
        <v>18614</v>
      </c>
      <c r="I744" s="3" t="s">
        <v>18615</v>
      </c>
      <c r="J744" s="5" t="str">
        <f>IFERROR(__xludf.DUMMYFUNCTION("GOOGLETRANSLATE(I744,""zh_HANT"",""zh_HANS"")"),"极巨拳斗")</f>
        <v>极巨拳斗</v>
      </c>
    </row>
    <row r="745">
      <c r="A745" s="5" t="str">
        <f t="shared" si="46"/>
        <v>NAME_MOVE_MAXPHANTASM</v>
      </c>
      <c r="B745" s="3" t="s">
        <v>18616</v>
      </c>
      <c r="C745" s="3" t="s">
        <v>18617</v>
      </c>
      <c r="D745" s="3" t="s">
        <v>18618</v>
      </c>
      <c r="E745" s="3" t="s">
        <v>18619</v>
      </c>
      <c r="F745" s="3" t="s">
        <v>18620</v>
      </c>
      <c r="G745" s="3" t="s">
        <v>18621</v>
      </c>
      <c r="H745" s="3" t="s">
        <v>18622</v>
      </c>
      <c r="I745" s="3" t="s">
        <v>18623</v>
      </c>
      <c r="J745" s="5" t="str">
        <f>IFERROR(__xludf.DUMMYFUNCTION("GOOGLETRANSLATE(I745,""zh_HANT"",""zh_HANS"")"),"极巨幽魂")</f>
        <v>极巨幽魂</v>
      </c>
    </row>
    <row r="746">
      <c r="A746" s="5" t="str">
        <f t="shared" si="46"/>
        <v>NAME_MOVE_MAXHAILSTORM</v>
      </c>
      <c r="B746" s="3" t="s">
        <v>18624</v>
      </c>
      <c r="C746" s="3" t="s">
        <v>18625</v>
      </c>
      <c r="D746" s="3" t="s">
        <v>18626</v>
      </c>
      <c r="E746" s="3" t="s">
        <v>18627</v>
      </c>
      <c r="F746" s="3" t="s">
        <v>18628</v>
      </c>
      <c r="G746" s="3" t="s">
        <v>18629</v>
      </c>
      <c r="H746" s="3" t="s">
        <v>18630</v>
      </c>
      <c r="I746" s="3" t="s">
        <v>18631</v>
      </c>
      <c r="J746" s="5" t="str">
        <f>IFERROR(__xludf.DUMMYFUNCTION("GOOGLETRANSLATE(I746,""zh_HANT"",""zh_HANS"")"),"极巨寒冰")</f>
        <v>极巨寒冰</v>
      </c>
    </row>
    <row r="747">
      <c r="A747" s="5" t="str">
        <f t="shared" si="46"/>
        <v>NAME_MOVE_MAXOOZE</v>
      </c>
      <c r="B747" s="3" t="s">
        <v>18632</v>
      </c>
      <c r="C747" s="3" t="s">
        <v>18633</v>
      </c>
      <c r="D747" s="3" t="s">
        <v>18634</v>
      </c>
      <c r="E747" s="3" t="s">
        <v>18635</v>
      </c>
      <c r="F747" s="3" t="s">
        <v>18636</v>
      </c>
      <c r="G747" s="3" t="s">
        <v>18637</v>
      </c>
      <c r="H747" s="3" t="s">
        <v>18638</v>
      </c>
      <c r="I747" s="3" t="s">
        <v>18639</v>
      </c>
      <c r="J747" s="5" t="str">
        <f>IFERROR(__xludf.DUMMYFUNCTION("GOOGLETRANSLATE(I747,""zh_HANT"",""zh_HANS"")"),"极巨酸毒")</f>
        <v>极巨酸毒</v>
      </c>
    </row>
    <row r="748">
      <c r="A748" s="5" t="str">
        <f t="shared" si="46"/>
        <v>NAME_MOVE_MAXGEYSER</v>
      </c>
      <c r="B748" s="3" t="s">
        <v>18640</v>
      </c>
      <c r="C748" s="3" t="s">
        <v>18641</v>
      </c>
      <c r="D748" s="3" t="s">
        <v>18642</v>
      </c>
      <c r="E748" s="3" t="s">
        <v>18643</v>
      </c>
      <c r="F748" s="3" t="s">
        <v>18644</v>
      </c>
      <c r="G748" s="3" t="s">
        <v>18645</v>
      </c>
      <c r="H748" s="3" t="s">
        <v>18646</v>
      </c>
      <c r="I748" s="3" t="s">
        <v>18647</v>
      </c>
      <c r="J748" s="5" t="str">
        <f>IFERROR(__xludf.DUMMYFUNCTION("GOOGLETRANSLATE(I748,""zh_HANT"",""zh_HANS"")"),"极巨水流")</f>
        <v>极巨水流</v>
      </c>
    </row>
    <row r="749">
      <c r="A749" s="5" t="str">
        <f t="shared" si="46"/>
        <v>NAME_MOVE_MAXAIRSTREAM</v>
      </c>
      <c r="B749" s="3" t="s">
        <v>18648</v>
      </c>
      <c r="C749" s="3" t="s">
        <v>18649</v>
      </c>
      <c r="D749" s="3" t="s">
        <v>18650</v>
      </c>
      <c r="E749" s="3" t="s">
        <v>18651</v>
      </c>
      <c r="F749" s="3" t="s">
        <v>18652</v>
      </c>
      <c r="G749" s="3" t="s">
        <v>18653</v>
      </c>
      <c r="H749" s="3" t="s">
        <v>18654</v>
      </c>
      <c r="I749" s="3" t="s">
        <v>18655</v>
      </c>
      <c r="J749" s="5" t="str">
        <f>IFERROR(__xludf.DUMMYFUNCTION("GOOGLETRANSLATE(I749,""zh_HANT"",""zh_HANS"")"),"极巨飞冲")</f>
        <v>极巨飞冲</v>
      </c>
    </row>
    <row r="750">
      <c r="A750" s="5" t="str">
        <f t="shared" si="46"/>
        <v>NAME_MOVE_MAXSTARFALL</v>
      </c>
      <c r="B750" s="3" t="s">
        <v>18656</v>
      </c>
      <c r="C750" s="3" t="s">
        <v>18657</v>
      </c>
      <c r="D750" s="3" t="s">
        <v>18658</v>
      </c>
      <c r="E750" s="3" t="s">
        <v>18659</v>
      </c>
      <c r="F750" s="3" t="s">
        <v>18660</v>
      </c>
      <c r="G750" s="3" t="s">
        <v>18661</v>
      </c>
      <c r="H750" s="6" t="s">
        <v>18662</v>
      </c>
      <c r="I750" s="6" t="s">
        <v>18663</v>
      </c>
      <c r="J750" s="5" t="str">
        <f>IFERROR(__xludf.DUMMYFUNCTION("GOOGLETRANSLATE(I750,""zh_HANT"",""zh_HANS"")"),"极巨妖精")</f>
        <v>极巨妖精</v>
      </c>
    </row>
    <row r="751">
      <c r="A751" s="5" t="str">
        <f t="shared" si="46"/>
        <v>NAME_MOVE_MAXWYRMWIND</v>
      </c>
      <c r="B751" s="3" t="s">
        <v>18664</v>
      </c>
      <c r="C751" s="3" t="s">
        <v>18665</v>
      </c>
      <c r="D751" s="3" t="s">
        <v>18666</v>
      </c>
      <c r="E751" s="3" t="s">
        <v>18667</v>
      </c>
      <c r="F751" s="3" t="s">
        <v>18668</v>
      </c>
      <c r="G751" s="3" t="s">
        <v>18669</v>
      </c>
      <c r="H751" s="3" t="s">
        <v>18670</v>
      </c>
      <c r="I751" s="3" t="s">
        <v>18671</v>
      </c>
      <c r="J751" s="5" t="str">
        <f>IFERROR(__xludf.DUMMYFUNCTION("GOOGLETRANSLATE(I751,""zh_HANT"",""zh_HANS"")"),"极巨龙骑")</f>
        <v>极巨龙骑</v>
      </c>
    </row>
    <row r="752">
      <c r="A752" s="5" t="str">
        <f t="shared" si="46"/>
        <v>NAME_MOVE_MAXMINDSTORM</v>
      </c>
      <c r="B752" s="3" t="s">
        <v>18672</v>
      </c>
      <c r="C752" s="3" t="s">
        <v>18673</v>
      </c>
      <c r="D752" s="3" t="s">
        <v>18674</v>
      </c>
      <c r="E752" s="3" t="s">
        <v>18675</v>
      </c>
      <c r="F752" s="3" t="s">
        <v>18676</v>
      </c>
      <c r="G752" s="3" t="s">
        <v>18677</v>
      </c>
      <c r="H752" s="3" t="s">
        <v>18678</v>
      </c>
      <c r="I752" s="3" t="s">
        <v>18679</v>
      </c>
      <c r="J752" s="5" t="str">
        <f>IFERROR(__xludf.DUMMYFUNCTION("GOOGLETRANSLATE(I752,""zh_HANT"",""zh_HANS"")"),"极巨超能")</f>
        <v>极巨超能</v>
      </c>
    </row>
    <row r="753">
      <c r="A753" s="5" t="str">
        <f t="shared" si="46"/>
        <v>NAME_MOVE_MAXROCKFALL</v>
      </c>
      <c r="B753" s="3" t="s">
        <v>18680</v>
      </c>
      <c r="C753" s="3" t="s">
        <v>18681</v>
      </c>
      <c r="D753" s="3" t="s">
        <v>18682</v>
      </c>
      <c r="E753" s="3" t="s">
        <v>18683</v>
      </c>
      <c r="F753" s="3" t="s">
        <v>18684</v>
      </c>
      <c r="G753" s="3" t="s">
        <v>18685</v>
      </c>
      <c r="H753" s="3" t="s">
        <v>18686</v>
      </c>
      <c r="I753" s="3" t="s">
        <v>18687</v>
      </c>
      <c r="J753" s="5" t="str">
        <f>IFERROR(__xludf.DUMMYFUNCTION("GOOGLETRANSLATE(I753,""zh_HANT"",""zh_HANS"")"),"极巨岩石")</f>
        <v>极巨岩石</v>
      </c>
    </row>
    <row r="754">
      <c r="A754" s="5" t="str">
        <f t="shared" si="46"/>
        <v>NAME_MOVE_MAXQUAKE</v>
      </c>
      <c r="B754" s="3" t="s">
        <v>18688</v>
      </c>
      <c r="C754" s="3" t="s">
        <v>18689</v>
      </c>
      <c r="D754" s="3" t="s">
        <v>18690</v>
      </c>
      <c r="E754" s="3" t="s">
        <v>18691</v>
      </c>
      <c r="F754" s="3" t="s">
        <v>18692</v>
      </c>
      <c r="G754" s="3" t="s">
        <v>18693</v>
      </c>
      <c r="H754" s="3" t="s">
        <v>18694</v>
      </c>
      <c r="I754" s="3" t="s">
        <v>18695</v>
      </c>
      <c r="J754" s="5" t="str">
        <f>IFERROR(__xludf.DUMMYFUNCTION("GOOGLETRANSLATE(I754,""zh_HANT"",""zh_HANS"")"),"极巨大地")</f>
        <v>极巨大地</v>
      </c>
    </row>
    <row r="755">
      <c r="A755" s="5" t="str">
        <f t="shared" si="46"/>
        <v>NAME_MOVE_MAXDARKNESS</v>
      </c>
      <c r="B755" s="3" t="s">
        <v>18696</v>
      </c>
      <c r="C755" s="3" t="s">
        <v>18697</v>
      </c>
      <c r="D755" s="3" t="s">
        <v>18698</v>
      </c>
      <c r="E755" s="3" t="s">
        <v>18699</v>
      </c>
      <c r="F755" s="3" t="s">
        <v>18700</v>
      </c>
      <c r="G755" s="3" t="s">
        <v>18701</v>
      </c>
      <c r="H755" s="3" t="s">
        <v>18702</v>
      </c>
      <c r="I755" s="3" t="s">
        <v>18703</v>
      </c>
      <c r="J755" s="5" t="str">
        <f>IFERROR(__xludf.DUMMYFUNCTION("GOOGLETRANSLATE(I755,""zh_HANT"",""zh_HANS"")"),"极巨恶霸")</f>
        <v>极巨恶霸</v>
      </c>
    </row>
    <row r="756">
      <c r="A756" s="5" t="str">
        <f t="shared" si="46"/>
        <v>NAME_MOVE_MAXOVERGROWTH</v>
      </c>
      <c r="B756" s="3" t="s">
        <v>18704</v>
      </c>
      <c r="C756" s="3" t="s">
        <v>18705</v>
      </c>
      <c r="D756" s="3" t="s">
        <v>18706</v>
      </c>
      <c r="E756" s="3" t="s">
        <v>18707</v>
      </c>
      <c r="F756" s="3" t="s">
        <v>18708</v>
      </c>
      <c r="G756" s="3" t="s">
        <v>18709</v>
      </c>
      <c r="H756" s="3" t="s">
        <v>18710</v>
      </c>
      <c r="I756" s="3" t="s">
        <v>18711</v>
      </c>
      <c r="J756" s="5" t="str">
        <f>IFERROR(__xludf.DUMMYFUNCTION("GOOGLETRANSLATE(I756,""zh_HANT"",""zh_HANS"")"),"极巨草原")</f>
        <v>极巨草原</v>
      </c>
    </row>
    <row r="757">
      <c r="A757" s="5" t="str">
        <f t="shared" si="46"/>
        <v>NAME_MOVE_MAXSTEELSPIKE</v>
      </c>
      <c r="B757" s="3" t="s">
        <v>18712</v>
      </c>
      <c r="C757" s="3" t="s">
        <v>18713</v>
      </c>
      <c r="D757" s="3" t="s">
        <v>18714</v>
      </c>
      <c r="E757" s="3" t="s">
        <v>18715</v>
      </c>
      <c r="F757" s="3" t="s">
        <v>18716</v>
      </c>
      <c r="G757" s="3" t="s">
        <v>18717</v>
      </c>
      <c r="H757" s="3" t="s">
        <v>18718</v>
      </c>
      <c r="I757" s="3" t="s">
        <v>18719</v>
      </c>
      <c r="J757" s="5" t="str">
        <f>IFERROR(__xludf.DUMMYFUNCTION("GOOGLETRANSLATE(I757,""zh_HANT"",""zh_HANS"")"),"极巨钢铁")</f>
        <v>极巨钢铁</v>
      </c>
    </row>
    <row r="758">
      <c r="A758" s="5" t="str">
        <f t="shared" si="46"/>
        <v>NAME_MOVE_GMAXWILDFIRE</v>
      </c>
      <c r="B758" s="3" t="s">
        <v>18720</v>
      </c>
      <c r="C758" s="3" t="s">
        <v>18721</v>
      </c>
      <c r="D758" s="3" t="s">
        <v>18722</v>
      </c>
      <c r="E758" s="3" t="s">
        <v>18723</v>
      </c>
      <c r="F758" s="3" t="s">
        <v>18724</v>
      </c>
      <c r="G758" s="3" t="s">
        <v>18725</v>
      </c>
      <c r="H758" s="3" t="s">
        <v>18726</v>
      </c>
      <c r="I758" s="3" t="s">
        <v>18727</v>
      </c>
      <c r="J758" s="5" t="str">
        <f>IFERROR(__xludf.DUMMYFUNCTION("GOOGLETRANSLATE(I758,""zh_HANT"",""zh_HANS"")"),"超极巨地狱灭焰")</f>
        <v>超极巨地狱灭焰</v>
      </c>
    </row>
    <row r="759">
      <c r="A759" s="5" t="str">
        <f t="shared" si="46"/>
        <v>NAME_MOVE_GMAXBEFUDDLE</v>
      </c>
      <c r="B759" s="3" t="s">
        <v>18728</v>
      </c>
      <c r="C759" s="3" t="s">
        <v>18729</v>
      </c>
      <c r="D759" s="3" t="s">
        <v>18730</v>
      </c>
      <c r="E759" s="3" t="s">
        <v>18731</v>
      </c>
      <c r="F759" s="3" t="s">
        <v>18732</v>
      </c>
      <c r="G759" s="3" t="s">
        <v>18733</v>
      </c>
      <c r="H759" s="3" t="s">
        <v>18734</v>
      </c>
      <c r="I759" s="3" t="s">
        <v>18735</v>
      </c>
      <c r="J759" s="5" t="str">
        <f>IFERROR(__xludf.DUMMYFUNCTION("GOOGLETRANSLATE(I759,""zh_HANT"",""zh_HANS"")"),"超极巨蝶影蛊惑")</f>
        <v>超极巨蝶影蛊惑</v>
      </c>
    </row>
    <row r="760">
      <c r="A760" s="5" t="str">
        <f t="shared" si="46"/>
        <v>NAME_MOVE_GMAXVOLTCRASH</v>
      </c>
      <c r="B760" s="3" t="s">
        <v>18736</v>
      </c>
      <c r="C760" s="3" t="s">
        <v>18737</v>
      </c>
      <c r="D760" s="3" t="s">
        <v>18738</v>
      </c>
      <c r="E760" s="3" t="s">
        <v>18739</v>
      </c>
      <c r="F760" s="3" t="s">
        <v>18740</v>
      </c>
      <c r="G760" s="3" t="s">
        <v>18741</v>
      </c>
      <c r="H760" s="3" t="s">
        <v>18742</v>
      </c>
      <c r="I760" s="3" t="s">
        <v>18743</v>
      </c>
      <c r="J760" s="5" t="str">
        <f>IFERROR(__xludf.DUMMYFUNCTION("GOOGLETRANSLATE(I760,""zh_HANT"",""zh_HANS"")"),"超极巨万雷轰顶")</f>
        <v>超极巨万雷轰顶</v>
      </c>
    </row>
    <row r="761">
      <c r="A761" s="5" t="str">
        <f t="shared" si="46"/>
        <v>NAME_MOVE_GMAXGOLDRUSH</v>
      </c>
      <c r="B761" s="3" t="s">
        <v>18744</v>
      </c>
      <c r="C761" s="3" t="s">
        <v>18745</v>
      </c>
      <c r="D761" s="3" t="s">
        <v>18746</v>
      </c>
      <c r="E761" s="3" t="s">
        <v>18747</v>
      </c>
      <c r="F761" s="3" t="s">
        <v>18748</v>
      </c>
      <c r="G761" s="3" t="s">
        <v>18749</v>
      </c>
      <c r="H761" s="3" t="s">
        <v>18750</v>
      </c>
      <c r="I761" s="3" t="s">
        <v>18751</v>
      </c>
      <c r="J761" s="5" t="str">
        <f>IFERROR(__xludf.DUMMYFUNCTION("GOOGLETRANSLATE(I761,""zh_HANT"",""zh_HANS"")"),"超极巨特大金币")</f>
        <v>超极巨特大金币</v>
      </c>
    </row>
    <row r="762">
      <c r="A762" s="5" t="str">
        <f t="shared" si="46"/>
        <v>NAME_MOVE_GMAXCHISTRIKE</v>
      </c>
      <c r="B762" s="3" t="s">
        <v>18752</v>
      </c>
      <c r="C762" s="3" t="s">
        <v>18753</v>
      </c>
      <c r="D762" s="3" t="s">
        <v>18754</v>
      </c>
      <c r="E762" s="3" t="s">
        <v>18755</v>
      </c>
      <c r="F762" s="3" t="s">
        <v>18756</v>
      </c>
      <c r="G762" s="3" t="s">
        <v>18757</v>
      </c>
      <c r="H762" s="3" t="s">
        <v>18758</v>
      </c>
      <c r="I762" s="3" t="s">
        <v>18759</v>
      </c>
      <c r="J762" s="5" t="str">
        <f>IFERROR(__xludf.DUMMYFUNCTION("GOOGLETRANSLATE(I762,""zh_HANT"",""zh_HANS"")"),"超极巨会心一击")</f>
        <v>超极巨会心一击</v>
      </c>
    </row>
    <row r="763">
      <c r="A763" s="5" t="str">
        <f t="shared" si="46"/>
        <v>NAME_MOVE_GMAXTERROR</v>
      </c>
      <c r="B763" s="3" t="s">
        <v>18760</v>
      </c>
      <c r="C763" s="3" t="s">
        <v>18761</v>
      </c>
      <c r="D763" s="3" t="s">
        <v>18762</v>
      </c>
      <c r="E763" s="3" t="s">
        <v>18763</v>
      </c>
      <c r="F763" s="3" t="s">
        <v>18764</v>
      </c>
      <c r="G763" s="3" t="s">
        <v>18765</v>
      </c>
      <c r="H763" s="3" t="s">
        <v>18766</v>
      </c>
      <c r="I763" s="3" t="s">
        <v>18767</v>
      </c>
      <c r="J763" s="5" t="str">
        <f>IFERROR(__xludf.DUMMYFUNCTION("GOOGLETRANSLATE(I763,""zh_HANT"",""zh_HANS"")"),"超极巨幻影幽魂")</f>
        <v>超极巨幻影幽魂</v>
      </c>
    </row>
    <row r="764">
      <c r="A764" s="5" t="str">
        <f t="shared" si="46"/>
        <v>NAME_MOVE_GMAXRESONANCE</v>
      </c>
      <c r="B764" s="3" t="s">
        <v>18768</v>
      </c>
      <c r="C764" s="3" t="s">
        <v>18769</v>
      </c>
      <c r="D764" s="3" t="s">
        <v>18770</v>
      </c>
      <c r="E764" s="3" t="s">
        <v>18771</v>
      </c>
      <c r="F764" s="3" t="s">
        <v>18772</v>
      </c>
      <c r="G764" s="3" t="s">
        <v>18773</v>
      </c>
      <c r="H764" s="3" t="s">
        <v>18774</v>
      </c>
      <c r="I764" s="3" t="s">
        <v>18775</v>
      </c>
      <c r="J764" s="5" t="str">
        <f>IFERROR(__xludf.DUMMYFUNCTION("GOOGLETRANSLATE(I764,""zh_HANT"",""zh_HANS"")"),"超极巨极光旋律")</f>
        <v>超极巨极光旋律</v>
      </c>
    </row>
    <row r="765">
      <c r="A765" s="5" t="str">
        <f t="shared" si="46"/>
        <v>NAME_MOVE_GMAXCUDDLE</v>
      </c>
      <c r="B765" s="3" t="s">
        <v>18776</v>
      </c>
      <c r="C765" s="3" t="s">
        <v>18777</v>
      </c>
      <c r="D765" s="3" t="s">
        <v>18778</v>
      </c>
      <c r="E765" s="3" t="s">
        <v>18779</v>
      </c>
      <c r="F765" s="3" t="s">
        <v>18780</v>
      </c>
      <c r="G765" s="3" t="s">
        <v>18781</v>
      </c>
      <c r="H765" s="3" t="s">
        <v>18782</v>
      </c>
      <c r="I765" s="3" t="s">
        <v>18783</v>
      </c>
      <c r="J765" s="5" t="str">
        <f>IFERROR(__xludf.DUMMYFUNCTION("GOOGLETRANSLATE(I765,""zh_HANT"",""zh_HANS"")"),"超极巨热情拥抱")</f>
        <v>超极巨热情拥抱</v>
      </c>
    </row>
    <row r="766">
      <c r="A766" s="5" t="str">
        <f t="shared" si="46"/>
        <v>NAME_MOVE_GMAXREPLENISH</v>
      </c>
      <c r="B766" s="3" t="s">
        <v>18784</v>
      </c>
      <c r="C766" s="3" t="s">
        <v>18785</v>
      </c>
      <c r="D766" s="3" t="s">
        <v>18786</v>
      </c>
      <c r="E766" s="3" t="s">
        <v>18787</v>
      </c>
      <c r="F766" s="3" t="s">
        <v>18788</v>
      </c>
      <c r="G766" s="3" t="s">
        <v>18789</v>
      </c>
      <c r="H766" s="3" t="s">
        <v>18790</v>
      </c>
      <c r="I766" s="3" t="s">
        <v>18791</v>
      </c>
      <c r="J766" s="5" t="str">
        <f>IFERROR(__xludf.DUMMYFUNCTION("GOOGLETRANSLATE(I766,""zh_HANT"",""zh_HANS"")"),"超极巨资源再生")</f>
        <v>超极巨资源再生</v>
      </c>
    </row>
    <row r="767">
      <c r="A767" s="5" t="str">
        <f t="shared" si="46"/>
        <v>NAME_MOVE_GMAXMALODOR</v>
      </c>
      <c r="B767" s="3" t="s">
        <v>18792</v>
      </c>
      <c r="C767" s="3" t="s">
        <v>18793</v>
      </c>
      <c r="D767" s="3" t="s">
        <v>18794</v>
      </c>
      <c r="E767" s="3" t="s">
        <v>18795</v>
      </c>
      <c r="F767" s="3" t="s">
        <v>18796</v>
      </c>
      <c r="G767" s="3" t="s">
        <v>18797</v>
      </c>
      <c r="H767" s="3" t="s">
        <v>18798</v>
      </c>
      <c r="I767" s="3" t="s">
        <v>18799</v>
      </c>
      <c r="J767" s="5" t="str">
        <f>IFERROR(__xludf.DUMMYFUNCTION("GOOGLETRANSLATE(I767,""zh_HANT"",""zh_HANS"")"),"超极巨臭气冲天")</f>
        <v>超极巨臭气冲天</v>
      </c>
    </row>
    <row r="768">
      <c r="A768" s="5" t="str">
        <f t="shared" si="46"/>
        <v>NAME_MOVE_GMAXSTONESURGE</v>
      </c>
      <c r="B768" s="3" t="s">
        <v>18800</v>
      </c>
      <c r="C768" s="3" t="s">
        <v>18801</v>
      </c>
      <c r="D768" s="3" t="s">
        <v>18802</v>
      </c>
      <c r="E768" s="3" t="s">
        <v>18803</v>
      </c>
      <c r="F768" s="3" t="s">
        <v>18804</v>
      </c>
      <c r="G768" s="3" t="s">
        <v>18805</v>
      </c>
      <c r="H768" s="3" t="s">
        <v>18806</v>
      </c>
      <c r="I768" s="3" t="s">
        <v>18807</v>
      </c>
      <c r="J768" s="5" t="str">
        <f>IFERROR(__xludf.DUMMYFUNCTION("GOOGLETRANSLATE(I768,""zh_HANT"",""zh_HANS"")"),"超极巨岩阵以待")</f>
        <v>超极巨岩阵以待</v>
      </c>
    </row>
    <row r="769">
      <c r="A769" s="5" t="str">
        <f t="shared" si="46"/>
        <v>NAME_MOVE_GMAXWINDRAGE</v>
      </c>
      <c r="B769" s="3" t="s">
        <v>18808</v>
      </c>
      <c r="C769" s="3" t="s">
        <v>18809</v>
      </c>
      <c r="D769" s="3" t="s">
        <v>18810</v>
      </c>
      <c r="E769" s="3" t="s">
        <v>18811</v>
      </c>
      <c r="F769" s="3" t="s">
        <v>18812</v>
      </c>
      <c r="G769" s="3" t="s">
        <v>18813</v>
      </c>
      <c r="H769" s="3" t="s">
        <v>18814</v>
      </c>
      <c r="I769" s="3" t="s">
        <v>18815</v>
      </c>
      <c r="J769" s="5" t="str">
        <f>IFERROR(__xludf.DUMMYFUNCTION("GOOGLETRANSLATE(I769,""zh_HANT"",""zh_HANS"")"),"超极巨旋风袭卷")</f>
        <v>超极巨旋风袭卷</v>
      </c>
    </row>
    <row r="770">
      <c r="A770" s="5" t="str">
        <f t="shared" si="46"/>
        <v>NAME_MOVE_GMAXSTUNSHOCK</v>
      </c>
      <c r="B770" s="3" t="s">
        <v>18816</v>
      </c>
      <c r="C770" s="3" t="s">
        <v>18817</v>
      </c>
      <c r="D770" s="3" t="s">
        <v>18818</v>
      </c>
      <c r="E770" s="3" t="s">
        <v>18819</v>
      </c>
      <c r="F770" s="3" t="s">
        <v>18820</v>
      </c>
      <c r="G770" s="3" t="s">
        <v>18821</v>
      </c>
      <c r="H770" s="3" t="s">
        <v>18822</v>
      </c>
      <c r="I770" s="3" t="s">
        <v>18823</v>
      </c>
      <c r="J770" s="5" t="str">
        <f>IFERROR(__xludf.DUMMYFUNCTION("GOOGLETRANSLATE(I770,""zh_HANT"",""zh_HANS"")"),"超极巨异毒电场")</f>
        <v>超极巨异毒电场</v>
      </c>
    </row>
    <row r="771">
      <c r="A771" s="5" t="str">
        <f t="shared" si="46"/>
        <v>NAME_MOVE_GMAXFINALE</v>
      </c>
      <c r="B771" s="3" t="s">
        <v>18824</v>
      </c>
      <c r="C771" s="3" t="s">
        <v>18825</v>
      </c>
      <c r="D771" s="3" t="s">
        <v>18826</v>
      </c>
      <c r="E771" s="3" t="s">
        <v>18827</v>
      </c>
      <c r="F771" s="3" t="s">
        <v>18828</v>
      </c>
      <c r="G771" s="3" t="s">
        <v>18829</v>
      </c>
      <c r="H771" s="3" t="s">
        <v>18830</v>
      </c>
      <c r="I771" s="3" t="s">
        <v>18831</v>
      </c>
      <c r="J771" s="5" t="str">
        <f>IFERROR(__xludf.DUMMYFUNCTION("GOOGLETRANSLATE(I771,""zh_HANT"",""zh_HANS"")"),"超极巨幸福圆满")</f>
        <v>超极巨幸福圆满</v>
      </c>
    </row>
    <row r="772">
      <c r="A772" s="5" t="str">
        <f t="shared" si="46"/>
        <v>NAME_MOVE_GMAXDEPLETION</v>
      </c>
      <c r="B772" s="3" t="s">
        <v>18832</v>
      </c>
      <c r="C772" s="3" t="s">
        <v>18833</v>
      </c>
      <c r="D772" s="3" t="s">
        <v>18834</v>
      </c>
      <c r="E772" s="3" t="s">
        <v>18835</v>
      </c>
      <c r="F772" s="3" t="s">
        <v>18836</v>
      </c>
      <c r="G772" s="3" t="s">
        <v>18837</v>
      </c>
      <c r="H772" s="3" t="s">
        <v>18838</v>
      </c>
      <c r="I772" s="3" t="s">
        <v>18839</v>
      </c>
      <c r="J772" s="5" t="str">
        <f>IFERROR(__xludf.DUMMYFUNCTION("GOOGLETRANSLATE(I772,""zh_HANT"",""zh_HANS"")"),"超极巨劣化衰变")</f>
        <v>超极巨劣化衰变</v>
      </c>
    </row>
    <row r="773">
      <c r="A773" s="5" t="str">
        <f t="shared" si="46"/>
        <v>NAME_MOVE_GMAXGRAVITAS</v>
      </c>
      <c r="B773" s="3" t="s">
        <v>18840</v>
      </c>
      <c r="C773" s="3" t="s">
        <v>18841</v>
      </c>
      <c r="D773" s="3" t="s">
        <v>18842</v>
      </c>
      <c r="E773" s="3" t="s">
        <v>18843</v>
      </c>
      <c r="F773" s="3" t="s">
        <v>18844</v>
      </c>
      <c r="G773" s="3" t="s">
        <v>18845</v>
      </c>
      <c r="H773" s="3" t="s">
        <v>18846</v>
      </c>
      <c r="I773" s="3" t="s">
        <v>18847</v>
      </c>
      <c r="J773" s="5" t="str">
        <f>IFERROR(__xludf.DUMMYFUNCTION("GOOGLETRANSLATE(I773,""zh_HANT"",""zh_HANS"")"),"超极巨天道七星")</f>
        <v>超极巨天道七星</v>
      </c>
    </row>
    <row r="774">
      <c r="A774" s="5" t="str">
        <f t="shared" si="46"/>
        <v>NAME_MOVE_GMAXVOLCALITH</v>
      </c>
      <c r="B774" s="3" t="s">
        <v>18848</v>
      </c>
      <c r="C774" s="3" t="s">
        <v>18849</v>
      </c>
      <c r="D774" s="3" t="s">
        <v>18850</v>
      </c>
      <c r="E774" s="3" t="s">
        <v>18851</v>
      </c>
      <c r="F774" s="3" t="s">
        <v>18852</v>
      </c>
      <c r="G774" s="3" t="s">
        <v>18853</v>
      </c>
      <c r="H774" s="3" t="s">
        <v>18854</v>
      </c>
      <c r="I774" s="3" t="s">
        <v>18855</v>
      </c>
      <c r="J774" s="5" t="str">
        <f>IFERROR(__xludf.DUMMYFUNCTION("GOOGLETRANSLATE(I774,""zh_HANT"",""zh_HANS"")"),"超极巨炎石喷发")</f>
        <v>超极巨炎石喷发</v>
      </c>
    </row>
    <row r="775">
      <c r="A775" s="5" t="str">
        <f t="shared" si="46"/>
        <v>NAME_MOVE_GMAXSANDBLAST</v>
      </c>
      <c r="B775" s="3" t="s">
        <v>18856</v>
      </c>
      <c r="C775" s="3" t="s">
        <v>18857</v>
      </c>
      <c r="D775" s="3" t="s">
        <v>18858</v>
      </c>
      <c r="E775" s="3" t="s">
        <v>18859</v>
      </c>
      <c r="F775" s="3" t="s">
        <v>18860</v>
      </c>
      <c r="G775" s="3" t="s">
        <v>18861</v>
      </c>
      <c r="H775" s="3" t="s">
        <v>18862</v>
      </c>
      <c r="I775" s="3" t="s">
        <v>18863</v>
      </c>
      <c r="J775" s="5" t="str">
        <f>IFERROR(__xludf.DUMMYFUNCTION("GOOGLETRANSLATE(I775,""zh_HANT"",""zh_HANS"")"),"超极巨沙尘漫天")</f>
        <v>超极巨沙尘漫天</v>
      </c>
    </row>
    <row r="776">
      <c r="A776" s="5" t="str">
        <f t="shared" si="46"/>
        <v>NAME_MOVE_GMAXSNOOZE</v>
      </c>
      <c r="B776" s="3" t="s">
        <v>18864</v>
      </c>
      <c r="C776" s="3" t="s">
        <v>18865</v>
      </c>
      <c r="D776" s="3" t="s">
        <v>18866</v>
      </c>
      <c r="E776" s="3" t="s">
        <v>18867</v>
      </c>
      <c r="F776" s="3" t="s">
        <v>18868</v>
      </c>
      <c r="G776" s="5" t="str">
        <f>CONCATENATE(F776,"e")</f>
        <v>Gigasopore</v>
      </c>
      <c r="H776" s="3" t="s">
        <v>18869</v>
      </c>
      <c r="I776" s="3" t="s">
        <v>18870</v>
      </c>
      <c r="J776" s="5" t="str">
        <f>IFERROR(__xludf.DUMMYFUNCTION("GOOGLETRANSLATE(I776,""zh_HANT"",""zh_HANS"")"),"超极巨睡魔降临")</f>
        <v>超极巨睡魔降临</v>
      </c>
    </row>
    <row r="777">
      <c r="A777" s="5" t="str">
        <f t="shared" si="46"/>
        <v>NAME_MOVE_GMAXTARTNESS</v>
      </c>
      <c r="B777" s="3" t="s">
        <v>18871</v>
      </c>
      <c r="C777" s="3" t="s">
        <v>18872</v>
      </c>
      <c r="D777" s="3" t="s">
        <v>18873</v>
      </c>
      <c r="E777" s="3" t="s">
        <v>18874</v>
      </c>
      <c r="F777" s="3" t="s">
        <v>18875</v>
      </c>
      <c r="G777" s="3" t="s">
        <v>18876</v>
      </c>
      <c r="H777" s="3" t="s">
        <v>18877</v>
      </c>
      <c r="I777" s="3" t="s">
        <v>18878</v>
      </c>
      <c r="J777" s="5" t="str">
        <f>IFERROR(__xludf.DUMMYFUNCTION("GOOGLETRANSLATE(I777,""zh_HANT"",""zh_HANS"")"),"超极巨酸不溜丢")</f>
        <v>超极巨酸不溜丢</v>
      </c>
    </row>
    <row r="778">
      <c r="A778" s="5" t="str">
        <f t="shared" si="46"/>
        <v>NAME_MOVE_GMAXSWEETNESS</v>
      </c>
      <c r="B778" s="3" t="s">
        <v>18879</v>
      </c>
      <c r="C778" s="3" t="s">
        <v>18880</v>
      </c>
      <c r="D778" s="3" t="s">
        <v>18881</v>
      </c>
      <c r="E778" s="3" t="s">
        <v>18882</v>
      </c>
      <c r="F778" s="3" t="s">
        <v>18883</v>
      </c>
      <c r="G778" s="3" t="s">
        <v>18884</v>
      </c>
      <c r="H778" s="3" t="s">
        <v>18885</v>
      </c>
      <c r="I778" s="3" t="s">
        <v>18886</v>
      </c>
      <c r="J778" s="5" t="str">
        <f>IFERROR(__xludf.DUMMYFUNCTION("GOOGLETRANSLATE(I778,""zh_HANT"",""zh_HANS"")"),"超极巨琼浆玉液")</f>
        <v>超极巨琼浆玉液</v>
      </c>
    </row>
    <row r="779">
      <c r="A779" s="5" t="str">
        <f t="shared" si="46"/>
        <v>NAME_MOVE_GMAXSMITE</v>
      </c>
      <c r="B779" s="3" t="s">
        <v>18887</v>
      </c>
      <c r="C779" s="3" t="s">
        <v>18888</v>
      </c>
      <c r="D779" s="3" t="s">
        <v>18889</v>
      </c>
      <c r="E779" s="3" t="s">
        <v>18890</v>
      </c>
      <c r="F779" s="3" t="s">
        <v>18891</v>
      </c>
      <c r="G779" s="5" t="str">
        <f>F779</f>
        <v>Gigacastigo</v>
      </c>
      <c r="H779" s="3" t="s">
        <v>18892</v>
      </c>
      <c r="I779" s="3" t="s">
        <v>18893</v>
      </c>
      <c r="J779" s="5" t="str">
        <f>IFERROR(__xludf.DUMMYFUNCTION("GOOGLETRANSLATE(I779,""zh_HANT"",""zh_HANS"")"),"超极巨天谴雷诛")</f>
        <v>超极巨天谴雷诛</v>
      </c>
    </row>
    <row r="780">
      <c r="A780" s="5" t="str">
        <f t="shared" si="46"/>
        <v>NAME_MOVE_GMAXSTEELSURGE</v>
      </c>
      <c r="B780" s="3" t="s">
        <v>18894</v>
      </c>
      <c r="C780" s="3" t="s">
        <v>18895</v>
      </c>
      <c r="D780" s="3" t="s">
        <v>18896</v>
      </c>
      <c r="E780" s="3" t="s">
        <v>18897</v>
      </c>
      <c r="F780" s="3" t="s">
        <v>18898</v>
      </c>
      <c r="G780" s="3" t="s">
        <v>18899</v>
      </c>
      <c r="H780" s="3" t="s">
        <v>18900</v>
      </c>
      <c r="I780" s="3" t="s">
        <v>18901</v>
      </c>
      <c r="J780" s="5" t="str">
        <f>IFERROR(__xludf.DUMMYFUNCTION("GOOGLETRANSLATE(I780,""zh_HANT"",""zh_HANS"")"),"超极巨钢铁阵法")</f>
        <v>超极巨钢铁阵法</v>
      </c>
    </row>
    <row r="781">
      <c r="A781" s="5" t="str">
        <f t="shared" si="46"/>
        <v>NAME_MOVE_GMAXMELTDOWN</v>
      </c>
      <c r="B781" s="3" t="s">
        <v>18902</v>
      </c>
      <c r="C781" s="3" t="s">
        <v>18903</v>
      </c>
      <c r="D781" s="3" t="s">
        <v>18904</v>
      </c>
      <c r="E781" s="3" t="s">
        <v>18905</v>
      </c>
      <c r="F781" s="3" t="s">
        <v>18906</v>
      </c>
      <c r="G781" s="3" t="s">
        <v>18907</v>
      </c>
      <c r="H781" s="3" t="s">
        <v>18908</v>
      </c>
      <c r="I781" s="3" t="s">
        <v>18909</v>
      </c>
      <c r="J781" s="5" t="str">
        <f>IFERROR(__xludf.DUMMYFUNCTION("GOOGLETRANSLATE(I781,""zh_HANT"",""zh_HANS"")"),"超极巨液金熔击")</f>
        <v>超极巨液金熔击</v>
      </c>
    </row>
    <row r="782">
      <c r="A782" s="5" t="str">
        <f t="shared" si="46"/>
        <v>NAME_MOVE_GMAXFOAMBURST</v>
      </c>
      <c r="B782" s="3" t="s">
        <v>18910</v>
      </c>
      <c r="C782" s="3" t="s">
        <v>18911</v>
      </c>
      <c r="D782" s="3" t="s">
        <v>18912</v>
      </c>
      <c r="E782" s="3" t="s">
        <v>18913</v>
      </c>
      <c r="F782" s="3" t="s">
        <v>18914</v>
      </c>
      <c r="G782" s="3" t="s">
        <v>18915</v>
      </c>
      <c r="H782" s="3" t="s">
        <v>18916</v>
      </c>
      <c r="I782" s="3" t="s">
        <v>18917</v>
      </c>
      <c r="J782" s="5" t="str">
        <f>IFERROR(__xludf.DUMMYFUNCTION("GOOGLETRANSLATE(I782,""zh_HANT"",""zh_HANS"")"),"超极巨激漩泡涡")</f>
        <v>超极巨激漩泡涡</v>
      </c>
    </row>
    <row r="783">
      <c r="A783" s="5" t="str">
        <f t="shared" si="46"/>
        <v>NAME_MOVE_GMAXCENTIFERNO</v>
      </c>
      <c r="B783" s="3" t="s">
        <v>18918</v>
      </c>
      <c r="C783" s="3" t="s">
        <v>18919</v>
      </c>
      <c r="D783" s="3" t="s">
        <v>18920</v>
      </c>
      <c r="E783" s="3" t="s">
        <v>18921</v>
      </c>
      <c r="F783" s="3" t="s">
        <v>18922</v>
      </c>
      <c r="G783" s="3" t="s">
        <v>18923</v>
      </c>
      <c r="H783" s="3" t="s">
        <v>18924</v>
      </c>
      <c r="I783" s="3" t="s">
        <v>18925</v>
      </c>
      <c r="J783" s="5" t="str">
        <f>IFERROR(__xludf.DUMMYFUNCTION("GOOGLETRANSLATE(I783,""zh_HANT"",""zh_HANS"")"),"超极巨百火焚野")</f>
        <v>超极巨百火焚野</v>
      </c>
    </row>
    <row r="784">
      <c r="A784" s="5" t="str">
        <f t="shared" si="46"/>
        <v>NAME_MOVE_CLANGOROUSSOUL</v>
      </c>
      <c r="B784" s="3" t="s">
        <v>18926</v>
      </c>
      <c r="C784" s="3" t="s">
        <v>18927</v>
      </c>
      <c r="D784" s="3" t="s">
        <v>18928</v>
      </c>
      <c r="E784" s="3" t="s">
        <v>18929</v>
      </c>
      <c r="F784" s="3" t="s">
        <v>18930</v>
      </c>
      <c r="G784" s="3" t="s">
        <v>18931</v>
      </c>
      <c r="H784" s="3" t="s">
        <v>18932</v>
      </c>
      <c r="I784" s="3" t="s">
        <v>18933</v>
      </c>
      <c r="J784" s="5" t="str">
        <f>I784</f>
        <v>魂舞烈音爆</v>
      </c>
    </row>
    <row r="785">
      <c r="A785" s="5" t="str">
        <f t="shared" si="46"/>
        <v>NAME_MOVE_BODYPRESS</v>
      </c>
      <c r="B785" s="3" t="s">
        <v>18934</v>
      </c>
      <c r="C785" s="3" t="s">
        <v>18935</v>
      </c>
      <c r="D785" s="3" t="s">
        <v>18936</v>
      </c>
      <c r="E785" s="5" t="str">
        <f>B785</f>
        <v>Body Press</v>
      </c>
      <c r="F785" s="3" t="s">
        <v>18937</v>
      </c>
      <c r="G785" s="3" t="s">
        <v>18938</v>
      </c>
      <c r="H785" s="3" t="s">
        <v>18939</v>
      </c>
      <c r="I785" s="3" t="s">
        <v>18940</v>
      </c>
      <c r="J785" s="5" t="str">
        <f>IFERROR(__xludf.DUMMYFUNCTION("GOOGLETRANSLATE(I785,""zh_HANT"",""zh_HANS"")"),"扑击")</f>
        <v>扑击</v>
      </c>
    </row>
    <row r="786">
      <c r="A786" s="5" t="str">
        <f t="shared" si="46"/>
        <v>NAME_MOVE_DECORATE</v>
      </c>
      <c r="B786" s="3" t="s">
        <v>18941</v>
      </c>
      <c r="C786" s="3" t="s">
        <v>18942</v>
      </c>
      <c r="D786" s="3" t="s">
        <v>18943</v>
      </c>
      <c r="E786" s="3" t="s">
        <v>18944</v>
      </c>
      <c r="F786" s="3" t="s">
        <v>18945</v>
      </c>
      <c r="G786" s="3" t="s">
        <v>18946</v>
      </c>
      <c r="H786" s="3" t="s">
        <v>18947</v>
      </c>
      <c r="I786" s="3" t="s">
        <v>18948</v>
      </c>
      <c r="J786" s="5" t="str">
        <f>IFERROR(__xludf.DUMMYFUNCTION("GOOGLETRANSLATE(I786,""zh_HANT"",""zh_HANS"")"),"装饰")</f>
        <v>装饰</v>
      </c>
    </row>
    <row r="787">
      <c r="A787" s="5" t="str">
        <f t="shared" si="46"/>
        <v>NAME_MOVE_DRUMBEATING</v>
      </c>
      <c r="B787" s="3" t="s">
        <v>18949</v>
      </c>
      <c r="C787" s="3" t="s">
        <v>18950</v>
      </c>
      <c r="D787" s="3" t="s">
        <v>18951</v>
      </c>
      <c r="E787" s="3" t="s">
        <v>18952</v>
      </c>
      <c r="F787" s="3" t="s">
        <v>18953</v>
      </c>
      <c r="G787" s="3" t="s">
        <v>18954</v>
      </c>
      <c r="H787" s="3" t="s">
        <v>18955</v>
      </c>
      <c r="I787" s="3" t="s">
        <v>18956</v>
      </c>
      <c r="J787" s="5" t="str">
        <f>IFERROR(__xludf.DUMMYFUNCTION("GOOGLETRANSLATE(I787,""zh_HANT"",""zh_HANS"")"),"鼓击")</f>
        <v>鼓击</v>
      </c>
    </row>
    <row r="788">
      <c r="A788" s="5" t="str">
        <f t="shared" si="46"/>
        <v>NAME_MOVE_SNAPTRAP</v>
      </c>
      <c r="B788" s="3" t="s">
        <v>18957</v>
      </c>
      <c r="C788" s="3" t="s">
        <v>18958</v>
      </c>
      <c r="D788" s="3" t="s">
        <v>18959</v>
      </c>
      <c r="E788" s="3" t="s">
        <v>18960</v>
      </c>
      <c r="F788" s="3" t="s">
        <v>18961</v>
      </c>
      <c r="G788" s="3" t="s">
        <v>18962</v>
      </c>
      <c r="H788" s="3" t="s">
        <v>18963</v>
      </c>
      <c r="I788" s="3" t="s">
        <v>18964</v>
      </c>
      <c r="J788" s="5" t="str">
        <f>IFERROR(__xludf.DUMMYFUNCTION("GOOGLETRANSLATE(I788,""zh_HANT"",""zh_HANS"")"),"捕兽夹")</f>
        <v>捕兽夹</v>
      </c>
    </row>
    <row r="789">
      <c r="A789" s="5" t="str">
        <f t="shared" si="46"/>
        <v>NAME_MOVE_PYROBALL</v>
      </c>
      <c r="B789" s="3" t="s">
        <v>18965</v>
      </c>
      <c r="C789" s="3" t="s">
        <v>18966</v>
      </c>
      <c r="D789" s="3" t="s">
        <v>18967</v>
      </c>
      <c r="E789" s="3" t="s">
        <v>18968</v>
      </c>
      <c r="F789" s="3" t="s">
        <v>18969</v>
      </c>
      <c r="G789" s="3" t="s">
        <v>18970</v>
      </c>
      <c r="H789" s="3" t="s">
        <v>18971</v>
      </c>
      <c r="I789" s="3" t="s">
        <v>18972</v>
      </c>
      <c r="J789" s="5" t="str">
        <f>I789</f>
        <v>火焰球</v>
      </c>
    </row>
    <row r="790">
      <c r="A790" s="5" t="str">
        <f t="shared" si="46"/>
        <v>NAME_MOVE_BEHEMOTHBLADE</v>
      </c>
      <c r="B790" s="3" t="s">
        <v>18973</v>
      </c>
      <c r="C790" s="3" t="s">
        <v>18974</v>
      </c>
      <c r="D790" s="3" t="s">
        <v>18975</v>
      </c>
      <c r="E790" s="3" t="s">
        <v>18976</v>
      </c>
      <c r="F790" s="3" t="s">
        <v>18977</v>
      </c>
      <c r="G790" s="3" t="s">
        <v>18978</v>
      </c>
      <c r="H790" s="3" t="s">
        <v>18979</v>
      </c>
      <c r="I790" s="3" t="s">
        <v>18980</v>
      </c>
      <c r="J790" s="5" t="str">
        <f>IFERROR(__xludf.DUMMYFUNCTION("GOOGLETRANSLATE(I790,""zh_HANT"",""zh_HANS"")"),"巨兽斩")</f>
        <v>巨兽斩</v>
      </c>
    </row>
    <row r="791">
      <c r="A791" s="5" t="str">
        <f t="shared" si="46"/>
        <v>NAME_MOVE_BEHEMOTHBASH</v>
      </c>
      <c r="B791" s="3" t="s">
        <v>18981</v>
      </c>
      <c r="C791" s="3" t="s">
        <v>18982</v>
      </c>
      <c r="D791" s="3" t="s">
        <v>18983</v>
      </c>
      <c r="E791" s="3" t="s">
        <v>18984</v>
      </c>
      <c r="F791" s="3" t="s">
        <v>18985</v>
      </c>
      <c r="G791" s="3" t="s">
        <v>18986</v>
      </c>
      <c r="H791" s="3" t="s">
        <v>18987</v>
      </c>
      <c r="I791" s="3" t="s">
        <v>18988</v>
      </c>
      <c r="J791" s="5" t="str">
        <f>IFERROR(__xludf.DUMMYFUNCTION("GOOGLETRANSLATE(I791,""zh_HANT"",""zh_HANS"")"),"巨兽弹")</f>
        <v>巨兽弹</v>
      </c>
    </row>
    <row r="792">
      <c r="A792" s="5" t="str">
        <f t="shared" si="46"/>
        <v>NAME_MOVE_AURAWHEEL</v>
      </c>
      <c r="B792" s="3" t="s">
        <v>18989</v>
      </c>
      <c r="C792" s="3" t="s">
        <v>18990</v>
      </c>
      <c r="D792" s="3" t="s">
        <v>18991</v>
      </c>
      <c r="E792" s="3" t="s">
        <v>18992</v>
      </c>
      <c r="F792" s="3" t="s">
        <v>18993</v>
      </c>
      <c r="G792" s="3" t="s">
        <v>18994</v>
      </c>
      <c r="H792" s="3" t="s">
        <v>18995</v>
      </c>
      <c r="I792" s="5" t="str">
        <f>IFERROR(__xludf.DUMMYFUNCTION("GOOGLETRANSLATE(J792,""zh_HANS"",""zh_HANT"")"),"氣場輪")</f>
        <v>氣場輪</v>
      </c>
      <c r="J792" s="3" t="s">
        <v>18996</v>
      </c>
    </row>
    <row r="793">
      <c r="A793" s="5" t="str">
        <f t="shared" si="46"/>
        <v>NAME_MOVE_BREAKINGSWIPE</v>
      </c>
      <c r="B793" s="3" t="s">
        <v>18997</v>
      </c>
      <c r="C793" s="3" t="s">
        <v>18998</v>
      </c>
      <c r="D793" s="3" t="s">
        <v>18999</v>
      </c>
      <c r="E793" s="3" t="s">
        <v>19000</v>
      </c>
      <c r="F793" s="3" t="s">
        <v>19001</v>
      </c>
      <c r="G793" s="3" t="s">
        <v>19002</v>
      </c>
      <c r="H793" s="3" t="s">
        <v>19003</v>
      </c>
      <c r="I793" s="5" t="str">
        <f>IFERROR(__xludf.DUMMYFUNCTION("GOOGLETRANSLATE(J793,""zh_HANS"",""zh_HANT"")"),"廣域破壞")</f>
        <v>廣域破壞</v>
      </c>
      <c r="J793" s="3" t="s">
        <v>19004</v>
      </c>
    </row>
    <row r="794">
      <c r="A794" s="5" t="str">
        <f t="shared" si="46"/>
        <v>NAME_MOVE_BRANCHPOKE</v>
      </c>
      <c r="B794" s="3" t="s">
        <v>19005</v>
      </c>
      <c r="C794" s="3" t="s">
        <v>19006</v>
      </c>
      <c r="D794" s="3" t="s">
        <v>19007</v>
      </c>
      <c r="E794" s="3" t="s">
        <v>19008</v>
      </c>
      <c r="F794" s="3" t="s">
        <v>19009</v>
      </c>
      <c r="G794" s="3" t="s">
        <v>19010</v>
      </c>
      <c r="H794" s="3" t="s">
        <v>19011</v>
      </c>
      <c r="I794" s="5" t="str">
        <f>IFERROR(__xludf.DUMMYFUNCTION("GOOGLETRANSLATE(J794,""zh_HANS"",""zh_HANT"")"),"木枝突刺")</f>
        <v>木枝突刺</v>
      </c>
      <c r="J794" s="3" t="s">
        <v>19012</v>
      </c>
    </row>
    <row r="795">
      <c r="A795" s="5" t="str">
        <f t="shared" si="46"/>
        <v>NAME_MOVE_OVERDRIVE</v>
      </c>
      <c r="B795" s="3" t="s">
        <v>19013</v>
      </c>
      <c r="C795" s="3" t="s">
        <v>19014</v>
      </c>
      <c r="D795" s="5" t="str">
        <f>B795</f>
        <v>Overdrive</v>
      </c>
      <c r="E795" s="5" t="str">
        <f>B795</f>
        <v>Overdrive</v>
      </c>
      <c r="F795" s="3" t="s">
        <v>19015</v>
      </c>
      <c r="G795" s="5" t="str">
        <f>B795</f>
        <v>Overdrive</v>
      </c>
      <c r="H795" s="3" t="s">
        <v>19016</v>
      </c>
      <c r="I795" s="5" t="str">
        <f>IFERROR(__xludf.DUMMYFUNCTION("GOOGLETRANSLATE(J795,""zh_HANS"",""zh_HANT"")"),"破音")</f>
        <v>破音</v>
      </c>
      <c r="J795" s="3" t="s">
        <v>19017</v>
      </c>
    </row>
    <row r="796">
      <c r="A796" s="5" t="str">
        <f t="shared" si="46"/>
        <v>NAME_MOVE_APPLEACID</v>
      </c>
      <c r="B796" s="3" t="s">
        <v>19018</v>
      </c>
      <c r="C796" s="3" t="s">
        <v>19019</v>
      </c>
      <c r="D796" s="3" t="s">
        <v>19020</v>
      </c>
      <c r="E796" s="3" t="s">
        <v>19021</v>
      </c>
      <c r="F796" s="3" t="s">
        <v>19022</v>
      </c>
      <c r="G796" s="3" t="s">
        <v>19023</v>
      </c>
      <c r="H796" s="3" t="s">
        <v>19024</v>
      </c>
      <c r="I796" s="5" t="str">
        <f>IFERROR(__xludf.DUMMYFUNCTION("GOOGLETRANSLATE(J796,""zh_HANS"",""zh_HANT"")"),"蘋果酸")</f>
        <v>蘋果酸</v>
      </c>
      <c r="J796" s="3" t="s">
        <v>19025</v>
      </c>
    </row>
    <row r="797">
      <c r="A797" s="5" t="str">
        <f t="shared" si="46"/>
        <v>NAME_MOVE_GRAVAPPLE</v>
      </c>
      <c r="B797" s="3" t="s">
        <v>19026</v>
      </c>
      <c r="C797" s="3" t="s">
        <v>19027</v>
      </c>
      <c r="D797" s="3" t="s">
        <v>19028</v>
      </c>
      <c r="E797" s="3" t="s">
        <v>19029</v>
      </c>
      <c r="F797" s="3" t="s">
        <v>19030</v>
      </c>
      <c r="G797" s="3" t="s">
        <v>19031</v>
      </c>
      <c r="H797" s="3" t="s">
        <v>19032</v>
      </c>
      <c r="I797" s="5" t="str">
        <f>IFERROR(__xludf.DUMMYFUNCTION("GOOGLETRANSLATE(J797,""zh_HANS"",""zh_HANT"")"),"萬有引力")</f>
        <v>萬有引力</v>
      </c>
      <c r="J797" s="3" t="s">
        <v>19033</v>
      </c>
    </row>
    <row r="798">
      <c r="A798" s="5" t="str">
        <f t="shared" si="46"/>
        <v>NAME_MOVE_SPIRITBREAK</v>
      </c>
      <c r="B798" s="3" t="s">
        <v>19034</v>
      </c>
      <c r="C798" s="3" t="s">
        <v>19035</v>
      </c>
      <c r="D798" s="3" t="s">
        <v>19036</v>
      </c>
      <c r="E798" s="3" t="s">
        <v>19037</v>
      </c>
      <c r="F798" s="3" t="s">
        <v>19038</v>
      </c>
      <c r="G798" s="3" t="s">
        <v>19039</v>
      </c>
      <c r="H798" s="3" t="s">
        <v>19040</v>
      </c>
      <c r="I798" s="5" t="str">
        <f>IFERROR(__xludf.DUMMYFUNCTION("GOOGLETRANSLATE(J798,""zh_HANS"",""zh_HANT"")"),"靈魂衝擊")</f>
        <v>靈魂衝擊</v>
      </c>
      <c r="J798" s="3" t="s">
        <v>19041</v>
      </c>
    </row>
    <row r="799">
      <c r="A799" s="5" t="str">
        <f t="shared" si="46"/>
        <v>NAME_MOVE_STRANGESTEAM</v>
      </c>
      <c r="B799" s="3" t="s">
        <v>19042</v>
      </c>
      <c r="C799" s="3" t="s">
        <v>19043</v>
      </c>
      <c r="D799" s="3" t="s">
        <v>19044</v>
      </c>
      <c r="E799" s="3" t="s">
        <v>19045</v>
      </c>
      <c r="F799" s="3" t="s">
        <v>19046</v>
      </c>
      <c r="G799" s="3" t="s">
        <v>19047</v>
      </c>
      <c r="H799" s="3" t="s">
        <v>19048</v>
      </c>
      <c r="I799" s="5" t="str">
        <f>IFERROR(__xludf.DUMMYFUNCTION("GOOGLETRANSLATE(J799,""zh_HANS"",""zh_HANT"")"),"神奇蒸汽")</f>
        <v>神奇蒸汽</v>
      </c>
      <c r="J799" s="3" t="s">
        <v>19049</v>
      </c>
    </row>
    <row r="800">
      <c r="A800" s="5" t="str">
        <f t="shared" si="46"/>
        <v>NAME_MOVE_LIFEDEW</v>
      </c>
      <c r="B800" s="3" t="s">
        <v>19050</v>
      </c>
      <c r="C800" s="3" t="s">
        <v>19051</v>
      </c>
      <c r="D800" s="3" t="s">
        <v>19052</v>
      </c>
      <c r="E800" s="3" t="s">
        <v>19053</v>
      </c>
      <c r="F800" s="3" t="s">
        <v>19054</v>
      </c>
      <c r="G800" s="3" t="s">
        <v>19055</v>
      </c>
      <c r="H800" s="7" t="s">
        <v>19056</v>
      </c>
      <c r="I800" s="6" t="s">
        <v>19057</v>
      </c>
      <c r="J800" s="5" t="str">
        <f>I800</f>
        <v>生命水滴</v>
      </c>
    </row>
    <row r="801">
      <c r="A801" s="5" t="str">
        <f t="shared" si="46"/>
        <v>NAME_MOVE_OBSTRUCT</v>
      </c>
      <c r="B801" s="3" t="s">
        <v>19058</v>
      </c>
      <c r="C801" s="3" t="s">
        <v>19059</v>
      </c>
      <c r="D801" s="3" t="s">
        <v>19060</v>
      </c>
      <c r="E801" s="3" t="s">
        <v>19061</v>
      </c>
      <c r="F801" s="3" t="s">
        <v>19062</v>
      </c>
      <c r="G801" s="3" t="s">
        <v>19063</v>
      </c>
      <c r="H801" s="3" t="s">
        <v>19064</v>
      </c>
      <c r="I801" s="3" t="s">
        <v>19065</v>
      </c>
      <c r="J801" s="5" t="str">
        <f>IFERROR(__xludf.DUMMYFUNCTION("GOOGLETRANSLATE(I801,""zh_HANT"",""zh_HANS"")"),"拦堵")</f>
        <v>拦堵</v>
      </c>
    </row>
    <row r="802">
      <c r="A802" s="5" t="str">
        <f t="shared" si="46"/>
        <v>NAME_MOVE_FALSESURRENDER</v>
      </c>
      <c r="B802" s="3" t="s">
        <v>19066</v>
      </c>
      <c r="C802" s="3" t="s">
        <v>19067</v>
      </c>
      <c r="D802" s="3" t="s">
        <v>19068</v>
      </c>
      <c r="E802" s="3" t="s">
        <v>19069</v>
      </c>
      <c r="F802" s="3" t="s">
        <v>19070</v>
      </c>
      <c r="G802" s="3" t="s">
        <v>19071</v>
      </c>
      <c r="H802" s="3" t="s">
        <v>19072</v>
      </c>
      <c r="I802" s="3" t="s">
        <v>19073</v>
      </c>
      <c r="J802" s="5" t="str">
        <f>I802</f>
        <v>假跪真撞</v>
      </c>
    </row>
    <row r="803">
      <c r="A803" s="5" t="str">
        <f t="shared" si="46"/>
        <v>NAME_MOVE_METEORASSAULT</v>
      </c>
      <c r="B803" s="3" t="s">
        <v>19074</v>
      </c>
      <c r="C803" s="3" t="s">
        <v>19075</v>
      </c>
      <c r="D803" s="3" t="s">
        <v>19076</v>
      </c>
      <c r="E803" s="3" t="s">
        <v>19077</v>
      </c>
      <c r="F803" s="3" t="s">
        <v>19078</v>
      </c>
      <c r="G803" s="3" t="s">
        <v>19079</v>
      </c>
      <c r="H803" s="3" t="s">
        <v>19080</v>
      </c>
      <c r="I803" s="3" t="s">
        <v>19081</v>
      </c>
      <c r="J803" s="5" t="str">
        <f>IFERROR(__xludf.DUMMYFUNCTION("GOOGLETRANSLATE(I803,""zh_HANT"",""zh_HANS"")"),"流星突击")</f>
        <v>流星突击</v>
      </c>
    </row>
    <row r="804">
      <c r="A804" s="5" t="str">
        <f t="shared" si="46"/>
        <v>NAME_MOVE_ETERNABEAM</v>
      </c>
      <c r="B804" s="3" t="s">
        <v>19082</v>
      </c>
      <c r="C804" s="3" t="s">
        <v>19083</v>
      </c>
      <c r="D804" s="3" t="s">
        <v>19084</v>
      </c>
      <c r="E804" s="3" t="s">
        <v>19085</v>
      </c>
      <c r="F804" s="3" t="s">
        <v>19086</v>
      </c>
      <c r="G804" s="3" t="s">
        <v>19087</v>
      </c>
      <c r="H804" s="3" t="s">
        <v>19088</v>
      </c>
      <c r="I804" s="3" t="s">
        <v>19089</v>
      </c>
      <c r="J804" s="5" t="str">
        <f>IFERROR(__xludf.DUMMYFUNCTION("GOOGLETRANSLATE(I804,""zh_HANT"",""zh_HANS"")"),"无极光束")</f>
        <v>无极光束</v>
      </c>
    </row>
    <row r="805">
      <c r="A805" s="5" t="str">
        <f t="shared" si="46"/>
        <v>NAME_MOVE_STEELBEAM</v>
      </c>
      <c r="B805" s="3" t="s">
        <v>19090</v>
      </c>
      <c r="C805" s="3" t="s">
        <v>19091</v>
      </c>
      <c r="D805" s="3" t="s">
        <v>19092</v>
      </c>
      <c r="E805" s="3" t="s">
        <v>19093</v>
      </c>
      <c r="F805" s="3" t="s">
        <v>19094</v>
      </c>
      <c r="G805" s="3" t="s">
        <v>19095</v>
      </c>
      <c r="H805" s="3" t="s">
        <v>19096</v>
      </c>
      <c r="I805" s="3" t="s">
        <v>19097</v>
      </c>
      <c r="J805" s="5" t="str">
        <f>IFERROR(__xludf.DUMMYFUNCTION("GOOGLETRANSLATE(I805,""zh_HANT"",""zh_HANS"")"),"铁蹄光线")</f>
        <v>铁蹄光线</v>
      </c>
    </row>
    <row r="806">
      <c r="A806" s="5" t="str">
        <f t="shared" si="46"/>
        <v>NAME_MOVE_GMAXVINELASH</v>
      </c>
      <c r="B806" s="3" t="s">
        <v>19098</v>
      </c>
      <c r="C806" s="3" t="s">
        <v>19099</v>
      </c>
      <c r="D806" s="3" t="s">
        <v>19100</v>
      </c>
      <c r="E806" s="3" t="s">
        <v>19101</v>
      </c>
      <c r="F806" s="3" t="s">
        <v>19102</v>
      </c>
      <c r="G806" s="3" t="s">
        <v>19103</v>
      </c>
      <c r="H806" s="3" t="s">
        <v>19104</v>
      </c>
      <c r="I806" s="3" t="s">
        <v>19105</v>
      </c>
      <c r="J806" s="5" t="str">
        <f>IFERROR(__xludf.DUMMYFUNCTION("GOOGLETRANSLATE(I806,""zh_HANT"",""zh_HANS"")"),"超极巨灰飞鞭灭")</f>
        <v>超极巨灰飞鞭灭</v>
      </c>
    </row>
    <row r="807">
      <c r="A807" s="5" t="str">
        <f t="shared" si="46"/>
        <v>NAME_MOVE_GMAXCANNONADE</v>
      </c>
      <c r="B807" s="3" t="s">
        <v>19106</v>
      </c>
      <c r="C807" s="3" t="s">
        <v>19107</v>
      </c>
      <c r="D807" s="3" t="s">
        <v>19108</v>
      </c>
      <c r="E807" s="3" t="s">
        <v>19109</v>
      </c>
      <c r="F807" s="3" t="s">
        <v>19110</v>
      </c>
      <c r="G807" s="3" t="s">
        <v>19111</v>
      </c>
      <c r="H807" s="3" t="s">
        <v>19112</v>
      </c>
      <c r="I807" s="3" t="s">
        <v>19113</v>
      </c>
      <c r="J807" s="5" t="str">
        <f>IFERROR(__xludf.DUMMYFUNCTION("GOOGLETRANSLATE(I807,""zh_HANT"",""zh_HANS"")"),"超极巨水炮轰灭")</f>
        <v>超极巨水炮轰灭</v>
      </c>
    </row>
    <row r="808">
      <c r="A808" s="5" t="str">
        <f t="shared" si="46"/>
        <v>NAME_MOVE_GMAXDRUMSOLO</v>
      </c>
      <c r="B808" s="3" t="s">
        <v>19114</v>
      </c>
      <c r="C808" s="3" t="s">
        <v>19115</v>
      </c>
      <c r="D808" s="3" t="s">
        <v>19116</v>
      </c>
      <c r="E808" s="3" t="s">
        <v>19117</v>
      </c>
      <c r="F808" s="3" t="s">
        <v>19118</v>
      </c>
      <c r="G808" s="3" t="s">
        <v>19118</v>
      </c>
      <c r="H808" s="3" t="s">
        <v>19119</v>
      </c>
      <c r="I808" s="3" t="s">
        <v>19120</v>
      </c>
      <c r="J808" s="5" t="str">
        <f>IFERROR(__xludf.DUMMYFUNCTION("GOOGLETRANSLATE(I808,""zh_HANT"",""zh_HANS"")"),"超极巨狂擂乱打")</f>
        <v>超极巨狂擂乱打</v>
      </c>
    </row>
    <row r="809">
      <c r="A809" s="5" t="str">
        <f t="shared" si="46"/>
        <v>NAME_MOVE_GMAXFIREBALL</v>
      </c>
      <c r="B809" s="3" t="s">
        <v>19121</v>
      </c>
      <c r="C809" s="3" t="s">
        <v>19122</v>
      </c>
      <c r="D809" s="3" t="s">
        <v>19123</v>
      </c>
      <c r="E809" s="3" t="s">
        <v>19124</v>
      </c>
      <c r="F809" s="3" t="s">
        <v>19125</v>
      </c>
      <c r="G809" s="3" t="s">
        <v>19125</v>
      </c>
      <c r="H809" s="3" t="s">
        <v>19126</v>
      </c>
      <c r="I809" s="3" t="s">
        <v>19127</v>
      </c>
      <c r="J809" s="5" t="str">
        <f>IFERROR(__xludf.DUMMYFUNCTION("GOOGLETRANSLATE(I809,""zh_HANT"",""zh_HANS"")"),"超极巨破阵火球")</f>
        <v>超极巨破阵火球</v>
      </c>
    </row>
    <row r="810">
      <c r="A810" s="5" t="str">
        <f t="shared" si="46"/>
        <v>NAME_MOVE_GMAXHYDROSNIPE</v>
      </c>
      <c r="B810" s="3" t="s">
        <v>19128</v>
      </c>
      <c r="C810" s="3" t="s">
        <v>19129</v>
      </c>
      <c r="D810" s="3" t="s">
        <v>19130</v>
      </c>
      <c r="E810" s="3" t="s">
        <v>19131</v>
      </c>
      <c r="F810" s="3" t="s">
        <v>19132</v>
      </c>
      <c r="G810" s="3" t="s">
        <v>19132</v>
      </c>
      <c r="H810" s="3" t="s">
        <v>19133</v>
      </c>
      <c r="I810" s="3" t="s">
        <v>19134</v>
      </c>
      <c r="J810" s="5" t="str">
        <f>IFERROR(__xludf.DUMMYFUNCTION("GOOGLETRANSLATE(I810,""zh_HANT"",""zh_HANS"")"),"超极巨狙击神射")</f>
        <v>超极巨狙击神射</v>
      </c>
    </row>
    <row r="811">
      <c r="A811" s="5" t="str">
        <f t="shared" si="46"/>
        <v>NAME_MOVE_GMAXONEBLOW</v>
      </c>
      <c r="B811" s="3" t="s">
        <v>19135</v>
      </c>
      <c r="C811" s="3" t="s">
        <v>19136</v>
      </c>
      <c r="D811" s="3" t="s">
        <v>19137</v>
      </c>
      <c r="E811" s="3" t="s">
        <v>19138</v>
      </c>
      <c r="F811" s="3" t="s">
        <v>19139</v>
      </c>
      <c r="G811" s="3" t="s">
        <v>19140</v>
      </c>
      <c r="H811" s="3" t="s">
        <v>19141</v>
      </c>
      <c r="I811" s="3" t="s">
        <v>19142</v>
      </c>
      <c r="J811" s="5" t="str">
        <f>IFERROR(__xludf.DUMMYFUNCTION("GOOGLETRANSLATE(I811,""zh_HANT"",""zh_HANS"")"),"超极巨夺命一击")</f>
        <v>超极巨夺命一击</v>
      </c>
    </row>
    <row r="812">
      <c r="A812" s="5" t="str">
        <f t="shared" si="46"/>
        <v>NAME_MOVE_GMAXRAPIDFLOW</v>
      </c>
      <c r="B812" s="3" t="s">
        <v>19143</v>
      </c>
      <c r="C812" s="3" t="s">
        <v>19144</v>
      </c>
      <c r="D812" s="3" t="s">
        <v>19145</v>
      </c>
      <c r="E812" s="3" t="s">
        <v>19146</v>
      </c>
      <c r="F812" s="3" t="s">
        <v>19147</v>
      </c>
      <c r="G812" s="3" t="s">
        <v>19148</v>
      </c>
      <c r="H812" s="3" t="s">
        <v>19149</v>
      </c>
      <c r="I812" s="3" t="s">
        <v>19150</v>
      </c>
      <c r="J812" s="5" t="str">
        <f>IFERROR(__xludf.DUMMYFUNCTION("GOOGLETRANSLATE(I812,""zh_HANT"",""zh_HANS"")"),"超极巨流水连击")</f>
        <v>超极巨流水连击</v>
      </c>
    </row>
    <row r="813">
      <c r="A813" s="5" t="str">
        <f t="shared" si="46"/>
        <v>NAME_MOVE_EXPANDINGFORCE</v>
      </c>
      <c r="B813" s="3" t="s">
        <v>19151</v>
      </c>
      <c r="C813" s="3" t="s">
        <v>19152</v>
      </c>
      <c r="D813" s="3" t="s">
        <v>19153</v>
      </c>
      <c r="E813" s="3" t="s">
        <v>19154</v>
      </c>
      <c r="F813" s="3" t="s">
        <v>19155</v>
      </c>
      <c r="G813" s="3" t="s">
        <v>19156</v>
      </c>
      <c r="H813" s="3" t="s">
        <v>19157</v>
      </c>
      <c r="I813" s="3" t="s">
        <v>19158</v>
      </c>
      <c r="J813" s="5" t="str">
        <f>IFERROR(__xludf.DUMMYFUNCTION("GOOGLETRANSLATE(I813,""zh_HANT"",""zh_HANS"")"),"广域战力")</f>
        <v>广域战力</v>
      </c>
    </row>
    <row r="814">
      <c r="A814" s="5" t="str">
        <f t="shared" si="46"/>
        <v>NAME_MOVE_STEELROLLER</v>
      </c>
      <c r="B814" s="3" t="s">
        <v>19159</v>
      </c>
      <c r="C814" s="3" t="s">
        <v>19160</v>
      </c>
      <c r="D814" s="3" t="s">
        <v>19161</v>
      </c>
      <c r="E814" s="3" t="s">
        <v>19162</v>
      </c>
      <c r="F814" s="3" t="s">
        <v>19163</v>
      </c>
      <c r="G814" s="3" t="s">
        <v>19164</v>
      </c>
      <c r="H814" s="3" t="s">
        <v>19165</v>
      </c>
      <c r="I814" s="3" t="s">
        <v>19166</v>
      </c>
      <c r="J814" s="5" t="str">
        <f>IFERROR(__xludf.DUMMYFUNCTION("GOOGLETRANSLATE(I814,""zh_HANT"",""zh_HANS"")"),"铁滚轮")</f>
        <v>铁滚轮</v>
      </c>
    </row>
    <row r="815">
      <c r="A815" s="5" t="str">
        <f t="shared" si="46"/>
        <v>NAME_MOVE_SCALESHOT</v>
      </c>
      <c r="B815" s="3" t="s">
        <v>19167</v>
      </c>
      <c r="C815" s="3" t="s">
        <v>19168</v>
      </c>
      <c r="D815" s="3" t="s">
        <v>19169</v>
      </c>
      <c r="E815" s="3" t="s">
        <v>19170</v>
      </c>
      <c r="F815" s="3" t="s">
        <v>19171</v>
      </c>
      <c r="G815" s="3" t="s">
        <v>19172</v>
      </c>
      <c r="H815" s="3" t="s">
        <v>19173</v>
      </c>
      <c r="I815" s="3" t="s">
        <v>19174</v>
      </c>
      <c r="J815" s="5" t="str">
        <f>IFERROR(__xludf.DUMMYFUNCTION("GOOGLETRANSLATE(I815,""zh_HANT"",""zh_HANS"")"),"鳞射")</f>
        <v>鳞射</v>
      </c>
    </row>
    <row r="816">
      <c r="A816" s="5" t="str">
        <f t="shared" si="46"/>
        <v>NAME_MOVE_METEORBEAM</v>
      </c>
      <c r="B816" s="3" t="s">
        <v>19175</v>
      </c>
      <c r="C816" s="3" t="s">
        <v>19176</v>
      </c>
      <c r="D816" s="3" t="s">
        <v>19177</v>
      </c>
      <c r="E816" s="3" t="s">
        <v>19178</v>
      </c>
      <c r="F816" s="3" t="s">
        <v>19179</v>
      </c>
      <c r="G816" s="3" t="s">
        <v>19180</v>
      </c>
      <c r="H816" s="3" t="s">
        <v>19181</v>
      </c>
      <c r="I816" s="3" t="s">
        <v>19182</v>
      </c>
      <c r="J816" s="5" t="str">
        <f>I816</f>
        <v>流星光束</v>
      </c>
    </row>
    <row r="817">
      <c r="A817" s="5" t="str">
        <f t="shared" si="46"/>
        <v>NAME_MOVE_SHELLSIDEARM</v>
      </c>
      <c r="B817" s="3" t="s">
        <v>19183</v>
      </c>
      <c r="C817" s="3" t="s">
        <v>19184</v>
      </c>
      <c r="D817" s="3" t="s">
        <v>19185</v>
      </c>
      <c r="E817" s="3" t="s">
        <v>19186</v>
      </c>
      <c r="F817" s="3" t="s">
        <v>19187</v>
      </c>
      <c r="G817" s="3" t="s">
        <v>19188</v>
      </c>
      <c r="H817" s="3" t="s">
        <v>19189</v>
      </c>
      <c r="I817" s="3" t="s">
        <v>19190</v>
      </c>
      <c r="J817" s="5" t="str">
        <f>IFERROR(__xludf.DUMMYFUNCTION("GOOGLETRANSLATE(I817,""zh_HANT"",""zh_HANS"")"),"臂贝武器")</f>
        <v>臂贝武器</v>
      </c>
    </row>
    <row r="818">
      <c r="A818" s="5" t="str">
        <f t="shared" si="46"/>
        <v>NAME_MOVE_MISTYEXPLOSION</v>
      </c>
      <c r="B818" s="3" t="s">
        <v>19191</v>
      </c>
      <c r="C818" s="3" t="s">
        <v>19192</v>
      </c>
      <c r="D818" s="3" t="s">
        <v>19193</v>
      </c>
      <c r="E818" s="3" t="s">
        <v>19194</v>
      </c>
      <c r="F818" s="3" t="s">
        <v>19195</v>
      </c>
      <c r="G818" s="3" t="s">
        <v>19196</v>
      </c>
      <c r="H818" s="3" t="s">
        <v>19197</v>
      </c>
      <c r="I818" s="3" t="s">
        <v>19198</v>
      </c>
      <c r="J818" s="5" t="str">
        <f>IFERROR(__xludf.DUMMYFUNCTION("GOOGLETRANSLATE(I818,""zh_HANT"",""zh_HANS"")"),"薄雾炸裂")</f>
        <v>薄雾炸裂</v>
      </c>
    </row>
    <row r="819">
      <c r="A819" s="5" t="str">
        <f t="shared" si="46"/>
        <v>NAME_MOVE_GRASSYGLIDE</v>
      </c>
      <c r="B819" s="3" t="s">
        <v>19199</v>
      </c>
      <c r="C819" s="3" t="s">
        <v>19200</v>
      </c>
      <c r="D819" s="3" t="s">
        <v>19201</v>
      </c>
      <c r="E819" s="3" t="s">
        <v>19202</v>
      </c>
      <c r="F819" s="3" t="s">
        <v>19203</v>
      </c>
      <c r="G819" s="3" t="s">
        <v>19204</v>
      </c>
      <c r="H819" s="3" t="s">
        <v>19205</v>
      </c>
      <c r="I819" s="3" t="s">
        <v>19206</v>
      </c>
      <c r="J819" s="5" t="str">
        <f>I819</f>
        <v>青草滑梯</v>
      </c>
    </row>
    <row r="820">
      <c r="A820" s="5" t="str">
        <f t="shared" si="46"/>
        <v>NAME_MOVE_RISINGVOLTAGE</v>
      </c>
      <c r="B820" s="3" t="s">
        <v>19207</v>
      </c>
      <c r="C820" s="3" t="s">
        <v>19208</v>
      </c>
      <c r="D820" s="3" t="s">
        <v>19209</v>
      </c>
      <c r="E820" s="3" t="s">
        <v>10165</v>
      </c>
      <c r="F820" s="3" t="s">
        <v>19210</v>
      </c>
      <c r="G820" s="3" t="s">
        <v>19211</v>
      </c>
      <c r="H820" s="3" t="s">
        <v>19212</v>
      </c>
      <c r="I820" s="3" t="s">
        <v>19213</v>
      </c>
      <c r="J820" s="5" t="str">
        <f>IFERROR(__xludf.DUMMYFUNCTION("GOOGLETRANSLATE(I820,""zh_HANT"",""zh_HANS"")"),"电力上升")</f>
        <v>电力上升</v>
      </c>
    </row>
    <row r="821">
      <c r="A821" s="5" t="str">
        <f t="shared" si="46"/>
        <v>NAME_MOVE_TERRAINPULSE</v>
      </c>
      <c r="B821" s="3" t="s">
        <v>19214</v>
      </c>
      <c r="C821" s="3" t="s">
        <v>19215</v>
      </c>
      <c r="D821" s="3" t="s">
        <v>19216</v>
      </c>
      <c r="E821" s="3" t="s">
        <v>19217</v>
      </c>
      <c r="F821" s="3" t="s">
        <v>19218</v>
      </c>
      <c r="G821" s="3" t="s">
        <v>19219</v>
      </c>
      <c r="H821" s="3" t="s">
        <v>19220</v>
      </c>
      <c r="I821" s="3" t="s">
        <v>19221</v>
      </c>
      <c r="J821" s="5" t="str">
        <f>IFERROR(__xludf.DUMMYFUNCTION("GOOGLETRANSLATE(I821,""zh_HANT"",""zh_HANS"")"),"大地波动")</f>
        <v>大地波动</v>
      </c>
    </row>
    <row r="822">
      <c r="A822" s="5" t="str">
        <f t="shared" si="46"/>
        <v>NAME_MOVE_SKITTERSMACK</v>
      </c>
      <c r="B822" s="3" t="s">
        <v>19222</v>
      </c>
      <c r="C822" s="3" t="s">
        <v>19223</v>
      </c>
      <c r="D822" s="3" t="s">
        <v>19224</v>
      </c>
      <c r="E822" s="3" t="s">
        <v>19225</v>
      </c>
      <c r="F822" s="3" t="s">
        <v>19226</v>
      </c>
      <c r="G822" s="3" t="s">
        <v>19227</v>
      </c>
      <c r="H822" s="3" t="s">
        <v>19228</v>
      </c>
      <c r="I822" s="3" t="s">
        <v>19229</v>
      </c>
      <c r="J822" s="5" t="str">
        <f>IFERROR(__xludf.DUMMYFUNCTION("GOOGLETRANSLATE(I822,""zh_HANT"",""zh_HANS"")"),"爬击")</f>
        <v>爬击</v>
      </c>
    </row>
    <row r="823">
      <c r="A823" s="5" t="str">
        <f t="shared" si="46"/>
        <v>NAME_MOVE_BURNINGJEALOUSY</v>
      </c>
      <c r="B823" s="3" t="s">
        <v>19230</v>
      </c>
      <c r="C823" s="3" t="s">
        <v>19231</v>
      </c>
      <c r="D823" s="3" t="s">
        <v>19232</v>
      </c>
      <c r="E823" s="3" t="s">
        <v>19233</v>
      </c>
      <c r="F823" s="3" t="s">
        <v>19234</v>
      </c>
      <c r="G823" s="3" t="s">
        <v>19235</v>
      </c>
      <c r="H823" s="3" t="s">
        <v>19236</v>
      </c>
      <c r="I823" s="3" t="s">
        <v>19237</v>
      </c>
      <c r="J823" s="5" t="str">
        <f>I823</f>
        <v>妒火</v>
      </c>
    </row>
    <row r="824">
      <c r="A824" s="5" t="str">
        <f t="shared" si="46"/>
        <v>NAME_MOVE_LASHOUT</v>
      </c>
      <c r="B824" s="3" t="s">
        <v>19238</v>
      </c>
      <c r="C824" s="3" t="s">
        <v>19239</v>
      </c>
      <c r="D824" s="3" t="s">
        <v>19240</v>
      </c>
      <c r="E824" s="3" t="s">
        <v>19241</v>
      </c>
      <c r="F824" s="3" t="s">
        <v>19242</v>
      </c>
      <c r="G824" s="3" t="s">
        <v>19243</v>
      </c>
      <c r="H824" s="3" t="s">
        <v>19244</v>
      </c>
      <c r="I824" s="3" t="s">
        <v>19245</v>
      </c>
      <c r="J824" s="5" t="str">
        <f>IFERROR(__xludf.DUMMYFUNCTION("GOOGLETRANSLATE(I824,""zh_HANT"",""zh_HANS"")"),"泄愤")</f>
        <v>泄愤</v>
      </c>
    </row>
    <row r="825">
      <c r="A825" s="5" t="str">
        <f t="shared" si="46"/>
        <v>NAME_MOVE_POLTERGEIST</v>
      </c>
      <c r="B825" s="3" t="s">
        <v>19246</v>
      </c>
      <c r="C825" s="3" t="s">
        <v>19247</v>
      </c>
      <c r="D825" s="3" t="s">
        <v>19248</v>
      </c>
      <c r="E825" s="5" t="str">
        <f>B825</f>
        <v>Poltergeist</v>
      </c>
      <c r="F825" s="5" t="str">
        <f>B825</f>
        <v>Poltergeist</v>
      </c>
      <c r="G825" s="5" t="str">
        <f>B825</f>
        <v>Poltergeist</v>
      </c>
      <c r="H825" s="3" t="s">
        <v>19249</v>
      </c>
      <c r="I825" s="3" t="s">
        <v>19250</v>
      </c>
      <c r="J825" s="5" t="str">
        <f>IFERROR(__xludf.DUMMYFUNCTION("GOOGLETRANSLATE(I825,""zh_HANT"",""zh_HANS"")"),"灵骚")</f>
        <v>灵骚</v>
      </c>
    </row>
    <row r="826">
      <c r="A826" s="5" t="str">
        <f t="shared" si="46"/>
        <v>NAME_MOVE_CORROSIVEGAS</v>
      </c>
      <c r="B826" s="3" t="s">
        <v>19251</v>
      </c>
      <c r="C826" s="3" t="s">
        <v>19252</v>
      </c>
      <c r="D826" s="3" t="s">
        <v>19253</v>
      </c>
      <c r="E826" s="3" t="s">
        <v>19254</v>
      </c>
      <c r="F826" s="3" t="s">
        <v>19255</v>
      </c>
      <c r="G826" s="5" t="str">
        <f>F826</f>
        <v>Gas Corrosivo</v>
      </c>
      <c r="H826" s="3" t="s">
        <v>19256</v>
      </c>
      <c r="I826" s="3" t="s">
        <v>19257</v>
      </c>
      <c r="J826" s="5" t="str">
        <f>IFERROR(__xludf.DUMMYFUNCTION("GOOGLETRANSLATE(I826,""zh_HANT"",""zh_HANS"")"),"腐蚀气体")</f>
        <v>腐蚀气体</v>
      </c>
    </row>
    <row r="827">
      <c r="A827" s="5" t="str">
        <f t="shared" si="46"/>
        <v>NAME_MOVE_COACHING</v>
      </c>
      <c r="B827" s="3" t="s">
        <v>19258</v>
      </c>
      <c r="C827" s="3" t="s">
        <v>19259</v>
      </c>
      <c r="D827" s="5" t="str">
        <f>B827</f>
        <v>Coaching</v>
      </c>
      <c r="E827" s="5" t="str">
        <f>B827</f>
        <v>Coaching</v>
      </c>
      <c r="F827" s="3" t="s">
        <v>19260</v>
      </c>
      <c r="G827" s="5" t="str">
        <f>B827</f>
        <v>Coaching</v>
      </c>
      <c r="H827" s="3" t="s">
        <v>19261</v>
      </c>
      <c r="I827" s="3" t="s">
        <v>19262</v>
      </c>
      <c r="J827" s="5" t="str">
        <f>IFERROR(__xludf.DUMMYFUNCTION("GOOGLETRANSLATE(I827,""zh_HANT"",""zh_HANS"")"),"指导")</f>
        <v>指导</v>
      </c>
    </row>
    <row r="828">
      <c r="A828" s="5" t="str">
        <f t="shared" si="46"/>
        <v>NAME_MOVE_FLIPTURN</v>
      </c>
      <c r="B828" s="3" t="s">
        <v>19263</v>
      </c>
      <c r="C828" s="3" t="s">
        <v>19264</v>
      </c>
      <c r="D828" s="3" t="s">
        <v>19265</v>
      </c>
      <c r="E828" s="3" t="s">
        <v>19266</v>
      </c>
      <c r="F828" s="3" t="s">
        <v>19267</v>
      </c>
      <c r="G828" s="3" t="s">
        <v>19268</v>
      </c>
      <c r="H828" s="3" t="s">
        <v>19269</v>
      </c>
      <c r="I828" s="3" t="s">
        <v>19270</v>
      </c>
      <c r="J828" s="5" t="str">
        <f>I828</f>
        <v>快速折返</v>
      </c>
    </row>
    <row r="829">
      <c r="A829" s="5" t="str">
        <f t="shared" si="46"/>
        <v>NAME_MOVE_TRIPLEAXEL</v>
      </c>
      <c r="B829" s="3" t="s">
        <v>19271</v>
      </c>
      <c r="C829" s="3" t="s">
        <v>19272</v>
      </c>
      <c r="D829" s="5" t="str">
        <f>B829</f>
        <v>Triple Axel</v>
      </c>
      <c r="E829" s="3" t="s">
        <v>19273</v>
      </c>
      <c r="F829" s="5" t="str">
        <f>B829</f>
        <v>Triple Axel</v>
      </c>
      <c r="G829" s="3" t="s">
        <v>19274</v>
      </c>
      <c r="H829" s="3" t="s">
        <v>19275</v>
      </c>
      <c r="I829" s="3" t="s">
        <v>19276</v>
      </c>
      <c r="J829" s="5" t="str">
        <f>IFERROR(__xludf.DUMMYFUNCTION("GOOGLETRANSLATE(I829,""zh_HANT"",""zh_HANS"")"),"三旋击")</f>
        <v>三旋击</v>
      </c>
    </row>
    <row r="830">
      <c r="A830" s="5" t="str">
        <f t="shared" si="46"/>
        <v>NAME_MOVE_DUALWINGBEAT</v>
      </c>
      <c r="B830" s="3" t="s">
        <v>19277</v>
      </c>
      <c r="C830" s="3" t="s">
        <v>19278</v>
      </c>
      <c r="D830" s="3" t="s">
        <v>19279</v>
      </c>
      <c r="E830" s="3" t="s">
        <v>19280</v>
      </c>
      <c r="F830" s="3" t="s">
        <v>19281</v>
      </c>
      <c r="G830" s="3" t="s">
        <v>19282</v>
      </c>
      <c r="H830" s="3" t="s">
        <v>19283</v>
      </c>
      <c r="I830" s="3" t="s">
        <v>19284</v>
      </c>
      <c r="J830" s="5" t="str">
        <f>IFERROR(__xludf.DUMMYFUNCTION("GOOGLETRANSLATE(I830,""zh_HANT"",""zh_HANS"")"),"双翼")</f>
        <v>双翼</v>
      </c>
    </row>
    <row r="831">
      <c r="A831" s="5" t="str">
        <f t="shared" si="46"/>
        <v>NAME_MOVE_SCORCHINGSANDS</v>
      </c>
      <c r="B831" s="3" t="s">
        <v>19285</v>
      </c>
      <c r="C831" s="3" t="s">
        <v>19286</v>
      </c>
      <c r="D831" s="3" t="s">
        <v>19287</v>
      </c>
      <c r="E831" s="3" t="s">
        <v>19288</v>
      </c>
      <c r="F831" s="3" t="s">
        <v>19289</v>
      </c>
      <c r="G831" s="3" t="s">
        <v>19290</v>
      </c>
      <c r="H831" s="3" t="s">
        <v>19291</v>
      </c>
      <c r="I831" s="3" t="s">
        <v>19292</v>
      </c>
      <c r="J831" s="5" t="str">
        <f>IFERROR(__xludf.DUMMYFUNCTION("GOOGLETRANSLATE(I831,""zh_HANT"",""zh_HANS"")"),"热沙大地")</f>
        <v>热沙大地</v>
      </c>
    </row>
    <row r="832">
      <c r="A832" s="5" t="str">
        <f t="shared" si="46"/>
        <v>NAME_MOVE_JUNGLEHEALING</v>
      </c>
      <c r="B832" s="3" t="s">
        <v>19293</v>
      </c>
      <c r="C832" s="3" t="s">
        <v>19294</v>
      </c>
      <c r="D832" s="3" t="s">
        <v>19295</v>
      </c>
      <c r="E832" s="3" t="s">
        <v>19296</v>
      </c>
      <c r="F832" s="3" t="s">
        <v>19297</v>
      </c>
      <c r="G832" s="3" t="s">
        <v>19298</v>
      </c>
      <c r="H832" s="3" t="s">
        <v>19299</v>
      </c>
      <c r="I832" s="3" t="s">
        <v>19300</v>
      </c>
      <c r="J832" s="5" t="str">
        <f>IFERROR(__xludf.DUMMYFUNCTION("GOOGLETRANSLATE(I832,""zh_HANT"",""zh_HANS"")"),"丛林治疗")</f>
        <v>丛林治疗</v>
      </c>
    </row>
    <row r="833">
      <c r="A833" s="5" t="str">
        <f t="shared" si="46"/>
        <v>NAME_MOVE_WICKEDBLOW</v>
      </c>
      <c r="B833" s="3" t="s">
        <v>19301</v>
      </c>
      <c r="C833" s="3" t="s">
        <v>19302</v>
      </c>
      <c r="D833" s="3" t="s">
        <v>19303</v>
      </c>
      <c r="E833" s="3" t="s">
        <v>19304</v>
      </c>
      <c r="F833" s="3" t="s">
        <v>19305</v>
      </c>
      <c r="G833" s="3" t="s">
        <v>19306</v>
      </c>
      <c r="H833" s="3" t="s">
        <v>19307</v>
      </c>
      <c r="I833" s="3" t="s">
        <v>19308</v>
      </c>
      <c r="J833" s="5" t="str">
        <f>IFERROR(__xludf.DUMMYFUNCTION("GOOGLETRANSLATE(I833,""zh_HANT"",""zh_HANS"")"),"暗冥强击")</f>
        <v>暗冥强击</v>
      </c>
    </row>
    <row r="834">
      <c r="A834" s="5" t="str">
        <f t="shared" si="46"/>
        <v>NAME_MOVE_SURGINGSTRIKES</v>
      </c>
      <c r="B834" s="3" t="s">
        <v>19309</v>
      </c>
      <c r="C834" s="3" t="s">
        <v>19310</v>
      </c>
      <c r="D834" s="3" t="s">
        <v>19311</v>
      </c>
      <c r="E834" s="3" t="s">
        <v>19312</v>
      </c>
      <c r="F834" s="3" t="s">
        <v>19313</v>
      </c>
      <c r="G834" s="3" t="s">
        <v>19314</v>
      </c>
      <c r="H834" s="3" t="s">
        <v>19315</v>
      </c>
      <c r="I834" s="3" t="s">
        <v>19316</v>
      </c>
      <c r="J834" s="5" t="str">
        <f>IFERROR(__xludf.DUMMYFUNCTION("GOOGLETRANSLATE(I834,""zh_HANT"",""zh_HANS"")"),"水流连打")</f>
        <v>水流连打</v>
      </c>
    </row>
    <row r="835">
      <c r="A835" s="5" t="str">
        <f t="shared" si="46"/>
        <v>NAME_MOVE_THUNDERCAGE</v>
      </c>
      <c r="B835" s="3" t="s">
        <v>19317</v>
      </c>
      <c r="C835" s="3" t="s">
        <v>19318</v>
      </c>
      <c r="D835" s="3" t="s">
        <v>19319</v>
      </c>
      <c r="E835" s="3" t="s">
        <v>19320</v>
      </c>
      <c r="F835" s="3" t="s">
        <v>19321</v>
      </c>
      <c r="G835" s="3" t="s">
        <v>19322</v>
      </c>
      <c r="H835" s="3" t="s">
        <v>19323</v>
      </c>
      <c r="I835" s="3" t="s">
        <v>19324</v>
      </c>
      <c r="J835" s="5" t="str">
        <f>IFERROR(__xludf.DUMMYFUNCTION("GOOGLETRANSLATE(I835,""zh_HANT"",""zh_HANS"")"),"雷电囚笼")</f>
        <v>雷电囚笼</v>
      </c>
    </row>
    <row r="836">
      <c r="A836" s="5" t="str">
        <f t="shared" si="46"/>
        <v>NAME_MOVE_DRAGONENERGY</v>
      </c>
      <c r="B836" s="3" t="s">
        <v>19325</v>
      </c>
      <c r="C836" s="3" t="s">
        <v>19326</v>
      </c>
      <c r="D836" s="3" t="s">
        <v>19327</v>
      </c>
      <c r="E836" s="3" t="s">
        <v>19328</v>
      </c>
      <c r="F836" s="3" t="s">
        <v>19329</v>
      </c>
      <c r="G836" s="3" t="s">
        <v>19330</v>
      </c>
      <c r="H836" s="3" t="s">
        <v>19331</v>
      </c>
      <c r="I836" s="3" t="s">
        <v>19332</v>
      </c>
      <c r="J836" s="5" t="str">
        <f>IFERROR(__xludf.DUMMYFUNCTION("GOOGLETRANSLATE(I836,""zh_HANT"",""zh_HANS"")"),"巨龙威能")</f>
        <v>巨龙威能</v>
      </c>
    </row>
    <row r="837">
      <c r="A837" s="5" t="str">
        <f t="shared" si="46"/>
        <v>NAME_MOVE_FREEZINGGLARE</v>
      </c>
      <c r="B837" s="3" t="s">
        <v>19333</v>
      </c>
      <c r="C837" s="3" t="s">
        <v>19334</v>
      </c>
      <c r="D837" s="3" t="s">
        <v>19335</v>
      </c>
      <c r="E837" s="3" t="s">
        <v>19336</v>
      </c>
      <c r="F837" s="3" t="s">
        <v>19337</v>
      </c>
      <c r="G837" s="3" t="s">
        <v>19338</v>
      </c>
      <c r="H837" s="3" t="s">
        <v>19339</v>
      </c>
      <c r="I837" s="3" t="s">
        <v>19340</v>
      </c>
      <c r="J837" s="5" t="str">
        <f>IFERROR(__xludf.DUMMYFUNCTION("GOOGLETRANSLATE(I837,""zh_HANT"",""zh_HANS"")"),"冰冷视线")</f>
        <v>冰冷视线</v>
      </c>
    </row>
    <row r="838">
      <c r="A838" s="5" t="str">
        <f t="shared" si="46"/>
        <v>NAME_MOVE_FIERYWRATH</v>
      </c>
      <c r="B838" s="3" t="s">
        <v>19341</v>
      </c>
      <c r="C838" s="3" t="s">
        <v>19342</v>
      </c>
      <c r="D838" s="3" t="s">
        <v>19343</v>
      </c>
      <c r="E838" s="3" t="s">
        <v>19344</v>
      </c>
      <c r="F838" s="3" t="s">
        <v>19345</v>
      </c>
      <c r="G838" s="3" t="s">
        <v>19346</v>
      </c>
      <c r="H838" s="3" t="s">
        <v>19347</v>
      </c>
      <c r="I838" s="3" t="s">
        <v>19348</v>
      </c>
      <c r="J838" s="5" t="str">
        <f>IFERROR(__xludf.DUMMYFUNCTION("GOOGLETRANSLATE(I838,""zh_HANT"",""zh_HANS"")"),"怒火中烧")</f>
        <v>怒火中烧</v>
      </c>
    </row>
    <row r="839">
      <c r="A839" s="5" t="str">
        <f t="shared" si="46"/>
        <v>NAME_MOVE_THUNDEROUSKICK</v>
      </c>
      <c r="B839" s="3" t="s">
        <v>19349</v>
      </c>
      <c r="C839" s="3" t="s">
        <v>19350</v>
      </c>
      <c r="D839" s="3" t="s">
        <v>19351</v>
      </c>
      <c r="E839" s="3" t="s">
        <v>19352</v>
      </c>
      <c r="F839" s="3" t="s">
        <v>19353</v>
      </c>
      <c r="G839" s="3" t="s">
        <v>19354</v>
      </c>
      <c r="H839" s="3" t="s">
        <v>19355</v>
      </c>
      <c r="I839" s="3" t="s">
        <v>19356</v>
      </c>
      <c r="J839" s="5" t="str">
        <f>IFERROR(__xludf.DUMMYFUNCTION("GOOGLETRANSLATE(I839,""zh_HANT"",""zh_HANS"")"),"雷鸣蹴击")</f>
        <v>雷鸣蹴击</v>
      </c>
    </row>
    <row r="840">
      <c r="A840" s="5" t="str">
        <f t="shared" si="46"/>
        <v>NAME_MOVE_GLACIALLANCE</v>
      </c>
      <c r="B840" s="3" t="s">
        <v>19357</v>
      </c>
      <c r="C840" s="3" t="s">
        <v>19358</v>
      </c>
      <c r="D840" s="3" t="s">
        <v>19359</v>
      </c>
      <c r="E840" s="3" t="s">
        <v>19360</v>
      </c>
      <c r="F840" s="3" t="s">
        <v>19361</v>
      </c>
      <c r="G840" s="3" t="s">
        <v>19362</v>
      </c>
      <c r="H840" s="3" t="s">
        <v>19363</v>
      </c>
      <c r="I840" s="3" t="s">
        <v>19364</v>
      </c>
      <c r="J840" s="5" t="str">
        <f t="shared" ref="J840:J841" si="47">I840</f>
        <v>雪矛</v>
      </c>
    </row>
    <row r="841">
      <c r="A841" s="5" t="str">
        <f t="shared" si="46"/>
        <v>NAME_MOVE_ASTRALBARRAGE</v>
      </c>
      <c r="B841" s="3" t="s">
        <v>19365</v>
      </c>
      <c r="C841" s="3" t="s">
        <v>19366</v>
      </c>
      <c r="D841" s="3" t="s">
        <v>19367</v>
      </c>
      <c r="E841" s="3" t="s">
        <v>19368</v>
      </c>
      <c r="F841" s="3" t="s">
        <v>19369</v>
      </c>
      <c r="G841" s="3" t="s">
        <v>19370</v>
      </c>
      <c r="H841" s="3" t="s">
        <v>19371</v>
      </c>
      <c r="I841" s="3" t="s">
        <v>19372</v>
      </c>
      <c r="J841" s="5" t="str">
        <f t="shared" si="47"/>
        <v>星碎</v>
      </c>
    </row>
    <row r="842">
      <c r="A842" s="5" t="str">
        <f t="shared" si="46"/>
        <v>NAME_MOVE_EERIESPELL</v>
      </c>
      <c r="B842" s="3" t="s">
        <v>19373</v>
      </c>
      <c r="C842" s="3" t="s">
        <v>19374</v>
      </c>
      <c r="D842" s="3" t="s">
        <v>19375</v>
      </c>
      <c r="E842" s="3" t="s">
        <v>19376</v>
      </c>
      <c r="F842" s="3" t="s">
        <v>19377</v>
      </c>
      <c r="G842" s="3" t="s">
        <v>19378</v>
      </c>
      <c r="H842" s="6" t="s">
        <v>19379</v>
      </c>
      <c r="I842" s="6" t="s">
        <v>19380</v>
      </c>
      <c r="J842" s="5" t="str">
        <f>IFERROR(__xludf.DUMMYFUNCTION("GOOGLETRANSLATE(I842,""zh_HANT"",""zh_HANS"")"),"诡异咒语")</f>
        <v>诡异咒语</v>
      </c>
    </row>
    <row r="843">
      <c r="A843" s="5" t="str">
        <f t="shared" si="46"/>
        <v>NAME_MOVE_DIRECLAW</v>
      </c>
      <c r="B843" s="3" t="s">
        <v>19381</v>
      </c>
      <c r="C843" s="3" t="s">
        <v>19382</v>
      </c>
      <c r="D843" s="3" t="s">
        <v>19383</v>
      </c>
      <c r="E843" s="3" t="s">
        <v>19384</v>
      </c>
      <c r="F843" s="3" t="s">
        <v>19385</v>
      </c>
      <c r="G843" s="3" t="s">
        <v>19386</v>
      </c>
      <c r="H843" s="6" t="s">
        <v>19387</v>
      </c>
      <c r="I843" s="6" t="s">
        <v>19388</v>
      </c>
      <c r="J843" s="5" t="str">
        <f>IFERROR(__xludf.DUMMYFUNCTION("GOOGLETRANSLATE(I843,""zh_HANT"",""zh_HANS"")"),"克命爪")</f>
        <v>克命爪</v>
      </c>
    </row>
    <row r="844">
      <c r="A844" s="5" t="str">
        <f t="shared" si="46"/>
        <v>NAME_MOVE_PSYSHIELDSMASH</v>
      </c>
      <c r="B844" s="3" t="s">
        <v>19389</v>
      </c>
      <c r="C844" s="3" t="s">
        <v>19390</v>
      </c>
      <c r="D844" s="3" t="s">
        <v>19391</v>
      </c>
      <c r="E844" s="3" t="s">
        <v>19392</v>
      </c>
      <c r="F844" s="3" t="s">
        <v>19393</v>
      </c>
      <c r="G844" s="3" t="s">
        <v>19394</v>
      </c>
      <c r="H844" s="6" t="s">
        <v>19395</v>
      </c>
      <c r="I844" s="6" t="s">
        <v>19396</v>
      </c>
      <c r="J844" s="5" t="str">
        <f>I844</f>
        <v>屏障猛攻</v>
      </c>
    </row>
    <row r="845">
      <c r="A845" s="5" t="str">
        <f t="shared" si="46"/>
        <v>NAME_MOVE_POWERSHIFT</v>
      </c>
      <c r="B845" s="3" t="s">
        <v>19397</v>
      </c>
      <c r="C845" s="3" t="s">
        <v>19398</v>
      </c>
      <c r="D845" s="3" t="s">
        <v>19399</v>
      </c>
      <c r="E845" s="3" t="s">
        <v>19400</v>
      </c>
      <c r="F845" s="3" t="s">
        <v>19401</v>
      </c>
      <c r="G845" s="3" t="s">
        <v>19402</v>
      </c>
      <c r="H845" s="6" t="s">
        <v>19403</v>
      </c>
      <c r="I845" s="6" t="s">
        <v>19404</v>
      </c>
      <c r="J845" s="5" t="str">
        <f>IFERROR(__xludf.DUMMYFUNCTION("GOOGLETRANSLATE(I845,""zh_HANT"",""zh_HANS"")"),"力量转换")</f>
        <v>力量转换</v>
      </c>
    </row>
    <row r="846">
      <c r="A846" s="5" t="str">
        <f t="shared" si="46"/>
        <v>NAME_MOVE_STONEAXE</v>
      </c>
      <c r="B846" s="3" t="s">
        <v>19405</v>
      </c>
      <c r="C846" s="3" t="s">
        <v>19406</v>
      </c>
      <c r="D846" s="3" t="s">
        <v>19407</v>
      </c>
      <c r="E846" s="3" t="s">
        <v>19408</v>
      </c>
      <c r="F846" s="3" t="s">
        <v>19409</v>
      </c>
      <c r="G846" s="3" t="s">
        <v>19410</v>
      </c>
      <c r="H846" s="6" t="s">
        <v>19411</v>
      </c>
      <c r="I846" s="6" t="s">
        <v>19412</v>
      </c>
      <c r="J846" s="5" t="str">
        <f>I846</f>
        <v>岩斧</v>
      </c>
    </row>
    <row r="847">
      <c r="A847" s="5" t="str">
        <f t="shared" si="46"/>
        <v>NAME_MOVE_SPRINGTIDESTORM</v>
      </c>
      <c r="B847" s="3" t="s">
        <v>19413</v>
      </c>
      <c r="C847" s="3" t="s">
        <v>19414</v>
      </c>
      <c r="D847" s="3" t="s">
        <v>19415</v>
      </c>
      <c r="E847" s="3" t="s">
        <v>19416</v>
      </c>
      <c r="F847" s="3" t="s">
        <v>19417</v>
      </c>
      <c r="G847" s="3" t="s">
        <v>19418</v>
      </c>
      <c r="H847" s="6" t="s">
        <v>19419</v>
      </c>
      <c r="I847" s="6" t="s">
        <v>19420</v>
      </c>
      <c r="J847" s="5" t="str">
        <f>IFERROR(__xludf.DUMMYFUNCTION("GOOGLETRANSLATE(I847,""zh_HANT"",""zh_HANS"")"),"阳春风暴")</f>
        <v>阳春风暴</v>
      </c>
    </row>
    <row r="848">
      <c r="A848" s="5" t="str">
        <f t="shared" si="46"/>
        <v>NAME_MOVE_MYSTICALPOWER</v>
      </c>
      <c r="B848" s="3" t="s">
        <v>19421</v>
      </c>
      <c r="C848" s="3" t="s">
        <v>19422</v>
      </c>
      <c r="D848" s="3" t="s">
        <v>19423</v>
      </c>
      <c r="E848" s="3" t="s">
        <v>19424</v>
      </c>
      <c r="F848" s="3" t="s">
        <v>19425</v>
      </c>
      <c r="G848" s="3" t="s">
        <v>19426</v>
      </c>
      <c r="H848" s="3" t="s">
        <v>19427</v>
      </c>
      <c r="I848" s="3" t="s">
        <v>19428</v>
      </c>
      <c r="J848" s="5" t="str">
        <f>I848</f>
        <v>神秘之力</v>
      </c>
    </row>
    <row r="849">
      <c r="A849" s="5" t="str">
        <f t="shared" si="46"/>
        <v>NAME_MOVE_RAGINGFURY</v>
      </c>
      <c r="B849" s="3" t="s">
        <v>19429</v>
      </c>
      <c r="C849" s="3" t="s">
        <v>19430</v>
      </c>
      <c r="D849" s="3" t="s">
        <v>19431</v>
      </c>
      <c r="E849" s="3" t="s">
        <v>19432</v>
      </c>
      <c r="F849" s="3" t="s">
        <v>19433</v>
      </c>
      <c r="G849" s="3" t="s">
        <v>19434</v>
      </c>
      <c r="H849" s="6" t="s">
        <v>19435</v>
      </c>
      <c r="I849" s="6" t="s">
        <v>19436</v>
      </c>
      <c r="J849" s="5" t="str">
        <f>IFERROR(__xludf.DUMMYFUNCTION("GOOGLETRANSLATE(I849,""zh_HANT"",""zh_HANS"")"),"大愤慨")</f>
        <v>大愤慨</v>
      </c>
    </row>
    <row r="850">
      <c r="A850" s="5" t="str">
        <f t="shared" si="46"/>
        <v>NAME_MOVE_WAVECRASH</v>
      </c>
      <c r="B850" s="3" t="s">
        <v>19437</v>
      </c>
      <c r="C850" s="3" t="s">
        <v>19438</v>
      </c>
      <c r="D850" s="3" t="s">
        <v>19439</v>
      </c>
      <c r="E850" s="3" t="s">
        <v>19440</v>
      </c>
      <c r="F850" s="3" t="s">
        <v>19441</v>
      </c>
      <c r="G850" s="3" t="s">
        <v>19442</v>
      </c>
      <c r="H850" s="6" t="s">
        <v>19443</v>
      </c>
      <c r="I850" s="6" t="s">
        <v>19444</v>
      </c>
      <c r="J850" s="5" t="str">
        <f>IFERROR(__xludf.DUMMYFUNCTION("GOOGLETRANSLATE(I850,""zh_HANT"",""zh_HANS"")"),"波动冲")</f>
        <v>波动冲</v>
      </c>
    </row>
    <row r="851">
      <c r="A851" s="5" t="str">
        <f t="shared" si="46"/>
        <v>NAME_MOVE_CHLOROBLAST</v>
      </c>
      <c r="B851" s="3" t="s">
        <v>19445</v>
      </c>
      <c r="C851" s="3" t="s">
        <v>19446</v>
      </c>
      <c r="D851" s="3" t="s">
        <v>19447</v>
      </c>
      <c r="E851" s="3" t="s">
        <v>19448</v>
      </c>
      <c r="F851" s="3" t="s">
        <v>19449</v>
      </c>
      <c r="G851" s="3" t="s">
        <v>19450</v>
      </c>
      <c r="H851" s="3" t="s">
        <v>19451</v>
      </c>
      <c r="I851" s="5" t="str">
        <f>IFERROR(__xludf.DUMMYFUNCTION("GOOGLETRANSLATE(J851,""zh_HANS"",""zh_HANT"")"),"葉綠爆震")</f>
        <v>葉綠爆震</v>
      </c>
      <c r="J851" s="3" t="s">
        <v>19452</v>
      </c>
    </row>
    <row r="852">
      <c r="A852" s="5" t="str">
        <f t="shared" si="46"/>
        <v>NAME_MOVE_MOUNTAINGALE</v>
      </c>
      <c r="B852" s="3" t="s">
        <v>19453</v>
      </c>
      <c r="C852" s="3" t="s">
        <v>19454</v>
      </c>
      <c r="D852" s="3" t="s">
        <v>19455</v>
      </c>
      <c r="E852" s="3" t="s">
        <v>19456</v>
      </c>
      <c r="F852" s="3" t="s">
        <v>19457</v>
      </c>
      <c r="G852" s="3" t="s">
        <v>19458</v>
      </c>
      <c r="H852" s="3" t="s">
        <v>19459</v>
      </c>
      <c r="I852" s="5" t="str">
        <f>IFERROR(__xludf.DUMMYFUNCTION("GOOGLETRANSLATE(J852,""zh_HANS"",""zh_HANT"")"),"冰山風")</f>
        <v>冰山風</v>
      </c>
      <c r="J852" s="3" t="s">
        <v>19460</v>
      </c>
    </row>
    <row r="853">
      <c r="A853" s="5" t="str">
        <f t="shared" si="46"/>
        <v>NAME_MOVE_VICTORYDANCE</v>
      </c>
      <c r="B853" s="3" t="s">
        <v>19461</v>
      </c>
      <c r="C853" s="3" t="s">
        <v>19462</v>
      </c>
      <c r="D853" s="3" t="s">
        <v>19463</v>
      </c>
      <c r="E853" s="3" t="s">
        <v>19464</v>
      </c>
      <c r="F853" s="3" t="s">
        <v>19465</v>
      </c>
      <c r="G853" s="3" t="s">
        <v>19466</v>
      </c>
      <c r="H853" s="6" t="s">
        <v>19467</v>
      </c>
      <c r="I853" s="6" t="s">
        <v>19468</v>
      </c>
      <c r="J853" s="5" t="str">
        <f>IFERROR(__xludf.DUMMYFUNCTION("GOOGLETRANSLATE(I853,""zh_HANT"",""zh_HANS"")"),"胜利之舞")</f>
        <v>胜利之舞</v>
      </c>
    </row>
    <row r="854">
      <c r="A854" s="5" t="str">
        <f t="shared" si="46"/>
        <v>NAME_MOVE_HEADLONGRUSH</v>
      </c>
      <c r="B854" s="3" t="s">
        <v>19469</v>
      </c>
      <c r="C854" s="3" t="s">
        <v>19470</v>
      </c>
      <c r="D854" s="3" t="s">
        <v>19471</v>
      </c>
      <c r="E854" s="3" t="s">
        <v>19472</v>
      </c>
      <c r="F854" s="3" t="s">
        <v>11946</v>
      </c>
      <c r="G854" s="3" t="s">
        <v>19473</v>
      </c>
      <c r="H854" s="6" t="s">
        <v>19474</v>
      </c>
      <c r="I854" s="6" t="s">
        <v>19475</v>
      </c>
      <c r="J854" s="5" t="str">
        <f>IFERROR(__xludf.DUMMYFUNCTION("GOOGLETRANSLATE(I854,""zh_HANT"",""zh_HANS"")"),"突飞猛扑")</f>
        <v>突飞猛扑</v>
      </c>
    </row>
    <row r="855">
      <c r="A855" s="5" t="str">
        <f t="shared" si="46"/>
        <v>NAME_MOVE_BARBBARRAGE</v>
      </c>
      <c r="B855" s="3" t="s">
        <v>19476</v>
      </c>
      <c r="C855" s="3" t="s">
        <v>19477</v>
      </c>
      <c r="D855" s="3" t="s">
        <v>19478</v>
      </c>
      <c r="E855" s="3" t="s">
        <v>19479</v>
      </c>
      <c r="F855" s="3" t="s">
        <v>19480</v>
      </c>
      <c r="G855" s="3" t="s">
        <v>19481</v>
      </c>
      <c r="H855" s="6" t="s">
        <v>19482</v>
      </c>
      <c r="I855" s="6" t="s">
        <v>19483</v>
      </c>
      <c r="J855" s="5" t="str">
        <f>IFERROR(__xludf.DUMMYFUNCTION("GOOGLETRANSLATE(I855,""zh_HANT"",""zh_HANS"")"),"毒千针")</f>
        <v>毒千针</v>
      </c>
    </row>
    <row r="856">
      <c r="A856" s="5" t="str">
        <f t="shared" si="46"/>
        <v>NAME_MOVE_ESPERWING</v>
      </c>
      <c r="B856" s="3" t="s">
        <v>19484</v>
      </c>
      <c r="C856" s="3" t="s">
        <v>19485</v>
      </c>
      <c r="D856" s="3" t="s">
        <v>19486</v>
      </c>
      <c r="E856" s="3" t="s">
        <v>19487</v>
      </c>
      <c r="F856" s="3" t="s">
        <v>19488</v>
      </c>
      <c r="G856" s="3" t="s">
        <v>19489</v>
      </c>
      <c r="H856" s="3" t="s">
        <v>19490</v>
      </c>
      <c r="I856" s="3" t="s">
        <v>19491</v>
      </c>
      <c r="J856" s="5" t="str">
        <f>IFERROR(__xludf.DUMMYFUNCTION("GOOGLETRANSLATE(I856,""zh_HANT"",""zh_HANS"")"),"气场之翼")</f>
        <v>气场之翼</v>
      </c>
    </row>
    <row r="857">
      <c r="A857" s="5" t="str">
        <f t="shared" si="46"/>
        <v>NAME_MOVE_BITTERMALICE</v>
      </c>
      <c r="B857" s="3" t="s">
        <v>19492</v>
      </c>
      <c r="C857" s="3" t="s">
        <v>19493</v>
      </c>
      <c r="D857" s="3" t="s">
        <v>19494</v>
      </c>
      <c r="E857" s="3" t="s">
        <v>19495</v>
      </c>
      <c r="F857" s="3" t="s">
        <v>19496</v>
      </c>
      <c r="G857" s="3" t="s">
        <v>19497</v>
      </c>
      <c r="H857" s="3" t="s">
        <v>19498</v>
      </c>
      <c r="I857" s="3" t="s">
        <v>19499</v>
      </c>
      <c r="J857" s="5" t="str">
        <f>I857</f>
        <v>冤冤相報</v>
      </c>
    </row>
    <row r="858">
      <c r="A858" s="5" t="str">
        <f t="shared" si="46"/>
        <v>NAME_MOVE_SHELTER</v>
      </c>
      <c r="B858" s="3" t="s">
        <v>19500</v>
      </c>
      <c r="C858" s="3" t="s">
        <v>19501</v>
      </c>
      <c r="D858" s="3" t="s">
        <v>19502</v>
      </c>
      <c r="E858" s="3" t="s">
        <v>19503</v>
      </c>
      <c r="F858" s="3" t="s">
        <v>11235</v>
      </c>
      <c r="G858" s="3" t="s">
        <v>19504</v>
      </c>
      <c r="H858" s="3" t="s">
        <v>19505</v>
      </c>
      <c r="I858" s="3" t="s">
        <v>19506</v>
      </c>
      <c r="J858" s="5" t="str">
        <f>IFERROR(__xludf.DUMMYFUNCTION("GOOGLETRANSLATE(I858,""zh_HANT"",""zh_HANS"")"),"闭关")</f>
        <v>闭关</v>
      </c>
    </row>
    <row r="859">
      <c r="A859" s="5" t="str">
        <f t="shared" si="46"/>
        <v>NAME_MOVE_TRIPLEARROWS</v>
      </c>
      <c r="B859" s="3" t="s">
        <v>19507</v>
      </c>
      <c r="C859" s="3" t="s">
        <v>19508</v>
      </c>
      <c r="D859" s="3" t="s">
        <v>19509</v>
      </c>
      <c r="E859" s="3" t="s">
        <v>19510</v>
      </c>
      <c r="F859" s="3" t="s">
        <v>19511</v>
      </c>
      <c r="G859" s="3" t="s">
        <v>19512</v>
      </c>
      <c r="H859" s="3" t="s">
        <v>19513</v>
      </c>
      <c r="I859" s="3" t="s">
        <v>19514</v>
      </c>
      <c r="J859" s="5" t="str">
        <f>IFERROR(__xludf.DUMMYFUNCTION("GOOGLETRANSLATE(I859,""zh_HANT"",""zh_HANS"")"),"三连箭")</f>
        <v>三连箭</v>
      </c>
    </row>
    <row r="860">
      <c r="A860" s="5" t="str">
        <f t="shared" si="46"/>
        <v>NAME_MOVE_INFERNALPARADE</v>
      </c>
      <c r="B860" s="3" t="s">
        <v>19515</v>
      </c>
      <c r="C860" s="3" t="s">
        <v>19516</v>
      </c>
      <c r="D860" s="3" t="s">
        <v>19517</v>
      </c>
      <c r="E860" s="3" t="s">
        <v>19518</v>
      </c>
      <c r="F860" s="3" t="s">
        <v>19519</v>
      </c>
      <c r="G860" s="3" t="s">
        <v>19520</v>
      </c>
      <c r="H860" s="3" t="s">
        <v>19521</v>
      </c>
      <c r="I860" s="3" t="s">
        <v>19522</v>
      </c>
      <c r="J860" s="5" t="str">
        <f>IFERROR(__xludf.DUMMYFUNCTION("GOOGLETRANSLATE(I860,""zh_HANT"",""zh_HANS"")"),"群魔乱舞")</f>
        <v>群魔乱舞</v>
      </c>
    </row>
    <row r="861">
      <c r="A861" s="5" t="str">
        <f t="shared" si="46"/>
        <v>NAME_MOVE_CEASELESSEDGE</v>
      </c>
      <c r="B861" s="3" t="s">
        <v>19523</v>
      </c>
      <c r="C861" s="3" t="s">
        <v>19524</v>
      </c>
      <c r="D861" s="3" t="s">
        <v>19525</v>
      </c>
      <c r="E861" s="3" t="s">
        <v>19526</v>
      </c>
      <c r="F861" s="3" t="s">
        <v>19527</v>
      </c>
      <c r="G861" s="3" t="s">
        <v>19528</v>
      </c>
      <c r="H861" s="3" t="s">
        <v>19529</v>
      </c>
      <c r="I861" s="3" t="s">
        <v>19530</v>
      </c>
      <c r="J861" s="5" t="str">
        <f>IFERROR(__xludf.DUMMYFUNCTION("GOOGLETRANSLATE(I861,""zh_HANT"",""zh_HANS"")"),"秘剑・千重涛")</f>
        <v>秘剑・千重涛</v>
      </c>
    </row>
    <row r="862">
      <c r="A862" s="5" t="str">
        <f t="shared" si="46"/>
        <v>NAME_MOVE_BLEAKWINDSTORM</v>
      </c>
      <c r="B862" s="3" t="s">
        <v>19531</v>
      </c>
      <c r="C862" s="3" t="s">
        <v>19532</v>
      </c>
      <c r="D862" s="3" t="s">
        <v>19533</v>
      </c>
      <c r="E862" s="3" t="s">
        <v>19534</v>
      </c>
      <c r="F862" s="3" t="s">
        <v>19535</v>
      </c>
      <c r="G862" s="3" t="s">
        <v>19536</v>
      </c>
      <c r="H862" s="3" t="s">
        <v>19537</v>
      </c>
      <c r="I862" s="3" t="s">
        <v>19538</v>
      </c>
      <c r="J862" s="5" t="str">
        <f>IFERROR(__xludf.DUMMYFUNCTION("GOOGLETRANSLATE(I862,""zh_HANT"",""zh_HANS"")"),"枯叶风暴")</f>
        <v>枯叶风暴</v>
      </c>
    </row>
    <row r="863">
      <c r="A863" s="5" t="str">
        <f t="shared" si="46"/>
        <v>NAME_MOVE_WILDBOLTSTORM</v>
      </c>
      <c r="B863" s="3" t="s">
        <v>19539</v>
      </c>
      <c r="C863" s="3" t="s">
        <v>19540</v>
      </c>
      <c r="D863" s="3" t="s">
        <v>19541</v>
      </c>
      <c r="E863" s="3" t="s">
        <v>19542</v>
      </c>
      <c r="F863" s="3" t="s">
        <v>19543</v>
      </c>
      <c r="G863" s="3" t="s">
        <v>19544</v>
      </c>
      <c r="H863" s="3" t="s">
        <v>19545</v>
      </c>
      <c r="I863" s="3" t="s">
        <v>19546</v>
      </c>
      <c r="J863" s="5" t="str">
        <f>IFERROR(__xludf.DUMMYFUNCTION("GOOGLETRANSLATE(I863,""zh_HANT"",""zh_HANS"")"),"鸣雷风暴")</f>
        <v>鸣雷风暴</v>
      </c>
    </row>
    <row r="864">
      <c r="A864" s="5" t="str">
        <f t="shared" si="46"/>
        <v>NAME_MOVE_SANDSEARSTORM</v>
      </c>
      <c r="B864" s="3" t="s">
        <v>19547</v>
      </c>
      <c r="C864" s="3" t="s">
        <v>19548</v>
      </c>
      <c r="D864" s="3" t="s">
        <v>19549</v>
      </c>
      <c r="E864" s="3" t="s">
        <v>19550</v>
      </c>
      <c r="F864" s="3" t="s">
        <v>19551</v>
      </c>
      <c r="G864" s="3" t="s">
        <v>19552</v>
      </c>
      <c r="H864" s="3" t="s">
        <v>19553</v>
      </c>
      <c r="I864" s="3" t="s">
        <v>19554</v>
      </c>
      <c r="J864" s="5" t="str">
        <f>IFERROR(__xludf.DUMMYFUNCTION("GOOGLETRANSLATE(I864,""zh_HANT"",""zh_HANS"")"),"热沙风暴")</f>
        <v>热沙风暴</v>
      </c>
    </row>
    <row r="865">
      <c r="A865" s="5" t="str">
        <f t="shared" si="46"/>
        <v>NAME_MOVE_LUNARBLESSING</v>
      </c>
      <c r="B865" s="3" t="s">
        <v>19555</v>
      </c>
      <c r="C865" s="3" t="s">
        <v>19556</v>
      </c>
      <c r="D865" s="3" t="s">
        <v>19557</v>
      </c>
      <c r="E865" s="3" t="s">
        <v>19558</v>
      </c>
      <c r="F865" s="3" t="s">
        <v>19559</v>
      </c>
      <c r="G865" s="3" t="s">
        <v>19560</v>
      </c>
      <c r="H865" s="3" t="s">
        <v>19561</v>
      </c>
      <c r="I865" s="3" t="s">
        <v>19562</v>
      </c>
      <c r="J865" s="5" t="str">
        <f>IFERROR(__xludf.DUMMYFUNCTION("GOOGLETRANSLATE(I865,""zh_HANT"",""zh_HANS"")"),"新月祈祷")</f>
        <v>新月祈祷</v>
      </c>
    </row>
    <row r="866">
      <c r="A866" s="5" t="str">
        <f t="shared" si="46"/>
        <v>NAME_MOVE_TAKEHEART</v>
      </c>
      <c r="B866" s="3" t="s">
        <v>19563</v>
      </c>
      <c r="C866" s="3" t="s">
        <v>19564</v>
      </c>
      <c r="D866" s="3" t="s">
        <v>19565</v>
      </c>
      <c r="E866" s="3" t="s">
        <v>19566</v>
      </c>
      <c r="F866" s="3" t="s">
        <v>19567</v>
      </c>
      <c r="G866" s="3" t="s">
        <v>19568</v>
      </c>
      <c r="H866" s="3" t="s">
        <v>19569</v>
      </c>
      <c r="I866" s="3" t="s">
        <v>19570</v>
      </c>
      <c r="J866" s="5" t="str">
        <f>IFERROR(__xludf.DUMMYFUNCTION("GOOGLETRANSLATE(I866,""zh_HANT"",""zh_HANS"")"),"勇气填充")</f>
        <v>勇气填充</v>
      </c>
    </row>
    <row r="867">
      <c r="A867" s="5" t="str">
        <f t="shared" si="46"/>
        <v>NAME_MOVE_TERABLAST</v>
      </c>
      <c r="B867" s="3" t="s">
        <v>19571</v>
      </c>
      <c r="C867" s="3" t="s">
        <v>19572</v>
      </c>
      <c r="D867" s="3" t="s">
        <v>19573</v>
      </c>
      <c r="E867" s="3" t="s">
        <v>19574</v>
      </c>
      <c r="F867" s="3" t="s">
        <v>19575</v>
      </c>
      <c r="G867" s="3" t="s">
        <v>19576</v>
      </c>
      <c r="H867" s="3" t="s">
        <v>19577</v>
      </c>
      <c r="I867" s="5" t="str">
        <f>IFERROR(__xludf.DUMMYFUNCTION("GOOGLETRANSLATE(J867,""zh_HANS"",""zh_HANT"")"),"太晶爆發")</f>
        <v>太晶爆發</v>
      </c>
      <c r="J867" s="3" t="s">
        <v>19578</v>
      </c>
    </row>
    <row r="868">
      <c r="A868" s="5" t="str">
        <f t="shared" si="46"/>
        <v>NAME_MOVE_SILKTRAP</v>
      </c>
      <c r="B868" s="3" t="s">
        <v>19579</v>
      </c>
      <c r="C868" s="3" t="s">
        <v>19580</v>
      </c>
      <c r="D868" s="3" t="s">
        <v>19581</v>
      </c>
      <c r="E868" s="3" t="s">
        <v>19582</v>
      </c>
      <c r="F868" s="3" t="s">
        <v>19583</v>
      </c>
      <c r="G868" s="3" t="s">
        <v>19584</v>
      </c>
      <c r="H868" s="3" t="s">
        <v>19585</v>
      </c>
      <c r="I868" s="5" t="str">
        <f>IFERROR(__xludf.DUMMYFUNCTION("GOOGLETRANSLATE(J868,""zh_HANS"",""zh_HANT"")"),"線阱")</f>
        <v>線阱</v>
      </c>
      <c r="J868" s="3" t="s">
        <v>19586</v>
      </c>
    </row>
    <row r="869">
      <c r="A869" s="5" t="str">
        <f t="shared" si="46"/>
        <v>NAME_MOVE_AXEKICK</v>
      </c>
      <c r="B869" s="3" t="s">
        <v>19587</v>
      </c>
      <c r="C869" s="3" t="s">
        <v>19588</v>
      </c>
      <c r="D869" s="3" t="s">
        <v>19589</v>
      </c>
      <c r="E869" s="3" t="s">
        <v>19590</v>
      </c>
      <c r="F869" s="3" t="s">
        <v>19591</v>
      </c>
      <c r="G869" s="3" t="s">
        <v>19592</v>
      </c>
      <c r="H869" s="3" t="s">
        <v>19593</v>
      </c>
      <c r="I869" s="5" t="str">
        <f>IFERROR(__xludf.DUMMYFUNCTION("GOOGLETRANSLATE(J869,""zh_HANS"",""zh_HANT"")"),"下壓踢")</f>
        <v>下壓踢</v>
      </c>
      <c r="J869" s="3" t="s">
        <v>19594</v>
      </c>
    </row>
    <row r="870">
      <c r="A870" s="5" t="str">
        <f t="shared" si="46"/>
        <v>NAME_MOVE_LASTRESPECTS</v>
      </c>
      <c r="B870" s="3" t="s">
        <v>19595</v>
      </c>
      <c r="C870" s="3" t="s">
        <v>19596</v>
      </c>
      <c r="D870" s="3" t="s">
        <v>19597</v>
      </c>
      <c r="E870" s="3" t="s">
        <v>19598</v>
      </c>
      <c r="F870" s="3" t="s">
        <v>19599</v>
      </c>
      <c r="G870" s="3" t="s">
        <v>19600</v>
      </c>
      <c r="H870" s="3" t="s">
        <v>19601</v>
      </c>
      <c r="I870" s="5" t="str">
        <f>IFERROR(__xludf.DUMMYFUNCTION("GOOGLETRANSLATE(J870,""zh_HANS"",""zh_HANT"")"),"掃墓")</f>
        <v>掃墓</v>
      </c>
      <c r="J870" s="3" t="s">
        <v>19602</v>
      </c>
    </row>
    <row r="871">
      <c r="A871" s="5" t="str">
        <f t="shared" si="46"/>
        <v>NAME_MOVE_LUMINACRASH</v>
      </c>
      <c r="B871" s="3" t="s">
        <v>19603</v>
      </c>
      <c r="C871" s="3" t="s">
        <v>19604</v>
      </c>
      <c r="D871" s="3" t="s">
        <v>19605</v>
      </c>
      <c r="E871" s="3" t="s">
        <v>19606</v>
      </c>
      <c r="F871" s="3" t="s">
        <v>19607</v>
      </c>
      <c r="G871" s="3" t="s">
        <v>19608</v>
      </c>
      <c r="H871" s="3" t="s">
        <v>19609</v>
      </c>
      <c r="I871" s="5" t="str">
        <f>IFERROR(__xludf.DUMMYFUNCTION("GOOGLETRANSLATE(J871,""zh_HANS"",""zh_HANT"")"),"琉光沖激")</f>
        <v>琉光沖激</v>
      </c>
      <c r="J871" s="3" t="s">
        <v>19610</v>
      </c>
    </row>
    <row r="872">
      <c r="A872" s="5" t="str">
        <f t="shared" si="46"/>
        <v>NAME_MOVE_ORDERUP</v>
      </c>
      <c r="B872" s="3" t="s">
        <v>19611</v>
      </c>
      <c r="C872" s="3" t="s">
        <v>19612</v>
      </c>
      <c r="D872" s="3" t="s">
        <v>19613</v>
      </c>
      <c r="E872" s="3" t="s">
        <v>19614</v>
      </c>
      <c r="F872" s="3" t="s">
        <v>19615</v>
      </c>
      <c r="G872" s="3" t="s">
        <v>19616</v>
      </c>
      <c r="H872" s="3" t="s">
        <v>19617</v>
      </c>
      <c r="I872" s="3" t="s">
        <v>19618</v>
      </c>
      <c r="J872" s="5" t="str">
        <f>I872</f>
        <v>上菜</v>
      </c>
    </row>
    <row r="873">
      <c r="A873" s="5" t="str">
        <f t="shared" si="46"/>
        <v>NAME_MOVE_JETPUNCH</v>
      </c>
      <c r="B873" s="3" t="s">
        <v>19619</v>
      </c>
      <c r="C873" s="3" t="s">
        <v>19620</v>
      </c>
      <c r="D873" s="3" t="s">
        <v>19621</v>
      </c>
      <c r="E873" s="3" t="s">
        <v>19622</v>
      </c>
      <c r="F873" s="3" t="s">
        <v>19623</v>
      </c>
      <c r="G873" s="3" t="s">
        <v>19624</v>
      </c>
      <c r="H873" s="3" t="s">
        <v>19625</v>
      </c>
      <c r="I873" s="5" t="str">
        <f>IFERROR(__xludf.DUMMYFUNCTION("GOOGLETRANSLATE(J873,""zh_HANS"",""zh_HANT"")"),"噴射拳")</f>
        <v>噴射拳</v>
      </c>
      <c r="J873" s="3" t="s">
        <v>19626</v>
      </c>
    </row>
    <row r="874">
      <c r="A874" s="5" t="str">
        <f t="shared" si="46"/>
        <v>NAME_MOVE_SPICYEXTRACT</v>
      </c>
      <c r="B874" s="3" t="s">
        <v>19627</v>
      </c>
      <c r="C874" s="3" t="s">
        <v>19628</v>
      </c>
      <c r="D874" s="3" t="s">
        <v>19629</v>
      </c>
      <c r="E874" s="3" t="s">
        <v>19630</v>
      </c>
      <c r="F874" s="3" t="s">
        <v>19631</v>
      </c>
      <c r="G874" s="3" t="s">
        <v>19632</v>
      </c>
      <c r="H874" s="3" t="s">
        <v>19633</v>
      </c>
      <c r="I874" s="5" t="str">
        <f>IFERROR(__xludf.DUMMYFUNCTION("GOOGLETRANSLATE(J874,""zh_HANS"",""zh_HANT"")"),"辣椒精華")</f>
        <v>辣椒精華</v>
      </c>
      <c r="J874" s="3" t="s">
        <v>19634</v>
      </c>
    </row>
    <row r="875">
      <c r="A875" s="5" t="str">
        <f t="shared" si="46"/>
        <v>NAME_MOVE_SPINOUT</v>
      </c>
      <c r="B875" s="3" t="s">
        <v>19635</v>
      </c>
      <c r="C875" s="3" t="s">
        <v>19636</v>
      </c>
      <c r="D875" s="3" t="s">
        <v>19637</v>
      </c>
      <c r="E875" s="3" t="s">
        <v>19638</v>
      </c>
      <c r="F875" s="3" t="s">
        <v>19639</v>
      </c>
      <c r="G875" s="3" t="s">
        <v>19640</v>
      </c>
      <c r="H875" s="3" t="s">
        <v>19641</v>
      </c>
      <c r="I875" s="5" t="str">
        <f>IFERROR(__xludf.DUMMYFUNCTION("GOOGLETRANSLATE(J875,""zh_HANS"",""zh_HANT"")"),"疾速轉輪")</f>
        <v>疾速轉輪</v>
      </c>
      <c r="J875" s="3" t="s">
        <v>19642</v>
      </c>
    </row>
    <row r="876">
      <c r="A876" s="5" t="str">
        <f t="shared" si="46"/>
        <v>NAME_MOVE_POPULATIONBOMB</v>
      </c>
      <c r="B876" s="3" t="s">
        <v>19643</v>
      </c>
      <c r="C876" s="3" t="s">
        <v>19644</v>
      </c>
      <c r="D876" s="3" t="s">
        <v>19645</v>
      </c>
      <c r="E876" s="3" t="s">
        <v>19646</v>
      </c>
      <c r="F876" s="3" t="s">
        <v>19647</v>
      </c>
      <c r="G876" s="3" t="s">
        <v>19648</v>
      </c>
      <c r="H876" s="3" t="s">
        <v>19649</v>
      </c>
      <c r="I876" s="5" t="str">
        <f>IFERROR(__xludf.DUMMYFUNCTION("GOOGLETRANSLATE(J876,""zh_HANS"",""zh_HANT"")"),"鼠數兒")</f>
        <v>鼠數兒</v>
      </c>
      <c r="J876" s="3" t="s">
        <v>19650</v>
      </c>
    </row>
    <row r="877">
      <c r="A877" s="5" t="str">
        <f t="shared" si="46"/>
        <v>NAME_MOVE_ICESPINNER</v>
      </c>
      <c r="B877" s="3" t="s">
        <v>19651</v>
      </c>
      <c r="C877" s="3" t="s">
        <v>19652</v>
      </c>
      <c r="D877" s="3" t="s">
        <v>19653</v>
      </c>
      <c r="E877" s="3" t="s">
        <v>19654</v>
      </c>
      <c r="F877" s="3" t="s">
        <v>19655</v>
      </c>
      <c r="G877" s="3" t="s">
        <v>19656</v>
      </c>
      <c r="H877" s="3" t="s">
        <v>19657</v>
      </c>
      <c r="I877" s="3" t="s">
        <v>19658</v>
      </c>
      <c r="J877" s="5" t="str">
        <f>I877</f>
        <v>冰旋</v>
      </c>
    </row>
    <row r="878">
      <c r="A878" s="5" t="str">
        <f t="shared" si="46"/>
        <v>NAME_MOVE_GLAIVERUSH</v>
      </c>
      <c r="B878" s="3" t="s">
        <v>19659</v>
      </c>
      <c r="C878" s="3" t="s">
        <v>19660</v>
      </c>
      <c r="D878" s="3" t="s">
        <v>19661</v>
      </c>
      <c r="E878" s="3" t="s">
        <v>19662</v>
      </c>
      <c r="F878" s="3" t="s">
        <v>19663</v>
      </c>
      <c r="G878" s="3" t="s">
        <v>19664</v>
      </c>
      <c r="H878" s="3" t="s">
        <v>19665</v>
      </c>
      <c r="I878" s="5" t="str">
        <f>IFERROR(__xludf.DUMMYFUNCTION("GOOGLETRANSLATE(J878,""zh_HANS"",""zh_HANT"")"),"大劍突擊")</f>
        <v>大劍突擊</v>
      </c>
      <c r="J878" s="3" t="s">
        <v>19666</v>
      </c>
    </row>
    <row r="879">
      <c r="A879" s="5" t="str">
        <f t="shared" si="46"/>
        <v>NAME_MOVE_REVIVALBLESSING</v>
      </c>
      <c r="B879" s="3" t="s">
        <v>19667</v>
      </c>
      <c r="C879" s="3" t="s">
        <v>19668</v>
      </c>
      <c r="D879" s="3" t="s">
        <v>19669</v>
      </c>
      <c r="E879" s="3" t="s">
        <v>19670</v>
      </c>
      <c r="F879" s="3" t="s">
        <v>19671</v>
      </c>
      <c r="G879" s="3" t="s">
        <v>19672</v>
      </c>
      <c r="H879" s="3" t="s">
        <v>19673</v>
      </c>
      <c r="I879" s="5" t="str">
        <f>IFERROR(__xludf.DUMMYFUNCTION("GOOGLETRANSLATE(J879,""zh_HANS"",""zh_HANT"")"),"復生祈禱")</f>
        <v>復生祈禱</v>
      </c>
      <c r="J879" s="3" t="s">
        <v>19674</v>
      </c>
    </row>
    <row r="880">
      <c r="A880" s="5" t="str">
        <f t="shared" si="46"/>
        <v>NAME_MOVE_SALTCURE</v>
      </c>
      <c r="B880" s="3" t="s">
        <v>19675</v>
      </c>
      <c r="C880" s="3" t="s">
        <v>19676</v>
      </c>
      <c r="D880" s="3" t="s">
        <v>19677</v>
      </c>
      <c r="E880" s="3" t="s">
        <v>19678</v>
      </c>
      <c r="F880" s="3" t="s">
        <v>19679</v>
      </c>
      <c r="G880" s="3" t="s">
        <v>19680</v>
      </c>
      <c r="H880" s="3" t="s">
        <v>19681</v>
      </c>
      <c r="I880" s="5" t="str">
        <f>IFERROR(__xludf.DUMMYFUNCTION("GOOGLETRANSLATE(J880,""zh_HANS"",""zh_HANT"")"),"鹽醃")</f>
        <v>鹽醃</v>
      </c>
      <c r="J880" s="3" t="s">
        <v>19682</v>
      </c>
    </row>
    <row r="881">
      <c r="A881" s="5" t="str">
        <f t="shared" si="46"/>
        <v>NAME_MOVE_TRIPLEDIVE</v>
      </c>
      <c r="B881" s="3" t="s">
        <v>19683</v>
      </c>
      <c r="C881" s="3" t="s">
        <v>19684</v>
      </c>
      <c r="D881" s="3" t="s">
        <v>19685</v>
      </c>
      <c r="E881" s="3" t="s">
        <v>19686</v>
      </c>
      <c r="F881" s="3" t="s">
        <v>19687</v>
      </c>
      <c r="G881" s="3" t="s">
        <v>19688</v>
      </c>
      <c r="H881" s="3" t="s">
        <v>19689</v>
      </c>
      <c r="I881" s="5" t="str">
        <f>IFERROR(__xludf.DUMMYFUNCTION("GOOGLETRANSLATE(J881,""zh_HANS"",""zh_HANT"")"),"三連鑽")</f>
        <v>三連鑽</v>
      </c>
      <c r="J881" s="3" t="s">
        <v>19690</v>
      </c>
    </row>
    <row r="882">
      <c r="A882" s="5" t="str">
        <f t="shared" si="46"/>
        <v>NAME_MOVE_MORTALSPIN</v>
      </c>
      <c r="B882" s="3" t="s">
        <v>19691</v>
      </c>
      <c r="C882" s="3" t="s">
        <v>19692</v>
      </c>
      <c r="D882" s="3" t="s">
        <v>19693</v>
      </c>
      <c r="E882" s="3" t="s">
        <v>19694</v>
      </c>
      <c r="F882" s="3" t="s">
        <v>19695</v>
      </c>
      <c r="G882" s="3" t="s">
        <v>19696</v>
      </c>
      <c r="H882" s="3" t="s">
        <v>19697</v>
      </c>
      <c r="I882" s="5" t="str">
        <f>IFERROR(__xludf.DUMMYFUNCTION("GOOGLETRANSLATE(J882,""zh_HANS"",""zh_HANT"")"),"晶光轉轉")</f>
        <v>晶光轉轉</v>
      </c>
      <c r="J882" s="3" t="s">
        <v>19698</v>
      </c>
    </row>
    <row r="883">
      <c r="A883" s="5" t="str">
        <f t="shared" si="46"/>
        <v>NAME_MOVE_DOODLE</v>
      </c>
      <c r="B883" s="3" t="s">
        <v>19699</v>
      </c>
      <c r="C883" s="3" t="s">
        <v>19700</v>
      </c>
      <c r="D883" s="3" t="s">
        <v>19701</v>
      </c>
      <c r="E883" s="3" t="s">
        <v>19702</v>
      </c>
      <c r="F883" s="3" t="s">
        <v>19703</v>
      </c>
      <c r="G883" s="3" t="s">
        <v>19704</v>
      </c>
      <c r="H883" s="3" t="s">
        <v>19705</v>
      </c>
      <c r="I883" s="5" t="str">
        <f>IFERROR(__xludf.DUMMYFUNCTION("GOOGLETRANSLATE(J883,""zh_HANS"",""zh_HANT"")"),"描繪")</f>
        <v>描繪</v>
      </c>
      <c r="J883" s="3" t="s">
        <v>19706</v>
      </c>
    </row>
    <row r="884">
      <c r="A884" s="5" t="str">
        <f t="shared" si="46"/>
        <v>NAME_MOVE_FILLETAWAY</v>
      </c>
      <c r="B884" s="3" t="s">
        <v>19707</v>
      </c>
      <c r="C884" s="3" t="s">
        <v>19708</v>
      </c>
      <c r="D884" s="3" t="s">
        <v>19709</v>
      </c>
      <c r="E884" s="3" t="s">
        <v>19710</v>
      </c>
      <c r="F884" s="3" t="s">
        <v>19711</v>
      </c>
      <c r="G884" s="3" t="s">
        <v>19712</v>
      </c>
      <c r="H884" s="3" t="s">
        <v>19713</v>
      </c>
      <c r="I884" s="3" t="s">
        <v>19714</v>
      </c>
      <c r="J884" s="5" t="str">
        <f>I884</f>
        <v>甩肉</v>
      </c>
    </row>
    <row r="885">
      <c r="A885" s="5" t="str">
        <f t="shared" si="46"/>
        <v>NAME_MOVE_KOWTOWCLEAVE</v>
      </c>
      <c r="B885" s="3" t="s">
        <v>19715</v>
      </c>
      <c r="C885" s="3" t="s">
        <v>19716</v>
      </c>
      <c r="D885" s="3" t="s">
        <v>19717</v>
      </c>
      <c r="E885" s="3" t="s">
        <v>19718</v>
      </c>
      <c r="F885" s="3" t="s">
        <v>19719</v>
      </c>
      <c r="G885" s="3" t="s">
        <v>19720</v>
      </c>
      <c r="H885" s="3" t="s">
        <v>19721</v>
      </c>
      <c r="I885" s="5" t="str">
        <f>IFERROR(__xludf.DUMMYFUNCTION("GOOGLETRANSLATE(J885,""zh_HANS"",""zh_HANT"")"),"僕刀")</f>
        <v>僕刀</v>
      </c>
      <c r="J885" s="3" t="s">
        <v>19722</v>
      </c>
    </row>
    <row r="886">
      <c r="A886" s="5" t="str">
        <f t="shared" si="46"/>
        <v>NAME_MOVE_FLOWERTRICK</v>
      </c>
      <c r="B886" s="3" t="s">
        <v>19723</v>
      </c>
      <c r="C886" s="3" t="s">
        <v>19724</v>
      </c>
      <c r="D886" s="3" t="s">
        <v>19725</v>
      </c>
      <c r="E886" s="3" t="s">
        <v>19726</v>
      </c>
      <c r="F886" s="3" t="s">
        <v>19727</v>
      </c>
      <c r="G886" s="3" t="s">
        <v>19728</v>
      </c>
      <c r="H886" s="3" t="s">
        <v>19729</v>
      </c>
      <c r="I886" s="5" t="str">
        <f>IFERROR(__xludf.DUMMYFUNCTION("GOOGLETRANSLATE(J886,""zh_HANS"",""zh_HANT"")"),"千變萬花")</f>
        <v>千變萬花</v>
      </c>
      <c r="J886" s="3" t="s">
        <v>19730</v>
      </c>
    </row>
    <row r="887">
      <c r="A887" s="5" t="str">
        <f t="shared" si="46"/>
        <v>NAME_MOVE_TORCHSONG</v>
      </c>
      <c r="B887" s="3" t="s">
        <v>19731</v>
      </c>
      <c r="C887" s="3" t="s">
        <v>19732</v>
      </c>
      <c r="D887" s="3" t="s">
        <v>19733</v>
      </c>
      <c r="E887" s="3" t="s">
        <v>19734</v>
      </c>
      <c r="F887" s="3" t="s">
        <v>19735</v>
      </c>
      <c r="G887" s="3" t="s">
        <v>19736</v>
      </c>
      <c r="H887" s="3" t="s">
        <v>19737</v>
      </c>
      <c r="I887" s="5" t="str">
        <f>IFERROR(__xludf.DUMMYFUNCTION("GOOGLETRANSLATE(J887,""zh_HANS"",""zh_HANT"")"),"閃焰高歌")</f>
        <v>閃焰高歌</v>
      </c>
      <c r="J887" s="3" t="s">
        <v>19738</v>
      </c>
    </row>
    <row r="888">
      <c r="A888" s="5" t="str">
        <f t="shared" si="46"/>
        <v>NAME_MOVE_AQUASTEP</v>
      </c>
      <c r="B888" s="3" t="s">
        <v>19739</v>
      </c>
      <c r="C888" s="3" t="s">
        <v>19740</v>
      </c>
      <c r="D888" s="3" t="s">
        <v>19741</v>
      </c>
      <c r="E888" s="3" t="s">
        <v>19742</v>
      </c>
      <c r="F888" s="3" t="s">
        <v>19743</v>
      </c>
      <c r="G888" s="3" t="s">
        <v>19744</v>
      </c>
      <c r="H888" s="3" t="s">
        <v>19745</v>
      </c>
      <c r="I888" s="3" t="s">
        <v>19746</v>
      </c>
      <c r="J888" s="5" t="str">
        <f t="shared" ref="J888:J890" si="48">I888</f>
        <v>流水旋舞</v>
      </c>
    </row>
    <row r="889">
      <c r="A889" s="5" t="str">
        <f t="shared" si="46"/>
        <v>NAME_MOVE_RAGINGBULL</v>
      </c>
      <c r="B889" s="3" t="s">
        <v>19747</v>
      </c>
      <c r="C889" s="3" t="s">
        <v>19748</v>
      </c>
      <c r="D889" s="3" t="s">
        <v>19749</v>
      </c>
      <c r="E889" s="3" t="s">
        <v>19750</v>
      </c>
      <c r="F889" s="3" t="s">
        <v>19751</v>
      </c>
      <c r="G889" s="3" t="s">
        <v>19752</v>
      </c>
      <c r="H889" s="3" t="s">
        <v>19753</v>
      </c>
      <c r="I889" s="3" t="s">
        <v>19754</v>
      </c>
      <c r="J889" s="5" t="str">
        <f t="shared" si="48"/>
        <v>怒牛</v>
      </c>
    </row>
    <row r="890">
      <c r="A890" s="5" t="str">
        <f t="shared" si="46"/>
        <v>NAME_MOVE_MAKEITRAIN</v>
      </c>
      <c r="B890" s="3" t="s">
        <v>19755</v>
      </c>
      <c r="C890" s="3" t="s">
        <v>19756</v>
      </c>
      <c r="D890" s="3" t="s">
        <v>19757</v>
      </c>
      <c r="E890" s="3" t="s">
        <v>19758</v>
      </c>
      <c r="F890" s="3" t="s">
        <v>19759</v>
      </c>
      <c r="G890" s="3" t="s">
        <v>19760</v>
      </c>
      <c r="H890" s="3" t="s">
        <v>19761</v>
      </c>
      <c r="I890" s="3" t="s">
        <v>19762</v>
      </c>
      <c r="J890" s="5" t="str">
        <f t="shared" si="48"/>
        <v>淘金潮</v>
      </c>
    </row>
    <row r="891">
      <c r="A891" s="5" t="str">
        <f t="shared" si="46"/>
        <v>NAME_MOVE_PSYBLADE</v>
      </c>
      <c r="B891" s="3" t="s">
        <v>19763</v>
      </c>
      <c r="C891" s="3" t="s">
        <v>19764</v>
      </c>
      <c r="D891" s="3" t="s">
        <v>19765</v>
      </c>
      <c r="E891" s="3" t="s">
        <v>19766</v>
      </c>
      <c r="F891" s="3" t="s">
        <v>19767</v>
      </c>
      <c r="G891" s="3" t="s">
        <v>19768</v>
      </c>
      <c r="H891" s="3" t="s">
        <v>19769</v>
      </c>
      <c r="I891" s="5" t="str">
        <f>IFERROR(__xludf.DUMMYFUNCTION("GOOGLETRANSLATE(J891,""zh_HANS"",""zh_HANT"")"),"精神劍")</f>
        <v>精神劍</v>
      </c>
      <c r="J891" s="3" t="s">
        <v>19770</v>
      </c>
    </row>
    <row r="892">
      <c r="A892" s="5" t="str">
        <f t="shared" si="46"/>
        <v>NAME_MOVE_HYDROSTEAM</v>
      </c>
      <c r="B892" s="3" t="s">
        <v>19771</v>
      </c>
      <c r="C892" s="3" t="s">
        <v>19772</v>
      </c>
      <c r="D892" s="3" t="s">
        <v>19773</v>
      </c>
      <c r="E892" s="3" t="s">
        <v>19774</v>
      </c>
      <c r="F892" s="3" t="s">
        <v>19775</v>
      </c>
      <c r="G892" s="3" t="s">
        <v>19776</v>
      </c>
      <c r="H892" s="3" t="s">
        <v>19777</v>
      </c>
      <c r="I892" s="5" t="str">
        <f>IFERROR(__xludf.DUMMYFUNCTION("GOOGLETRANSLATE(J892,""zh_HANS"",""zh_HANT"")"),"水蒸氣")</f>
        <v>水蒸氣</v>
      </c>
      <c r="J892" s="3" t="s">
        <v>19778</v>
      </c>
    </row>
    <row r="893">
      <c r="A893" s="5" t="str">
        <f t="shared" si="46"/>
        <v>NAME_MOVE_RUINATION</v>
      </c>
      <c r="B893" s="3" t="s">
        <v>19779</v>
      </c>
      <c r="C893" s="3" t="s">
        <v>19780</v>
      </c>
      <c r="D893" s="3" t="s">
        <v>19781</v>
      </c>
      <c r="E893" s="3" t="s">
        <v>19782</v>
      </c>
      <c r="F893" s="3" t="s">
        <v>19783</v>
      </c>
      <c r="G893" s="3" t="s">
        <v>9207</v>
      </c>
      <c r="H893" s="3" t="s">
        <v>19784</v>
      </c>
      <c r="I893" s="5" t="str">
        <f>IFERROR(__xludf.DUMMYFUNCTION("GOOGLETRANSLATE(J893,""zh_HANS"",""zh_HANT"")"),"大災難")</f>
        <v>大災難</v>
      </c>
      <c r="J893" s="3" t="s">
        <v>19785</v>
      </c>
    </row>
    <row r="894">
      <c r="A894" s="5" t="str">
        <f t="shared" si="46"/>
        <v>NAME_MOVE_COLLISIONCOURSE</v>
      </c>
      <c r="B894" s="3" t="s">
        <v>19786</v>
      </c>
      <c r="C894" s="3" t="s">
        <v>19787</v>
      </c>
      <c r="D894" s="3" t="s">
        <v>19788</v>
      </c>
      <c r="E894" s="3" t="s">
        <v>19789</v>
      </c>
      <c r="F894" s="3" t="s">
        <v>19790</v>
      </c>
      <c r="G894" s="3" t="s">
        <v>19791</v>
      </c>
      <c r="H894" s="3" t="s">
        <v>19792</v>
      </c>
      <c r="I894" s="5" t="str">
        <f>IFERROR(__xludf.DUMMYFUNCTION("GOOGLETRANSLATE(J894,""zh_HANS"",""zh_HANT"")"),"全開猛撞")</f>
        <v>全開猛撞</v>
      </c>
      <c r="J894" s="3" t="s">
        <v>19793</v>
      </c>
    </row>
    <row r="895">
      <c r="A895" s="5" t="str">
        <f t="shared" si="46"/>
        <v>NAME_MOVE_ELECTRODRIFT</v>
      </c>
      <c r="B895" s="3" t="s">
        <v>19794</v>
      </c>
      <c r="C895" s="3" t="s">
        <v>19795</v>
      </c>
      <c r="D895" s="3" t="s">
        <v>19796</v>
      </c>
      <c r="E895" s="3" t="s">
        <v>19797</v>
      </c>
      <c r="F895" s="3" t="s">
        <v>19798</v>
      </c>
      <c r="G895" s="3" t="s">
        <v>19799</v>
      </c>
      <c r="H895" s="3" t="s">
        <v>19800</v>
      </c>
      <c r="I895" s="5" t="str">
        <f>IFERROR(__xludf.DUMMYFUNCTION("GOOGLETRANSLATE(J895,""zh_HANS"",""zh_HANT"")"),"閃電猛衝")</f>
        <v>閃電猛衝</v>
      </c>
      <c r="J895" s="3" t="s">
        <v>19801</v>
      </c>
    </row>
    <row r="896">
      <c r="A896" s="5" t="str">
        <f t="shared" si="46"/>
        <v>NAME_MOVE_SHEDTAIL</v>
      </c>
      <c r="B896" s="3" t="s">
        <v>19802</v>
      </c>
      <c r="C896" s="3" t="s">
        <v>19803</v>
      </c>
      <c r="D896" s="3" t="s">
        <v>19804</v>
      </c>
      <c r="E896" s="3" t="s">
        <v>19805</v>
      </c>
      <c r="F896" s="3" t="s">
        <v>19806</v>
      </c>
      <c r="G896" s="3" t="s">
        <v>19807</v>
      </c>
      <c r="H896" s="3" t="s">
        <v>19808</v>
      </c>
      <c r="I896" s="5" t="str">
        <f>IFERROR(__xludf.DUMMYFUNCTION("GOOGLETRANSLATE(J896,""zh_HANS"",""zh_HANT"")"),"斷尾")</f>
        <v>斷尾</v>
      </c>
      <c r="J896" s="3" t="s">
        <v>19809</v>
      </c>
    </row>
    <row r="897">
      <c r="A897" s="5" t="str">
        <f t="shared" si="46"/>
        <v>NAME_MOVE_CHILLYRECEPTION</v>
      </c>
      <c r="B897" s="3" t="s">
        <v>19810</v>
      </c>
      <c r="C897" s="3" t="s">
        <v>19811</v>
      </c>
      <c r="D897" s="3" t="s">
        <v>19812</v>
      </c>
      <c r="E897" s="3" t="s">
        <v>19813</v>
      </c>
      <c r="F897" s="3" t="s">
        <v>19814</v>
      </c>
      <c r="G897" s="3" t="s">
        <v>19815</v>
      </c>
      <c r="H897" s="3" t="s">
        <v>19816</v>
      </c>
      <c r="I897" s="5" t="str">
        <f>IFERROR(__xludf.DUMMYFUNCTION("GOOGLETRANSLATE(J897,""zh_HANS"",""zh_HANT"")"),"冷笑話")</f>
        <v>冷笑話</v>
      </c>
      <c r="J897" s="3" t="s">
        <v>19817</v>
      </c>
    </row>
    <row r="898">
      <c r="A898" s="5" t="str">
        <f t="shared" si="46"/>
        <v>NAME_MOVE_TIDYUP</v>
      </c>
      <c r="B898" s="3" t="s">
        <v>19818</v>
      </c>
      <c r="C898" s="3" t="s">
        <v>19819</v>
      </c>
      <c r="D898" s="3" t="s">
        <v>19820</v>
      </c>
      <c r="E898" s="3" t="s">
        <v>19821</v>
      </c>
      <c r="F898" s="3" t="s">
        <v>19822</v>
      </c>
      <c r="G898" s="3" t="s">
        <v>19823</v>
      </c>
      <c r="H898" s="3" t="s">
        <v>19824</v>
      </c>
      <c r="I898" s="5" t="str">
        <f>IFERROR(__xludf.DUMMYFUNCTION("GOOGLETRANSLATE(J898,""zh_HANS"",""zh_HANT"")"),"大掃除")</f>
        <v>大掃除</v>
      </c>
      <c r="J898" s="3" t="s">
        <v>19825</v>
      </c>
    </row>
    <row r="899">
      <c r="A899" s="5" t="str">
        <f t="shared" si="46"/>
        <v>NAME_MOVE_SNOWSCAPE</v>
      </c>
      <c r="B899" s="3" t="s">
        <v>19826</v>
      </c>
      <c r="C899" s="3" t="s">
        <v>19827</v>
      </c>
      <c r="D899" s="3" t="s">
        <v>19828</v>
      </c>
      <c r="E899" s="3" t="s">
        <v>19829</v>
      </c>
      <c r="F899" s="3" t="s">
        <v>19830</v>
      </c>
      <c r="G899" s="3" t="s">
        <v>19831</v>
      </c>
      <c r="H899" s="3" t="s">
        <v>19832</v>
      </c>
      <c r="I899" s="3" t="s">
        <v>19833</v>
      </c>
      <c r="J899" s="5" t="str">
        <f>I899</f>
        <v>雪景</v>
      </c>
    </row>
    <row r="900">
      <c r="A900" s="5" t="str">
        <f t="shared" si="46"/>
        <v>NAME_MOVE_POUNCE</v>
      </c>
      <c r="B900" s="3" t="s">
        <v>19834</v>
      </c>
      <c r="C900" s="3" t="s">
        <v>19835</v>
      </c>
      <c r="D900" s="3" t="s">
        <v>19836</v>
      </c>
      <c r="E900" s="3" t="s">
        <v>19837</v>
      </c>
      <c r="F900" s="3" t="s">
        <v>19838</v>
      </c>
      <c r="G900" s="3" t="s">
        <v>19839</v>
      </c>
      <c r="H900" s="3" t="s">
        <v>19840</v>
      </c>
      <c r="I900" s="5" t="str">
        <f>IFERROR(__xludf.DUMMYFUNCTION("GOOGLETRANSLATE(J900,""zh_HANS"",""zh_HANT"")"),"蟲撲")</f>
        <v>蟲撲</v>
      </c>
      <c r="J900" s="3" t="s">
        <v>19841</v>
      </c>
    </row>
    <row r="901">
      <c r="A901" s="5" t="str">
        <f t="shared" si="46"/>
        <v>NAME_MOVE_TRAILBLAZE</v>
      </c>
      <c r="B901" s="3" t="s">
        <v>19842</v>
      </c>
      <c r="C901" s="3" t="s">
        <v>19843</v>
      </c>
      <c r="D901" s="3" t="s">
        <v>19844</v>
      </c>
      <c r="E901" s="3" t="s">
        <v>19845</v>
      </c>
      <c r="F901" s="3" t="s">
        <v>19727</v>
      </c>
      <c r="G901" s="3" t="s">
        <v>19846</v>
      </c>
      <c r="H901" s="3" t="s">
        <v>19847</v>
      </c>
      <c r="I901" s="3" t="s">
        <v>19848</v>
      </c>
      <c r="J901" s="5" t="str">
        <f>I901</f>
        <v>起草</v>
      </c>
    </row>
    <row r="902">
      <c r="A902" s="5" t="str">
        <f t="shared" si="46"/>
        <v>NAME_MOVE_CHILLINGWATER</v>
      </c>
      <c r="B902" s="3" t="s">
        <v>19849</v>
      </c>
      <c r="C902" s="3" t="s">
        <v>19850</v>
      </c>
      <c r="D902" s="3" t="s">
        <v>19851</v>
      </c>
      <c r="E902" s="3" t="s">
        <v>19852</v>
      </c>
      <c r="F902" s="3" t="s">
        <v>19853</v>
      </c>
      <c r="G902" s="3" t="s">
        <v>19854</v>
      </c>
      <c r="H902" s="3" t="s">
        <v>19855</v>
      </c>
      <c r="I902" s="5" t="str">
        <f>IFERROR(__xludf.DUMMYFUNCTION("GOOGLETRANSLATE(J902,""zh_HANS"",""zh_HANT"")"),"潑冷水")</f>
        <v>潑冷水</v>
      </c>
      <c r="J902" s="3" t="s">
        <v>19856</v>
      </c>
    </row>
    <row r="903">
      <c r="A903" s="5" t="str">
        <f t="shared" si="46"/>
        <v>NAME_MOVE_HYPERDRILL</v>
      </c>
      <c r="B903" s="3" t="s">
        <v>19857</v>
      </c>
      <c r="C903" s="3" t="s">
        <v>19858</v>
      </c>
      <c r="D903" s="3" t="s">
        <v>19859</v>
      </c>
      <c r="E903" s="3" t="s">
        <v>19860</v>
      </c>
      <c r="F903" s="3" t="s">
        <v>19861</v>
      </c>
      <c r="G903" s="3" t="s">
        <v>19862</v>
      </c>
      <c r="H903" s="3" t="s">
        <v>19863</v>
      </c>
      <c r="I903" s="5" t="str">
        <f>IFERROR(__xludf.DUMMYFUNCTION("GOOGLETRANSLATE(J903,""zh_HANS"",""zh_HANT"")"),"強力鑽")</f>
        <v>強力鑽</v>
      </c>
      <c r="J903" s="3" t="s">
        <v>19864</v>
      </c>
    </row>
    <row r="904">
      <c r="A904" s="5" t="str">
        <f t="shared" si="46"/>
        <v>NAME_MOVE_TWINBEAM</v>
      </c>
      <c r="B904" s="3" t="s">
        <v>19865</v>
      </c>
      <c r="C904" s="3" t="s">
        <v>19866</v>
      </c>
      <c r="D904" s="3" t="s">
        <v>19867</v>
      </c>
      <c r="E904" s="3" t="s">
        <v>19868</v>
      </c>
      <c r="F904" s="3" t="s">
        <v>19869</v>
      </c>
      <c r="G904" s="3" t="s">
        <v>19870</v>
      </c>
      <c r="H904" s="3" t="s">
        <v>19871</v>
      </c>
      <c r="I904" s="5" t="str">
        <f>IFERROR(__xludf.DUMMYFUNCTION("GOOGLETRANSLATE(J904,""zh_HANS"",""zh_HANT"")"),"雙光束")</f>
        <v>雙光束</v>
      </c>
      <c r="J904" s="3" t="s">
        <v>19872</v>
      </c>
    </row>
    <row r="905">
      <c r="A905" s="5" t="str">
        <f t="shared" si="46"/>
        <v>NAME_MOVE_RAGEFIST</v>
      </c>
      <c r="B905" s="3" t="s">
        <v>19873</v>
      </c>
      <c r="C905" s="3" t="s">
        <v>19874</v>
      </c>
      <c r="D905" s="3" t="s">
        <v>19875</v>
      </c>
      <c r="E905" s="3" t="s">
        <v>19876</v>
      </c>
      <c r="F905" s="3" t="s">
        <v>19877</v>
      </c>
      <c r="G905" s="3" t="s">
        <v>19878</v>
      </c>
      <c r="H905" s="3" t="s">
        <v>19879</v>
      </c>
      <c r="I905" s="5" t="str">
        <f>IFERROR(__xludf.DUMMYFUNCTION("GOOGLETRANSLATE(J905,""zh_HANS"",""zh_HANT"")"),"憤怒之拳")</f>
        <v>憤怒之拳</v>
      </c>
      <c r="J905" s="3" t="s">
        <v>19880</v>
      </c>
    </row>
    <row r="906">
      <c r="A906" s="5" t="str">
        <f t="shared" si="46"/>
        <v>NAME_MOVE_ARMORCANNON</v>
      </c>
      <c r="B906" s="3" t="s">
        <v>19881</v>
      </c>
      <c r="C906" s="3" t="s">
        <v>19882</v>
      </c>
      <c r="D906" s="3" t="s">
        <v>19883</v>
      </c>
      <c r="E906" s="3" t="s">
        <v>19884</v>
      </c>
      <c r="F906" s="3" t="s">
        <v>19885</v>
      </c>
      <c r="G906" s="3" t="s">
        <v>19886</v>
      </c>
      <c r="H906" s="3" t="s">
        <v>19887</v>
      </c>
      <c r="I906" s="5" t="str">
        <f>IFERROR(__xludf.DUMMYFUNCTION("GOOGLETRANSLATE(J906,""zh_HANS"",""zh_HANT"")"),"鎧農炮")</f>
        <v>鎧農炮</v>
      </c>
      <c r="J906" s="3" t="s">
        <v>19888</v>
      </c>
    </row>
    <row r="907">
      <c r="A907" s="5" t="str">
        <f t="shared" si="46"/>
        <v>NAME_MOVE_BITTERBLADE</v>
      </c>
      <c r="B907" s="3" t="s">
        <v>19889</v>
      </c>
      <c r="C907" s="3" t="s">
        <v>19890</v>
      </c>
      <c r="D907" s="3" t="s">
        <v>19891</v>
      </c>
      <c r="E907" s="3" t="s">
        <v>19892</v>
      </c>
      <c r="F907" s="3" t="s">
        <v>19893</v>
      </c>
      <c r="G907" s="3" t="s">
        <v>19894</v>
      </c>
      <c r="H907" s="3" t="s">
        <v>19895</v>
      </c>
      <c r="I907" s="5" t="str">
        <f>IFERROR(__xludf.DUMMYFUNCTION("GOOGLETRANSLATE(J907,""zh_HANS"",""zh_HANT"")"),"悔念劍")</f>
        <v>悔念劍</v>
      </c>
      <c r="J907" s="3" t="s">
        <v>19896</v>
      </c>
    </row>
    <row r="908">
      <c r="A908" s="5" t="str">
        <f t="shared" si="46"/>
        <v>NAME_MOVE_DOUBLESHOCK</v>
      </c>
      <c r="B908" s="3" t="s">
        <v>19897</v>
      </c>
      <c r="C908" s="3" t="s">
        <v>19898</v>
      </c>
      <c r="D908" s="3" t="s">
        <v>19899</v>
      </c>
      <c r="E908" s="3" t="s">
        <v>19900</v>
      </c>
      <c r="F908" s="3" t="s">
        <v>19901</v>
      </c>
      <c r="G908" s="3" t="s">
        <v>19902</v>
      </c>
      <c r="H908" s="3" t="s">
        <v>19903</v>
      </c>
      <c r="I908" s="5" t="str">
        <f>IFERROR(__xludf.DUMMYFUNCTION("GOOGLETRANSLATE(J908,""zh_HANS"",""zh_HANT"")"),"電光雙擊")</f>
        <v>電光雙擊</v>
      </c>
      <c r="J908" s="3" t="s">
        <v>19904</v>
      </c>
    </row>
    <row r="909">
      <c r="A909" s="5" t="str">
        <f t="shared" si="46"/>
        <v>NAME_MOVE_GIGATONHAMMER</v>
      </c>
      <c r="B909" s="3" t="s">
        <v>19905</v>
      </c>
      <c r="C909" s="3" t="s">
        <v>19906</v>
      </c>
      <c r="D909" s="3" t="s">
        <v>19907</v>
      </c>
      <c r="E909" s="3" t="s">
        <v>19908</v>
      </c>
      <c r="F909" s="3" t="s">
        <v>19909</v>
      </c>
      <c r="G909" s="3" t="s">
        <v>19910</v>
      </c>
      <c r="H909" s="3" t="s">
        <v>19911</v>
      </c>
      <c r="I909" s="5" t="str">
        <f>IFERROR(__xludf.DUMMYFUNCTION("GOOGLETRANSLATE(J909,""zh_HANS"",""zh_HANT"")"),"巨力錘")</f>
        <v>巨力錘</v>
      </c>
      <c r="J909" s="3" t="s">
        <v>19912</v>
      </c>
    </row>
    <row r="910">
      <c r="A910" s="5" t="str">
        <f t="shared" si="46"/>
        <v>NAME_MOVE_COMEUPPANCE</v>
      </c>
      <c r="B910" s="3" t="s">
        <v>19913</v>
      </c>
      <c r="C910" s="3" t="s">
        <v>19914</v>
      </c>
      <c r="D910" s="3" t="s">
        <v>19915</v>
      </c>
      <c r="E910" s="3" t="s">
        <v>19916</v>
      </c>
      <c r="F910" s="3" t="s">
        <v>19917</v>
      </c>
      <c r="G910" s="3" t="s">
        <v>19918</v>
      </c>
      <c r="H910" s="3" t="s">
        <v>19919</v>
      </c>
      <c r="I910" s="5" t="str">
        <f>IFERROR(__xludf.DUMMYFUNCTION("GOOGLETRANSLATE(J910,""zh_HANS"",""zh_HANT"")"),"復仇")</f>
        <v>復仇</v>
      </c>
      <c r="J910" s="3" t="s">
        <v>19920</v>
      </c>
    </row>
    <row r="911">
      <c r="A911" s="5" t="str">
        <f t="shared" si="46"/>
        <v>NAME_MOVE_AQUACUTTER</v>
      </c>
      <c r="B911" s="3" t="s">
        <v>19921</v>
      </c>
      <c r="C911" s="3" t="s">
        <v>19922</v>
      </c>
      <c r="D911" s="3" t="s">
        <v>19923</v>
      </c>
      <c r="E911" s="3" t="s">
        <v>19924</v>
      </c>
      <c r="F911" s="3" t="s">
        <v>19925</v>
      </c>
      <c r="G911" s="3" t="s">
        <v>19926</v>
      </c>
      <c r="H911" s="3" t="s">
        <v>19927</v>
      </c>
      <c r="I911" s="3" t="s">
        <v>19928</v>
      </c>
      <c r="J911" s="5" t="str">
        <f>I911</f>
        <v>水波刀</v>
      </c>
    </row>
    <row r="912">
      <c r="A912" s="5" t="str">
        <f t="shared" si="46"/>
        <v>NAME_MOVE_BLAZINGTORQUE</v>
      </c>
      <c r="B912" s="3" t="s">
        <v>19929</v>
      </c>
      <c r="C912" s="3" t="s">
        <v>19930</v>
      </c>
      <c r="D912" s="3" t="s">
        <v>19931</v>
      </c>
      <c r="E912" s="3" t="s">
        <v>19932</v>
      </c>
      <c r="F912" s="3" t="s">
        <v>19933</v>
      </c>
      <c r="G912" s="3" t="s">
        <v>19934</v>
      </c>
      <c r="H912" s="3" t="s">
        <v>19935</v>
      </c>
      <c r="I912" s="5" t="str">
        <f>IFERROR(__xludf.DUMMYFUNCTION("GOOGLETRANSLATE(J912,""zh_HANS"",""zh_HANT"")"),"灼熱暴衝")</f>
        <v>灼熱暴衝</v>
      </c>
      <c r="J912" s="3" t="s">
        <v>19936</v>
      </c>
    </row>
    <row r="913">
      <c r="A913" s="5" t="str">
        <f t="shared" si="46"/>
        <v>NAME_MOVE_WICKEDTORQUE</v>
      </c>
      <c r="B913" s="3" t="s">
        <v>19937</v>
      </c>
      <c r="C913" s="3" t="s">
        <v>19938</v>
      </c>
      <c r="D913" s="3" t="s">
        <v>19939</v>
      </c>
      <c r="E913" s="3" t="s">
        <v>19940</v>
      </c>
      <c r="F913" s="3" t="s">
        <v>19941</v>
      </c>
      <c r="G913" s="3" t="s">
        <v>19942</v>
      </c>
      <c r="H913" s="3" t="s">
        <v>19943</v>
      </c>
      <c r="I913" s="5" t="str">
        <f>IFERROR(__xludf.DUMMYFUNCTION("GOOGLETRANSLATE(J913,""zh_HANS"",""zh_HANT"")"),"黑暗暴衝")</f>
        <v>黑暗暴衝</v>
      </c>
      <c r="J913" s="3" t="s">
        <v>19944</v>
      </c>
    </row>
    <row r="914">
      <c r="A914" s="5" t="str">
        <f t="shared" si="46"/>
        <v>NAME_MOVE_NOXIOUSTORQUE</v>
      </c>
      <c r="B914" s="3" t="s">
        <v>19945</v>
      </c>
      <c r="C914" s="3" t="s">
        <v>19946</v>
      </c>
      <c r="D914" s="3" t="s">
        <v>19947</v>
      </c>
      <c r="E914" s="3" t="s">
        <v>19948</v>
      </c>
      <c r="F914" s="3" t="s">
        <v>19949</v>
      </c>
      <c r="G914" s="3" t="s">
        <v>19950</v>
      </c>
      <c r="H914" s="3" t="s">
        <v>19951</v>
      </c>
      <c r="I914" s="5" t="str">
        <f>IFERROR(__xludf.DUMMYFUNCTION("GOOGLETRANSLATE(J914,""zh_HANS"",""zh_HANT"")"),"劇毒暴衝")</f>
        <v>劇毒暴衝</v>
      </c>
      <c r="J914" s="3" t="s">
        <v>19952</v>
      </c>
    </row>
    <row r="915">
      <c r="A915" s="5" t="str">
        <f t="shared" si="46"/>
        <v>NAME_MOVE_COMBATTORQUE</v>
      </c>
      <c r="B915" s="3" t="s">
        <v>19953</v>
      </c>
      <c r="C915" s="3" t="s">
        <v>19954</v>
      </c>
      <c r="D915" s="3" t="s">
        <v>19955</v>
      </c>
      <c r="E915" s="3" t="s">
        <v>19956</v>
      </c>
      <c r="F915" s="3" t="s">
        <v>19957</v>
      </c>
      <c r="G915" s="3" t="str">
        <f>G914</f>
        <v>Turbotossina</v>
      </c>
      <c r="H915" s="3" t="s">
        <v>19958</v>
      </c>
      <c r="I915" s="5" t="str">
        <f>IFERROR(__xludf.DUMMYFUNCTION("GOOGLETRANSLATE(J915,""zh_HANS"",""zh_HANT"")"),"格鬥暴衝")</f>
        <v>格鬥暴衝</v>
      </c>
      <c r="J915" s="3" t="s">
        <v>19959</v>
      </c>
    </row>
    <row r="916">
      <c r="A916" s="5" t="str">
        <f t="shared" si="46"/>
        <v>NAME_MOVE_MAGICALTORQUE</v>
      </c>
      <c r="B916" s="3" t="s">
        <v>19960</v>
      </c>
      <c r="C916" s="3" t="s">
        <v>19961</v>
      </c>
      <c r="D916" s="3" t="s">
        <v>19962</v>
      </c>
      <c r="E916" s="3" t="s">
        <v>19963</v>
      </c>
      <c r="F916" s="3" t="s">
        <v>19964</v>
      </c>
      <c r="G916" s="3" t="s">
        <v>19965</v>
      </c>
      <c r="H916" s="3" t="s">
        <v>19966</v>
      </c>
      <c r="I916" s="5" t="str">
        <f>IFERROR(__xludf.DUMMYFUNCTION("GOOGLETRANSLATE(J916,""zh_HANS"",""zh_HANT"")"),"魔法暴衝")</f>
        <v>魔法暴衝</v>
      </c>
      <c r="J916" s="3" t="s">
        <v>19967</v>
      </c>
    </row>
    <row r="917">
      <c r="A917" s="5" t="str">
        <f t="shared" si="46"/>
        <v>NAME_MOVE_BLOODMOON</v>
      </c>
      <c r="B917" s="3" t="s">
        <v>19968</v>
      </c>
      <c r="C917" s="18" t="s">
        <v>19969</v>
      </c>
      <c r="D917" s="3" t="s">
        <v>19970</v>
      </c>
      <c r="E917" s="3" t="str">
        <f>Forms!E215</f>
        <v>Blutmond</v>
      </c>
      <c r="F917" s="3" t="s">
        <v>19971</v>
      </c>
      <c r="G917" s="3" t="s">
        <v>19972</v>
      </c>
      <c r="H917" s="3" t="s">
        <v>19973</v>
      </c>
      <c r="I917" s="3" t="s">
        <v>19974</v>
      </c>
      <c r="J917" s="3" t="str">
        <f t="shared" ref="J917:J918" si="49">I917</f>
        <v>血月</v>
      </c>
    </row>
    <row r="918">
      <c r="A918" s="5" t="str">
        <f t="shared" si="46"/>
        <v>NAME_MOVE_MATCHAGATCHA</v>
      </c>
      <c r="B918" s="3" t="s">
        <v>19975</v>
      </c>
      <c r="C918" s="3" t="s">
        <v>19976</v>
      </c>
      <c r="D918" s="3" t="s">
        <v>19977</v>
      </c>
      <c r="E918" s="3" t="s">
        <v>19978</v>
      </c>
      <c r="F918" s="3" t="s">
        <v>19979</v>
      </c>
      <c r="G918" s="3" t="s">
        <v>19980</v>
      </c>
      <c r="H918" s="3" t="s">
        <v>19981</v>
      </c>
      <c r="I918" s="3" t="s">
        <v>19982</v>
      </c>
      <c r="J918" s="3" t="str">
        <f t="shared" si="49"/>
        <v>刷刷茶炮</v>
      </c>
    </row>
    <row r="919">
      <c r="A919" s="5" t="str">
        <f t="shared" si="46"/>
        <v>NAME_MOVE_SYRUPBOMB</v>
      </c>
      <c r="B919" s="3" t="s">
        <v>19983</v>
      </c>
      <c r="C919" s="3" t="s">
        <v>19984</v>
      </c>
      <c r="D919" s="3" t="s">
        <v>19985</v>
      </c>
      <c r="E919" s="3" t="s">
        <v>19986</v>
      </c>
      <c r="F919" s="3" t="s">
        <v>19987</v>
      </c>
      <c r="G919" s="3" t="s">
        <v>19988</v>
      </c>
      <c r="H919" s="3" t="s">
        <v>19989</v>
      </c>
      <c r="I919" s="5" t="str">
        <f>IFERROR(__xludf.DUMMYFUNCTION("GOOGLETRANSLATE(J919,""zh_HANS"",""zh_HANT"")"),"糖漿炸彈")</f>
        <v>糖漿炸彈</v>
      </c>
      <c r="J919" s="3" t="s">
        <v>19990</v>
      </c>
    </row>
    <row r="920">
      <c r="A920" s="5" t="str">
        <f t="shared" si="46"/>
        <v>NAME_MOVE_IVYCUDGEL</v>
      </c>
      <c r="B920" s="3" t="s">
        <v>19991</v>
      </c>
      <c r="C920" s="3" t="s">
        <v>19992</v>
      </c>
      <c r="D920" s="3" t="s">
        <v>19993</v>
      </c>
      <c r="E920" s="3" t="s">
        <v>19994</v>
      </c>
      <c r="F920" s="3" t="s">
        <v>19995</v>
      </c>
      <c r="G920" s="3" t="s">
        <v>19996</v>
      </c>
      <c r="H920" s="3" t="s">
        <v>19997</v>
      </c>
      <c r="I920" s="5" t="str">
        <f>J920</f>
        <v>棘藤棒</v>
      </c>
      <c r="J920" s="3" t="s">
        <v>19998</v>
      </c>
    </row>
    <row r="921">
      <c r="A921" s="5" t="str">
        <f t="shared" si="46"/>
        <v>NAME_MOVE_ELECTROSHOT</v>
      </c>
      <c r="B921" s="3" t="s">
        <v>19999</v>
      </c>
      <c r="C921" s="3" t="s">
        <v>20000</v>
      </c>
      <c r="D921" s="3" t="s">
        <v>20001</v>
      </c>
      <c r="E921" s="3" t="s">
        <v>20002</v>
      </c>
      <c r="F921" s="3" t="s">
        <v>20003</v>
      </c>
      <c r="G921" s="3" t="s">
        <v>20004</v>
      </c>
      <c r="H921" s="3" t="s">
        <v>20005</v>
      </c>
      <c r="I921" s="5" t="str">
        <f>IFERROR(__xludf.DUMMYFUNCTION("GOOGLETRANSLATE(J921,""zh_HANS"",""zh_HANT"")"),"電光束")</f>
        <v>電光束</v>
      </c>
      <c r="J921" s="3" t="s">
        <v>20006</v>
      </c>
    </row>
    <row r="922">
      <c r="A922" s="5" t="str">
        <f t="shared" si="46"/>
        <v>NAME_MOVE_TERASTARSTORM</v>
      </c>
      <c r="B922" s="3" t="s">
        <v>20007</v>
      </c>
      <c r="C922" s="3" t="s">
        <v>20008</v>
      </c>
      <c r="D922" s="3" t="s">
        <v>20009</v>
      </c>
      <c r="E922" s="3" t="s">
        <v>20010</v>
      </c>
      <c r="F922" s="3" t="s">
        <v>20011</v>
      </c>
      <c r="G922" s="3" t="s">
        <v>20012</v>
      </c>
      <c r="H922" s="3" t="s">
        <v>20013</v>
      </c>
      <c r="I922" s="3" t="s">
        <v>20014</v>
      </c>
      <c r="J922" s="3" t="str">
        <f>I922</f>
        <v>晶光星群</v>
      </c>
    </row>
    <row r="923">
      <c r="A923" s="5" t="str">
        <f t="shared" si="46"/>
        <v>NAME_MOVE_FICKLEBEAM</v>
      </c>
      <c r="B923" s="3" t="s">
        <v>20015</v>
      </c>
      <c r="C923" s="3" t="s">
        <v>20016</v>
      </c>
      <c r="D923" s="3" t="s">
        <v>20017</v>
      </c>
      <c r="E923" s="3" t="s">
        <v>20018</v>
      </c>
      <c r="F923" s="3" t="s">
        <v>20019</v>
      </c>
      <c r="G923" s="3" t="s">
        <v>20020</v>
      </c>
      <c r="H923" s="3" t="s">
        <v>20021</v>
      </c>
      <c r="I923" s="5" t="str">
        <f>IFERROR(__xludf.DUMMYFUNCTION("GOOGLETRANSLATE(J923,""zh_HANS"",""zh_HANT"")"),"隨機光")</f>
        <v>隨機光</v>
      </c>
      <c r="J923" s="3" t="s">
        <v>20022</v>
      </c>
    </row>
    <row r="924">
      <c r="A924" s="5" t="str">
        <f t="shared" si="46"/>
        <v>NAME_MOVE_BURNINGBULWARK</v>
      </c>
      <c r="B924" s="3" t="s">
        <v>20023</v>
      </c>
      <c r="C924" s="3" t="s">
        <v>20024</v>
      </c>
      <c r="D924" s="3" t="s">
        <v>20025</v>
      </c>
      <c r="E924" s="3" t="s">
        <v>20026</v>
      </c>
      <c r="F924" s="3" t="s">
        <v>20027</v>
      </c>
      <c r="G924" s="3" t="s">
        <v>20028</v>
      </c>
      <c r="H924" s="3" t="s">
        <v>20029</v>
      </c>
      <c r="I924" s="5" t="str">
        <f>IFERROR(__xludf.DUMMYFUNCTION("GOOGLETRANSLATE(J924,""zh_HANS"",""zh_HANT"")"),"火焰守護")</f>
        <v>火焰守護</v>
      </c>
      <c r="J924" s="3" t="s">
        <v>20030</v>
      </c>
    </row>
    <row r="925">
      <c r="A925" s="5" t="str">
        <f t="shared" si="46"/>
        <v>NAME_MOVE_THUNDERCLAP</v>
      </c>
      <c r="B925" s="3" t="s">
        <v>11781</v>
      </c>
      <c r="C925" s="3" t="s">
        <v>11782</v>
      </c>
      <c r="D925" s="3" t="s">
        <v>11783</v>
      </c>
      <c r="E925" s="3" t="s">
        <v>20031</v>
      </c>
      <c r="F925" s="3" t="s">
        <v>20032</v>
      </c>
      <c r="G925" s="3" t="s">
        <v>9804</v>
      </c>
      <c r="H925" s="3" t="s">
        <v>20033</v>
      </c>
      <c r="I925" s="3" t="s">
        <v>20034</v>
      </c>
      <c r="J925" s="3" t="str">
        <f>I925</f>
        <v>迅雷</v>
      </c>
    </row>
    <row r="926">
      <c r="A926" s="5" t="str">
        <f t="shared" si="46"/>
        <v>NAME_MOVE_MIGHTYCLEAVE</v>
      </c>
      <c r="B926" s="3" t="s">
        <v>20035</v>
      </c>
      <c r="C926" s="3" t="s">
        <v>20036</v>
      </c>
      <c r="D926" s="3" t="s">
        <v>20037</v>
      </c>
      <c r="E926" s="3" t="s">
        <v>20038</v>
      </c>
      <c r="F926" s="3" t="s">
        <v>20039</v>
      </c>
      <c r="G926" s="3" t="s">
        <v>20040</v>
      </c>
      <c r="H926" s="3" t="s">
        <v>20041</v>
      </c>
      <c r="I926" s="5" t="str">
        <f>IFERROR(__xludf.DUMMYFUNCTION("GOOGLETRANSLATE(J926,""zh_HANS"",""zh_HANT"")"),"強刃攻擊")</f>
        <v>強刃攻擊</v>
      </c>
      <c r="J926" s="3" t="s">
        <v>20042</v>
      </c>
    </row>
    <row r="927">
      <c r="A927" s="5" t="str">
        <f t="shared" si="46"/>
        <v>NAME_MOVE_TACHYONCUTTER</v>
      </c>
      <c r="B927" s="3" t="s">
        <v>20043</v>
      </c>
      <c r="C927" s="3" t="s">
        <v>20044</v>
      </c>
      <c r="D927" s="3" t="s">
        <v>20045</v>
      </c>
      <c r="E927" s="3" t="s">
        <v>20046</v>
      </c>
      <c r="F927" s="3" t="s">
        <v>20047</v>
      </c>
      <c r="G927" s="3" t="s">
        <v>20048</v>
      </c>
      <c r="H927" s="3" t="s">
        <v>20049</v>
      </c>
      <c r="I927" s="3" t="s">
        <v>20050</v>
      </c>
      <c r="J927" s="5" t="str">
        <f>I927</f>
        <v>迅子利刃</v>
      </c>
    </row>
    <row r="928">
      <c r="A928" s="5" t="str">
        <f t="shared" si="46"/>
        <v>NAME_MOVE_HARDPRESS</v>
      </c>
      <c r="B928" s="3" t="s">
        <v>20051</v>
      </c>
      <c r="C928" s="3" t="s">
        <v>20052</v>
      </c>
      <c r="D928" s="3" t="s">
        <v>20053</v>
      </c>
      <c r="E928" s="3" t="s">
        <v>20054</v>
      </c>
      <c r="F928" s="3" t="s">
        <v>20055</v>
      </c>
      <c r="G928" s="3" t="s">
        <v>20056</v>
      </c>
      <c r="H928" s="3" t="s">
        <v>20057</v>
      </c>
      <c r="I928" s="5" t="str">
        <f>IFERROR(__xludf.DUMMYFUNCTION("GOOGLETRANSLATE(J928,""zh_HANS"",""zh_HANT"")"),"硬壓")</f>
        <v>硬壓</v>
      </c>
      <c r="J928" s="3" t="s">
        <v>20058</v>
      </c>
    </row>
    <row r="929">
      <c r="A929" s="5" t="str">
        <f t="shared" si="46"/>
        <v>NAME_MOVE_DRAGONCHEER</v>
      </c>
      <c r="B929" s="3" t="s">
        <v>20059</v>
      </c>
      <c r="C929" s="3" t="s">
        <v>20060</v>
      </c>
      <c r="D929" s="3" t="s">
        <v>20061</v>
      </c>
      <c r="E929" s="3" t="s">
        <v>20062</v>
      </c>
      <c r="F929" s="3" t="s">
        <v>20063</v>
      </c>
      <c r="G929" s="3" t="s">
        <v>20064</v>
      </c>
      <c r="H929" s="3" t="s">
        <v>20065</v>
      </c>
      <c r="I929" s="5" t="str">
        <f>IFERROR(__xludf.DUMMYFUNCTION("GOOGLETRANSLATE(J929,""zh_HANS"",""zh_HANT"")"),"龍聲鼓舞")</f>
        <v>龍聲鼓舞</v>
      </c>
      <c r="J929" s="3" t="s">
        <v>20066</v>
      </c>
    </row>
    <row r="930">
      <c r="A930" s="5" t="str">
        <f t="shared" si="46"/>
        <v>NAME_MOVE_ALLURINGVOICE</v>
      </c>
      <c r="B930" s="3" t="s">
        <v>20067</v>
      </c>
      <c r="C930" s="3" t="s">
        <v>20068</v>
      </c>
      <c r="D930" s="3" t="s">
        <v>20069</v>
      </c>
      <c r="E930" s="3" t="s">
        <v>20070</v>
      </c>
      <c r="F930" s="3" t="s">
        <v>20071</v>
      </c>
      <c r="G930" s="3" t="s">
        <v>20072</v>
      </c>
      <c r="H930" s="3" t="s">
        <v>20073</v>
      </c>
      <c r="I930" s="5" t="str">
        <f>IFERROR(__xludf.DUMMYFUNCTION("GOOGLETRANSLATE(J930,""zh_HANS"",""zh_HANT"")"),"魅誘之聲")</f>
        <v>魅誘之聲</v>
      </c>
      <c r="J930" s="3" t="s">
        <v>20074</v>
      </c>
    </row>
    <row r="931">
      <c r="A931" s="5" t="str">
        <f t="shared" si="46"/>
        <v>NAME_MOVE_TEMPERFLARE</v>
      </c>
      <c r="B931" s="3" t="s">
        <v>20075</v>
      </c>
      <c r="C931" s="3" t="s">
        <v>20076</v>
      </c>
      <c r="D931" s="3" t="s">
        <v>20077</v>
      </c>
      <c r="E931" s="3" t="s">
        <v>20078</v>
      </c>
      <c r="F931" s="3" t="s">
        <v>20079</v>
      </c>
      <c r="G931" s="3" t="s">
        <v>20080</v>
      </c>
      <c r="H931" s="3" t="s">
        <v>20081</v>
      </c>
      <c r="I931" s="3" t="s">
        <v>20082</v>
      </c>
      <c r="J931" s="3" t="str">
        <f>I931</f>
        <v>豁出去</v>
      </c>
    </row>
    <row r="932">
      <c r="A932" s="5" t="str">
        <f t="shared" si="46"/>
        <v>NAME_MOVE_SUPERCELLSLAM</v>
      </c>
      <c r="B932" s="3" t="s">
        <v>20083</v>
      </c>
      <c r="C932" s="3" t="s">
        <v>20084</v>
      </c>
      <c r="D932" s="3" t="s">
        <v>20085</v>
      </c>
      <c r="E932" s="3" t="s">
        <v>20086</v>
      </c>
      <c r="F932" s="3" t="s">
        <v>20087</v>
      </c>
      <c r="G932" s="3" t="s">
        <v>20088</v>
      </c>
      <c r="H932" s="3" t="s">
        <v>20089</v>
      </c>
      <c r="I932" s="5" t="str">
        <f>IFERROR(__xludf.DUMMYFUNCTION("GOOGLETRANSLATE(J932,""zh_HANS"",""zh_HANT"")"),"閃電強襲")</f>
        <v>閃電強襲</v>
      </c>
      <c r="J932" s="3" t="s">
        <v>20090</v>
      </c>
    </row>
    <row r="933">
      <c r="A933" s="5" t="str">
        <f t="shared" si="46"/>
        <v>NAME_MOVE_PSYCHICNOISE</v>
      </c>
      <c r="B933" s="3" t="s">
        <v>20091</v>
      </c>
      <c r="C933" s="3" t="s">
        <v>20092</v>
      </c>
      <c r="D933" s="3" t="s">
        <v>20093</v>
      </c>
      <c r="E933" s="3" t="s">
        <v>20094</v>
      </c>
      <c r="F933" s="3" t="s">
        <v>20095</v>
      </c>
      <c r="G933" s="3" t="s">
        <v>20096</v>
      </c>
      <c r="H933" s="3" t="s">
        <v>20097</v>
      </c>
      <c r="I933" s="3" t="s">
        <v>20098</v>
      </c>
      <c r="J933" s="3" t="str">
        <f>I933</f>
        <v>精神噪音</v>
      </c>
    </row>
    <row r="934">
      <c r="A934" s="5" t="str">
        <f t="shared" si="46"/>
        <v>NAME_MOVE_UPPERHAND</v>
      </c>
      <c r="B934" s="3" t="s">
        <v>20099</v>
      </c>
      <c r="C934" s="3" t="s">
        <v>20100</v>
      </c>
      <c r="D934" s="3" t="s">
        <v>20101</v>
      </c>
      <c r="E934" s="3" t="s">
        <v>20102</v>
      </c>
      <c r="F934" s="3" t="s">
        <v>20103</v>
      </c>
      <c r="G934" s="3" t="s">
        <v>20104</v>
      </c>
      <c r="H934" s="3" t="s">
        <v>20105</v>
      </c>
      <c r="I934" s="5" t="str">
        <f>IFERROR(__xludf.DUMMYFUNCTION("GOOGLETRANSLATE(J934,""zh_HANS"",""zh_HANT"")"),"快手還擊")</f>
        <v>快手還擊</v>
      </c>
      <c r="J934" s="3" t="s">
        <v>20106</v>
      </c>
    </row>
    <row r="935">
      <c r="A935" s="5" t="str">
        <f t="shared" si="46"/>
        <v>NAME_MOVE_MALIGNANTCHAIN</v>
      </c>
      <c r="B935" s="3" t="s">
        <v>20107</v>
      </c>
      <c r="C935" s="3" t="s">
        <v>20108</v>
      </c>
      <c r="D935" s="3" t="s">
        <v>20109</v>
      </c>
      <c r="E935" s="3" t="s">
        <v>20110</v>
      </c>
      <c r="F935" s="3" t="s">
        <v>20111</v>
      </c>
      <c r="G935" s="3" t="s">
        <v>20112</v>
      </c>
      <c r="H935" s="3" t="s">
        <v>20113</v>
      </c>
      <c r="I935" s="5" t="str">
        <f>IFERROR(__xludf.DUMMYFUNCTION("GOOGLETRANSLATE(J935,""zh_HANS"",""zh_HANT"")"),"邪毒鎖鏈")</f>
        <v>邪毒鎖鏈</v>
      </c>
      <c r="J935" s="3" t="s">
        <v>20114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2" width="15.5"/>
    <col customWidth="1" min="3" max="3" width="14.88"/>
    <col customWidth="1" min="4" max="4" width="15.0"/>
    <col customWidth="1" min="5" max="5" width="13.75"/>
    <col customWidth="1" min="6" max="6" width="14.63"/>
    <col customWidth="1" min="7" max="7" width="15.13"/>
    <col customWidth="1" min="8" max="8" width="14.5"/>
  </cols>
  <sheetData>
    <row r="1">
      <c r="A1" s="2" t="str">
        <f>Pokemon!A1</f>
        <v>keys</v>
      </c>
      <c r="B1" s="2" t="str">
        <f>Pokemon!B1</f>
        <v>en</v>
      </c>
      <c r="C1" s="2" t="str">
        <f>Pokemon!C1</f>
        <v>ja</v>
      </c>
      <c r="D1" s="2" t="str">
        <f>Pokemon!D1</f>
        <v>fr</v>
      </c>
      <c r="E1" s="2" t="str">
        <f>Pokemon!E1</f>
        <v>de</v>
      </c>
      <c r="F1" s="2" t="str">
        <f>Pokemon!F1</f>
        <v>es</v>
      </c>
      <c r="G1" s="2" t="str">
        <f>Pokemon!G1</f>
        <v>it</v>
      </c>
      <c r="H1" s="2" t="str">
        <f>Pokemon!H1</f>
        <v>ko</v>
      </c>
      <c r="I1" s="2" t="str">
        <f>Pokemon!I1</f>
        <v>zh_HK</v>
      </c>
      <c r="J1" s="2" t="str">
        <f>Pokemon!J1</f>
        <v>zh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 t="shared" ref="A2:A263" si="1">CONCATENATE("NAME_ABILITY_", SUBSTITUTE(UPPER(B2), " ", ""))</f>
        <v>NAME_ABILITY_STENCH</v>
      </c>
      <c r="B2" s="3" t="s">
        <v>20115</v>
      </c>
      <c r="C2" s="3" t="s">
        <v>20116</v>
      </c>
      <c r="D2" s="3" t="s">
        <v>20117</v>
      </c>
      <c r="E2" s="3" t="s">
        <v>20118</v>
      </c>
      <c r="F2" s="3" t="s">
        <v>20119</v>
      </c>
      <c r="G2" s="3" t="s">
        <v>20120</v>
      </c>
      <c r="H2" s="3" t="s">
        <v>20121</v>
      </c>
      <c r="I2" s="3" t="s">
        <v>20122</v>
      </c>
      <c r="J2" s="5" t="str">
        <f>IFERROR(__xludf.DUMMYFUNCTION("GOOGLETRANSLATE(I2,""zh_HANT"",""zh_HANS"")"),"恶臭")</f>
        <v>恶臭</v>
      </c>
    </row>
    <row r="3">
      <c r="A3" s="5" t="str">
        <f t="shared" si="1"/>
        <v>NAME_ABILITY_DRIZZLE</v>
      </c>
      <c r="B3" s="3" t="s">
        <v>20123</v>
      </c>
      <c r="C3" s="3" t="s">
        <v>20124</v>
      </c>
      <c r="D3" s="3" t="s">
        <v>20125</v>
      </c>
      <c r="E3" s="3" t="s">
        <v>20126</v>
      </c>
      <c r="F3" s="3" t="s">
        <v>20127</v>
      </c>
      <c r="G3" s="3" t="s">
        <v>20128</v>
      </c>
      <c r="H3" s="3" t="s">
        <v>20129</v>
      </c>
      <c r="I3" s="3" t="s">
        <v>20130</v>
      </c>
      <c r="J3" s="5" t="str">
        <f t="shared" ref="J3:J4" si="2">I3</f>
        <v>降雨</v>
      </c>
    </row>
    <row r="4">
      <c r="A4" s="5" t="str">
        <f t="shared" si="1"/>
        <v>NAME_ABILITY_SPEEDBOOST</v>
      </c>
      <c r="B4" s="3" t="s">
        <v>20131</v>
      </c>
      <c r="C4" s="3" t="s">
        <v>20132</v>
      </c>
      <c r="D4" s="3" t="s">
        <v>20133</v>
      </c>
      <c r="E4" s="3" t="s">
        <v>20134</v>
      </c>
      <c r="F4" s="3" t="s">
        <v>20135</v>
      </c>
      <c r="G4" s="3" t="s">
        <v>20136</v>
      </c>
      <c r="H4" s="3" t="s">
        <v>20137</v>
      </c>
      <c r="I4" s="3" t="s">
        <v>20138</v>
      </c>
      <c r="J4" s="5" t="str">
        <f t="shared" si="2"/>
        <v>加速</v>
      </c>
    </row>
    <row r="5">
      <c r="A5" s="5" t="str">
        <f t="shared" si="1"/>
        <v>NAME_ABILITY_BATTLEARMOR</v>
      </c>
      <c r="B5" s="3" t="s">
        <v>20139</v>
      </c>
      <c r="C5" s="3" t="s">
        <v>20140</v>
      </c>
      <c r="D5" s="16" t="s">
        <v>20141</v>
      </c>
      <c r="E5" s="3" t="s">
        <v>20142</v>
      </c>
      <c r="F5" s="3" t="s">
        <v>20143</v>
      </c>
      <c r="G5" s="3" t="s">
        <v>20144</v>
      </c>
      <c r="H5" s="3" t="s">
        <v>20145</v>
      </c>
      <c r="I5" s="3" t="s">
        <v>20146</v>
      </c>
      <c r="J5" s="5" t="str">
        <f>IFERROR(__xludf.DUMMYFUNCTION("GOOGLETRANSLATE(I5,""zh_HANT"",""zh_HANS"")"),"战斗盔甲")</f>
        <v>战斗盔甲</v>
      </c>
    </row>
    <row r="6">
      <c r="A6" s="5" t="str">
        <f t="shared" si="1"/>
        <v>NAME_ABILITY_STURDY</v>
      </c>
      <c r="B6" s="3" t="s">
        <v>20147</v>
      </c>
      <c r="C6" s="3" t="s">
        <v>20148</v>
      </c>
      <c r="D6" s="3" t="s">
        <v>20149</v>
      </c>
      <c r="E6" s="3" t="s">
        <v>20150</v>
      </c>
      <c r="F6" s="3" t="s">
        <v>20151</v>
      </c>
      <c r="G6" s="3" t="s">
        <v>20152</v>
      </c>
      <c r="H6" s="3" t="s">
        <v>20153</v>
      </c>
      <c r="I6" s="3" t="s">
        <v>20154</v>
      </c>
      <c r="J6" s="5" t="str">
        <f>IFERROR(__xludf.DUMMYFUNCTION("GOOGLETRANSLATE(I6,""zh_HANT"",""zh_HANS"")"),"结实")</f>
        <v>结实</v>
      </c>
    </row>
    <row r="7">
      <c r="A7" s="5" t="str">
        <f t="shared" si="1"/>
        <v>NAME_ABILITY_DAMP</v>
      </c>
      <c r="B7" s="3" t="s">
        <v>20155</v>
      </c>
      <c r="C7" s="3" t="s">
        <v>20156</v>
      </c>
      <c r="D7" s="3" t="s">
        <v>20157</v>
      </c>
      <c r="E7" s="3" t="s">
        <v>20158</v>
      </c>
      <c r="F7" s="3" t="s">
        <v>20159</v>
      </c>
      <c r="G7" s="3" t="s">
        <v>20160</v>
      </c>
      <c r="H7" s="3" t="s">
        <v>20161</v>
      </c>
      <c r="I7" s="3" t="s">
        <v>20162</v>
      </c>
      <c r="J7" s="5" t="str">
        <f>IFERROR(__xludf.DUMMYFUNCTION("GOOGLETRANSLATE(I7,""zh_HANT"",""zh_HANS"")"),"湿气")</f>
        <v>湿气</v>
      </c>
    </row>
    <row r="8">
      <c r="A8" s="5" t="str">
        <f t="shared" si="1"/>
        <v>NAME_ABILITY_LIMBER</v>
      </c>
      <c r="B8" s="3" t="s">
        <v>20163</v>
      </c>
      <c r="C8" s="3" t="s">
        <v>20164</v>
      </c>
      <c r="D8" s="3" t="s">
        <v>20165</v>
      </c>
      <c r="E8" s="3" t="s">
        <v>20166</v>
      </c>
      <c r="F8" s="3" t="s">
        <v>20167</v>
      </c>
      <c r="G8" s="3" t="s">
        <v>20168</v>
      </c>
      <c r="H8" s="3" t="s">
        <v>20169</v>
      </c>
      <c r="I8" s="3" t="s">
        <v>20170</v>
      </c>
      <c r="J8" s="5" t="str">
        <f>IFERROR(__xludf.DUMMYFUNCTION("GOOGLETRANSLATE(I8,""zh_HANT"",""zh_HANS"")"),"柔软")</f>
        <v>柔软</v>
      </c>
    </row>
    <row r="9">
      <c r="A9" s="5" t="str">
        <f t="shared" si="1"/>
        <v>NAME_ABILITY_SANDVEIL</v>
      </c>
      <c r="B9" s="3" t="s">
        <v>20171</v>
      </c>
      <c r="C9" s="3" t="s">
        <v>20172</v>
      </c>
      <c r="D9" s="3" t="s">
        <v>20173</v>
      </c>
      <c r="E9" s="3" t="s">
        <v>20174</v>
      </c>
      <c r="F9" s="3" t="s">
        <v>20175</v>
      </c>
      <c r="G9" s="3" t="s">
        <v>20176</v>
      </c>
      <c r="H9" s="3" t="s">
        <v>20177</v>
      </c>
      <c r="I9" s="3" t="s">
        <v>20178</v>
      </c>
      <c r="J9" s="5" t="str">
        <f>IFERROR(__xludf.DUMMYFUNCTION("GOOGLETRANSLATE(I9,""zh_HANT"",""zh_HANS"")"),"沙隐")</f>
        <v>沙隐</v>
      </c>
    </row>
    <row r="10">
      <c r="A10" s="5" t="str">
        <f t="shared" si="1"/>
        <v>NAME_ABILITY_STATIC</v>
      </c>
      <c r="B10" s="3" t="s">
        <v>20179</v>
      </c>
      <c r="C10" s="3" t="s">
        <v>20180</v>
      </c>
      <c r="D10" s="3" t="s">
        <v>20181</v>
      </c>
      <c r="E10" s="5" t="str">
        <f>D10</f>
        <v>Statik</v>
      </c>
      <c r="F10" s="3" t="s">
        <v>20182</v>
      </c>
      <c r="G10" s="5" t="str">
        <f>CONCATENATE(B10,"o")</f>
        <v>Statico</v>
      </c>
      <c r="H10" s="3" t="s">
        <v>20183</v>
      </c>
      <c r="I10" s="3" t="s">
        <v>20184</v>
      </c>
      <c r="J10" s="5" t="str">
        <f>IFERROR(__xludf.DUMMYFUNCTION("GOOGLETRANSLATE(I10,""zh_HANT"",""zh_HANS"")"),"静电")</f>
        <v>静电</v>
      </c>
    </row>
    <row r="11">
      <c r="A11" s="5" t="str">
        <f t="shared" si="1"/>
        <v>NAME_ABILITY_VOLTABSORB</v>
      </c>
      <c r="B11" s="3" t="s">
        <v>20185</v>
      </c>
      <c r="C11" s="3" t="s">
        <v>20186</v>
      </c>
      <c r="D11" s="3" t="s">
        <v>20187</v>
      </c>
      <c r="E11" s="3" t="s">
        <v>20188</v>
      </c>
      <c r="F11" s="3" t="s">
        <v>20189</v>
      </c>
      <c r="G11" s="3" t="s">
        <v>20190</v>
      </c>
      <c r="H11" s="3" t="s">
        <v>20191</v>
      </c>
      <c r="I11" s="3" t="s">
        <v>20192</v>
      </c>
      <c r="J11" s="5" t="str">
        <f>IFERROR(__xludf.DUMMYFUNCTION("GOOGLETRANSLATE(I11,""zh_HANT"",""zh_HANS"")"),"蓄电")</f>
        <v>蓄电</v>
      </c>
    </row>
    <row r="12">
      <c r="A12" s="5" t="str">
        <f t="shared" si="1"/>
        <v>NAME_ABILITY_WATERABSORB</v>
      </c>
      <c r="B12" s="3" t="s">
        <v>20193</v>
      </c>
      <c r="C12" s="3" t="s">
        <v>20194</v>
      </c>
      <c r="D12" s="3" t="s">
        <v>20195</v>
      </c>
      <c r="E12" s="3" t="s">
        <v>20196</v>
      </c>
      <c r="F12" s="3" t="s">
        <v>20197</v>
      </c>
      <c r="G12" s="3" t="s">
        <v>20198</v>
      </c>
      <c r="H12" s="3" t="s">
        <v>20199</v>
      </c>
      <c r="I12" s="3" t="s">
        <v>20200</v>
      </c>
      <c r="J12" s="5" t="str">
        <f>IFERROR(__xludf.DUMMYFUNCTION("GOOGLETRANSLATE(I12,""zh_HANT"",""zh_HANS"")"),"储水")</f>
        <v>储水</v>
      </c>
    </row>
    <row r="13">
      <c r="A13" s="5" t="str">
        <f t="shared" si="1"/>
        <v>NAME_ABILITY_OBLIVIOUS</v>
      </c>
      <c r="B13" s="3" t="s">
        <v>20201</v>
      </c>
      <c r="C13" s="3" t="s">
        <v>8970</v>
      </c>
      <c r="D13" s="3" t="s">
        <v>20202</v>
      </c>
      <c r="E13" s="3" t="s">
        <v>20203</v>
      </c>
      <c r="F13" s="3" t="s">
        <v>20204</v>
      </c>
      <c r="G13" s="3" t="s">
        <v>20205</v>
      </c>
      <c r="H13" s="3" t="s">
        <v>8975</v>
      </c>
      <c r="I13" s="3" t="s">
        <v>8976</v>
      </c>
      <c r="J13" s="5" t="str">
        <f>IFERROR(__xludf.DUMMYFUNCTION("GOOGLETRANSLATE(I13,""zh_HANT"",""zh_HANS"")"),"迟钝")</f>
        <v>迟钝</v>
      </c>
    </row>
    <row r="14">
      <c r="A14" s="5" t="str">
        <f t="shared" si="1"/>
        <v>NAME_ABILITY_CLOUDNINE</v>
      </c>
      <c r="B14" s="3" t="s">
        <v>20206</v>
      </c>
      <c r="C14" s="3" t="s">
        <v>20207</v>
      </c>
      <c r="D14" s="3" t="s">
        <v>20208</v>
      </c>
      <c r="E14" s="3" t="s">
        <v>20209</v>
      </c>
      <c r="F14" s="3" t="s">
        <v>20210</v>
      </c>
      <c r="G14" s="3" t="s">
        <v>20211</v>
      </c>
      <c r="H14" s="3" t="s">
        <v>20212</v>
      </c>
      <c r="I14" s="3" t="s">
        <v>20213</v>
      </c>
      <c r="J14" s="5" t="str">
        <f>IFERROR(__xludf.DUMMYFUNCTION("GOOGLETRANSLATE(I14,""zh_HANT"",""zh_HANS"")"),"无关天气")</f>
        <v>无关天气</v>
      </c>
    </row>
    <row r="15">
      <c r="A15" s="5" t="str">
        <f t="shared" si="1"/>
        <v>NAME_ABILITY_COMPUNDEYES</v>
      </c>
      <c r="B15" s="3" t="s">
        <v>20214</v>
      </c>
      <c r="C15" s="3" t="s">
        <v>20215</v>
      </c>
      <c r="D15" s="3" t="s">
        <v>20216</v>
      </c>
      <c r="E15" s="3" t="s">
        <v>20217</v>
      </c>
      <c r="F15" s="3" t="s">
        <v>20218</v>
      </c>
      <c r="G15" s="3" t="s">
        <v>20219</v>
      </c>
      <c r="H15" s="3" t="s">
        <v>20220</v>
      </c>
      <c r="I15" s="3" t="s">
        <v>20221</v>
      </c>
      <c r="J15" s="5" t="str">
        <f>IFERROR(__xludf.DUMMYFUNCTION("GOOGLETRANSLATE(I15,""zh_HANT"",""zh_HANS"")"),"复眼")</f>
        <v>复眼</v>
      </c>
    </row>
    <row r="16">
      <c r="A16" s="5" t="str">
        <f t="shared" si="1"/>
        <v>NAME_ABILITY_INSOMIA</v>
      </c>
      <c r="B16" s="3" t="s">
        <v>20222</v>
      </c>
      <c r="C16" s="3" t="s">
        <v>20223</v>
      </c>
      <c r="D16" s="5" t="str">
        <f>B16</f>
        <v>Insomia</v>
      </c>
      <c r="E16" s="5" t="str">
        <f>B16</f>
        <v>Insomia</v>
      </c>
      <c r="F16" s="3" t="s">
        <v>20224</v>
      </c>
      <c r="G16" s="3" t="s">
        <v>20225</v>
      </c>
      <c r="H16" s="3" t="s">
        <v>20226</v>
      </c>
      <c r="I16" s="3" t="s">
        <v>20227</v>
      </c>
      <c r="J16" s="5" t="str">
        <f>I16</f>
        <v>不眠</v>
      </c>
    </row>
    <row r="17">
      <c r="A17" s="5" t="str">
        <f t="shared" si="1"/>
        <v>NAME_ABILITY_COLORCHANGE</v>
      </c>
      <c r="B17" s="3" t="s">
        <v>20228</v>
      </c>
      <c r="C17" s="3" t="s">
        <v>20229</v>
      </c>
      <c r="D17" s="3" t="s">
        <v>20230</v>
      </c>
      <c r="E17" s="3" t="s">
        <v>20231</v>
      </c>
      <c r="F17" s="3" t="s">
        <v>20232</v>
      </c>
      <c r="G17" s="3" t="s">
        <v>20233</v>
      </c>
      <c r="H17" s="3" t="s">
        <v>20234</v>
      </c>
      <c r="I17" s="3" t="s">
        <v>9158</v>
      </c>
      <c r="J17" s="5" t="str">
        <f>IFERROR(__xludf.DUMMYFUNCTION("GOOGLETRANSLATE(I17,""zh_HANT"",""zh_HANS"")"),"变色")</f>
        <v>变色</v>
      </c>
    </row>
    <row r="18">
      <c r="A18" s="5" t="str">
        <f t="shared" si="1"/>
        <v>NAME_ABILITY_IMMUNITY</v>
      </c>
      <c r="B18" s="3" t="s">
        <v>20235</v>
      </c>
      <c r="C18" s="3" t="s">
        <v>20236</v>
      </c>
      <c r="D18" s="3" t="s">
        <v>20237</v>
      </c>
      <c r="E18" s="3" t="s">
        <v>20238</v>
      </c>
      <c r="F18" s="3" t="s">
        <v>20239</v>
      </c>
      <c r="G18" s="3" t="s">
        <v>20240</v>
      </c>
      <c r="H18" s="3" t="s">
        <v>20241</v>
      </c>
      <c r="I18" s="3" t="s">
        <v>20242</v>
      </c>
      <c r="J18" s="5" t="str">
        <f t="shared" ref="J18:J19" si="3">I18</f>
        <v>免疫</v>
      </c>
    </row>
    <row r="19">
      <c r="A19" s="5" t="str">
        <f t="shared" si="1"/>
        <v>NAME_ABILITY_FLASHFIRE</v>
      </c>
      <c r="B19" s="3" t="s">
        <v>20243</v>
      </c>
      <c r="C19" s="3" t="s">
        <v>20244</v>
      </c>
      <c r="D19" s="3" t="s">
        <v>10847</v>
      </c>
      <c r="E19" s="3" t="s">
        <v>20245</v>
      </c>
      <c r="F19" s="3" t="s">
        <v>20246</v>
      </c>
      <c r="G19" s="3" t="s">
        <v>20247</v>
      </c>
      <c r="H19" s="3" t="s">
        <v>20248</v>
      </c>
      <c r="I19" s="3" t="s">
        <v>20249</v>
      </c>
      <c r="J19" s="5" t="str">
        <f t="shared" si="3"/>
        <v>引火</v>
      </c>
    </row>
    <row r="20">
      <c r="A20" s="5" t="str">
        <f t="shared" si="1"/>
        <v>NAME_ABILITY_SHIELDDUST</v>
      </c>
      <c r="B20" s="3" t="s">
        <v>20250</v>
      </c>
      <c r="C20" s="3" t="s">
        <v>11002</v>
      </c>
      <c r="D20" s="3" t="s">
        <v>20251</v>
      </c>
      <c r="E20" s="3" t="s">
        <v>20252</v>
      </c>
      <c r="F20" s="3" t="s">
        <v>20253</v>
      </c>
      <c r="G20" s="3" t="s">
        <v>20254</v>
      </c>
      <c r="H20" s="3" t="s">
        <v>11007</v>
      </c>
      <c r="I20" s="3" t="s">
        <v>11008</v>
      </c>
      <c r="J20" s="5" t="str">
        <f>IFERROR(__xludf.DUMMYFUNCTION("GOOGLETRANSLATE(I20,""zh_HANT"",""zh_HANS"")"),"鳞粉")</f>
        <v>鳞粉</v>
      </c>
    </row>
    <row r="21">
      <c r="A21" s="5" t="str">
        <f t="shared" si="1"/>
        <v>NAME_ABILITY_OWNTEMPO</v>
      </c>
      <c r="B21" s="3" t="s">
        <v>20255</v>
      </c>
      <c r="C21" s="3" t="s">
        <v>20256</v>
      </c>
      <c r="D21" s="3" t="s">
        <v>20257</v>
      </c>
      <c r="E21" s="3" t="s">
        <v>20258</v>
      </c>
      <c r="F21" s="3" t="s">
        <v>20259</v>
      </c>
      <c r="G21" s="3" t="s">
        <v>20260</v>
      </c>
      <c r="H21" s="3" t="s">
        <v>20261</v>
      </c>
      <c r="I21" s="3" t="s">
        <v>20262</v>
      </c>
      <c r="J21" s="5" t="str">
        <f>I21</f>
        <v>我行我素</v>
      </c>
    </row>
    <row r="22">
      <c r="A22" s="5" t="str">
        <f t="shared" si="1"/>
        <v>NAME_ABILITY_SUCTIONCUPS</v>
      </c>
      <c r="B22" s="3" t="s">
        <v>20263</v>
      </c>
      <c r="C22" s="3" t="s">
        <v>20264</v>
      </c>
      <c r="D22" s="3" t="s">
        <v>20265</v>
      </c>
      <c r="E22" s="3" t="s">
        <v>20266</v>
      </c>
      <c r="F22" s="3" t="s">
        <v>20267</v>
      </c>
      <c r="G22" s="3" t="s">
        <v>20268</v>
      </c>
      <c r="H22" s="3" t="s">
        <v>20269</v>
      </c>
      <c r="I22" s="3" t="s">
        <v>20270</v>
      </c>
      <c r="J22" s="5" t="str">
        <f>IFERROR(__xludf.DUMMYFUNCTION("GOOGLETRANSLATE(I22,""zh_HANT"",""zh_HANS"")"),"吸盘")</f>
        <v>吸盘</v>
      </c>
    </row>
    <row r="23">
      <c r="A23" s="5" t="str">
        <f t="shared" si="1"/>
        <v>NAME_ABILITY_INTIMIDATE</v>
      </c>
      <c r="B23" s="3" t="s">
        <v>20271</v>
      </c>
      <c r="C23" s="3" t="s">
        <v>20272</v>
      </c>
      <c r="D23" s="3" t="s">
        <v>20273</v>
      </c>
      <c r="E23" s="3" t="s">
        <v>20274</v>
      </c>
      <c r="F23" s="3" t="s">
        <v>20275</v>
      </c>
      <c r="G23" s="3" t="s">
        <v>20276</v>
      </c>
      <c r="H23" s="3" t="s">
        <v>20277</v>
      </c>
      <c r="I23" s="3" t="s">
        <v>20278</v>
      </c>
      <c r="J23" s="5" t="str">
        <f>IFERROR(__xludf.DUMMYFUNCTION("GOOGLETRANSLATE(I23,""zh_HANT"",""zh_HANS"")"),"威吓")</f>
        <v>威吓</v>
      </c>
    </row>
    <row r="24">
      <c r="A24" s="5" t="str">
        <f t="shared" si="1"/>
        <v>NAME_ABILITY_SHADOWTAG</v>
      </c>
      <c r="B24" s="3" t="s">
        <v>20279</v>
      </c>
      <c r="C24" s="3" t="s">
        <v>20280</v>
      </c>
      <c r="D24" s="3" t="s">
        <v>20281</v>
      </c>
      <c r="E24" s="3" t="s">
        <v>20282</v>
      </c>
      <c r="F24" s="3" t="s">
        <v>20283</v>
      </c>
      <c r="G24" s="3" t="s">
        <v>20284</v>
      </c>
      <c r="H24" s="3" t="s">
        <v>20285</v>
      </c>
      <c r="I24" s="3" t="s">
        <v>20286</v>
      </c>
      <c r="J24" s="5" t="str">
        <f>I24</f>
        <v>踩影</v>
      </c>
    </row>
    <row r="25">
      <c r="A25" s="5" t="str">
        <f t="shared" si="1"/>
        <v>NAME_ABILITY_ROUGHSKIN</v>
      </c>
      <c r="B25" s="3" t="s">
        <v>20287</v>
      </c>
      <c r="C25" s="3" t="s">
        <v>20288</v>
      </c>
      <c r="D25" s="3" t="s">
        <v>20289</v>
      </c>
      <c r="E25" s="3" t="s">
        <v>20290</v>
      </c>
      <c r="F25" s="3" t="s">
        <v>20291</v>
      </c>
      <c r="G25" s="3" t="s">
        <v>20292</v>
      </c>
      <c r="H25" s="3" t="s">
        <v>20293</v>
      </c>
      <c r="I25" s="3" t="s">
        <v>20294</v>
      </c>
      <c r="J25" s="5" t="str">
        <f>IFERROR(__xludf.DUMMYFUNCTION("GOOGLETRANSLATE(I25,""zh_HANT"",""zh_HANS"")"),"粗糙皮肤")</f>
        <v>粗糙皮肤</v>
      </c>
    </row>
    <row r="26">
      <c r="A26" s="5" t="str">
        <f t="shared" si="1"/>
        <v>NAME_ABILITY_WONDERGUARD</v>
      </c>
      <c r="B26" s="3" t="s">
        <v>20295</v>
      </c>
      <c r="C26" s="3" t="s">
        <v>20296</v>
      </c>
      <c r="D26" s="3" t="s">
        <v>20297</v>
      </c>
      <c r="E26" s="3" t="s">
        <v>20298</v>
      </c>
      <c r="F26" s="3" t="s">
        <v>20299</v>
      </c>
      <c r="G26" s="3" t="s">
        <v>20300</v>
      </c>
      <c r="H26" s="3" t="s">
        <v>20301</v>
      </c>
      <c r="I26" s="3" t="s">
        <v>20302</v>
      </c>
      <c r="J26" s="5" t="str">
        <f>IFERROR(__xludf.DUMMYFUNCTION("GOOGLETRANSLATE(I26,""zh_HANT"",""zh_HANS"")"),"神奇守护")</f>
        <v>神奇守护</v>
      </c>
    </row>
    <row r="27">
      <c r="A27" s="5" t="str">
        <f t="shared" si="1"/>
        <v>NAME_ABILITY_LEVITATE</v>
      </c>
      <c r="B27" s="3" t="s">
        <v>20303</v>
      </c>
      <c r="C27" s="3" t="s">
        <v>10587</v>
      </c>
      <c r="D27" s="3" t="s">
        <v>20304</v>
      </c>
      <c r="E27" s="3" t="s">
        <v>20305</v>
      </c>
      <c r="F27" s="3" t="s">
        <v>20306</v>
      </c>
      <c r="G27" s="3" t="s">
        <v>20307</v>
      </c>
      <c r="H27" s="3" t="s">
        <v>10592</v>
      </c>
      <c r="I27" s="3" t="s">
        <v>20308</v>
      </c>
      <c r="J27" s="5" t="str">
        <f>IFERROR(__xludf.DUMMYFUNCTION("GOOGLETRANSLATE(I27,""zh_HANT"",""zh_HANS"")"),"飘浮")</f>
        <v>飘浮</v>
      </c>
    </row>
    <row r="28">
      <c r="A28" s="5" t="str">
        <f t="shared" si="1"/>
        <v>NAME_ABILITY_EFFECTSPORE</v>
      </c>
      <c r="B28" s="3" t="s">
        <v>20309</v>
      </c>
      <c r="C28" s="3" t="s">
        <v>20310</v>
      </c>
      <c r="D28" s="3" t="s">
        <v>20311</v>
      </c>
      <c r="E28" s="3" t="s">
        <v>20312</v>
      </c>
      <c r="F28" s="3" t="s">
        <v>20313</v>
      </c>
      <c r="G28" s="3" t="s">
        <v>20314</v>
      </c>
      <c r="H28" s="3" t="s">
        <v>20315</v>
      </c>
      <c r="I28" s="3" t="s">
        <v>20316</v>
      </c>
      <c r="J28" s="5" t="str">
        <f t="shared" ref="J28:J29" si="4">I28</f>
        <v>孢子</v>
      </c>
    </row>
    <row r="29">
      <c r="A29" s="5" t="str">
        <f t="shared" si="1"/>
        <v>NAME_ABILITY_SYNCHONIZE</v>
      </c>
      <c r="B29" s="3" t="s">
        <v>20317</v>
      </c>
      <c r="C29" s="3" t="s">
        <v>20318</v>
      </c>
      <c r="D29" s="3" t="s">
        <v>20319</v>
      </c>
      <c r="E29" s="5" t="str">
        <f>D29</f>
        <v>Synchro</v>
      </c>
      <c r="F29" s="3" t="s">
        <v>20320</v>
      </c>
      <c r="G29" s="3" t="s">
        <v>20321</v>
      </c>
      <c r="H29" s="3" t="s">
        <v>20322</v>
      </c>
      <c r="I29" s="3" t="s">
        <v>20323</v>
      </c>
      <c r="J29" s="5" t="str">
        <f t="shared" si="4"/>
        <v>同步</v>
      </c>
    </row>
    <row r="30">
      <c r="A30" s="5" t="str">
        <f t="shared" si="1"/>
        <v>NAME_ABILITY_CLEARBODY</v>
      </c>
      <c r="B30" s="3" t="s">
        <v>20324</v>
      </c>
      <c r="C30" s="3" t="s">
        <v>20325</v>
      </c>
      <c r="D30" s="3" t="s">
        <v>20326</v>
      </c>
      <c r="E30" s="3" t="s">
        <v>20327</v>
      </c>
      <c r="F30" s="3" t="s">
        <v>20328</v>
      </c>
      <c r="G30" s="3" t="s">
        <v>20329</v>
      </c>
      <c r="H30" s="3" t="s">
        <v>20330</v>
      </c>
      <c r="I30" s="3" t="s">
        <v>20331</v>
      </c>
      <c r="J30" s="5" t="str">
        <f>IFERROR(__xludf.DUMMYFUNCTION("GOOGLETRANSLATE(I30,""zh_HANT"",""zh_HANS"")"),"恒净之躯")</f>
        <v>恒净之躯</v>
      </c>
    </row>
    <row r="31">
      <c r="A31" s="5" t="str">
        <f t="shared" si="1"/>
        <v>NAME_ABILITY_NATURALCURE</v>
      </c>
      <c r="B31" s="3" t="s">
        <v>20332</v>
      </c>
      <c r="C31" s="3" t="s">
        <v>20333</v>
      </c>
      <c r="D31" s="3" t="s">
        <v>20334</v>
      </c>
      <c r="E31" s="3" t="s">
        <v>20335</v>
      </c>
      <c r="F31" s="3" t="s">
        <v>20336</v>
      </c>
      <c r="G31" s="3" t="s">
        <v>20337</v>
      </c>
      <c r="H31" s="3" t="s">
        <v>20338</v>
      </c>
      <c r="I31" s="3" t="s">
        <v>20339</v>
      </c>
      <c r="J31" s="5" t="str">
        <f>IFERROR(__xludf.DUMMYFUNCTION("GOOGLETRANSLATE(I31,""zh_HANT"",""zh_HANS"")"),"自然回复")</f>
        <v>自然回复</v>
      </c>
    </row>
    <row r="32">
      <c r="A32" s="5" t="str">
        <f t="shared" si="1"/>
        <v>NAME_ABILITY_LIGHTNINGROD</v>
      </c>
      <c r="B32" s="3" t="s">
        <v>20340</v>
      </c>
      <c r="C32" s="3" t="s">
        <v>20341</v>
      </c>
      <c r="D32" s="3" t="s">
        <v>20342</v>
      </c>
      <c r="E32" s="3" t="s">
        <v>20343</v>
      </c>
      <c r="F32" s="3" t="s">
        <v>20344</v>
      </c>
      <c r="G32" s="3" t="s">
        <v>20345</v>
      </c>
      <c r="H32" s="3" t="s">
        <v>20346</v>
      </c>
      <c r="I32" s="3" t="s">
        <v>20347</v>
      </c>
      <c r="J32" s="5" t="str">
        <f>IFERROR(__xludf.DUMMYFUNCTION("GOOGLETRANSLATE(I32,""zh_HANT"",""zh_HANS"")"),"避雷针")</f>
        <v>避雷针</v>
      </c>
    </row>
    <row r="33">
      <c r="A33" s="5" t="str">
        <f t="shared" si="1"/>
        <v>NAME_ABILITY_SERENEGRACE</v>
      </c>
      <c r="B33" s="3" t="s">
        <v>20348</v>
      </c>
      <c r="C33" s="3" t="s">
        <v>20349</v>
      </c>
      <c r="D33" s="3" t="s">
        <v>20350</v>
      </c>
      <c r="E33" s="3" t="s">
        <v>20351</v>
      </c>
      <c r="F33" s="3" t="s">
        <v>20352</v>
      </c>
      <c r="G33" s="3" t="s">
        <v>20353</v>
      </c>
      <c r="H33" s="3" t="s">
        <v>20354</v>
      </c>
      <c r="I33" s="3" t="s">
        <v>20355</v>
      </c>
      <c r="J33" s="5" t="str">
        <f t="shared" ref="J33:J34" si="5">I33</f>
        <v>天恩</v>
      </c>
    </row>
    <row r="34">
      <c r="A34" s="5" t="str">
        <f t="shared" si="1"/>
        <v>NAME_ABILITY_SWIFTSWIM</v>
      </c>
      <c r="B34" s="3" t="s">
        <v>20356</v>
      </c>
      <c r="C34" s="3" t="s">
        <v>20357</v>
      </c>
      <c r="D34" s="3" t="s">
        <v>20358</v>
      </c>
      <c r="E34" s="3" t="s">
        <v>20359</v>
      </c>
      <c r="F34" s="3" t="s">
        <v>20360</v>
      </c>
      <c r="G34" s="3" t="s">
        <v>20361</v>
      </c>
      <c r="H34" s="3" t="s">
        <v>20362</v>
      </c>
      <c r="I34" s="3" t="s">
        <v>20363</v>
      </c>
      <c r="J34" s="5" t="str">
        <f t="shared" si="5"/>
        <v>悠游自如</v>
      </c>
    </row>
    <row r="35">
      <c r="A35" s="5" t="str">
        <f t="shared" si="1"/>
        <v>NAME_ABILITY_CHLOROPHYLL</v>
      </c>
      <c r="B35" s="3" t="s">
        <v>20364</v>
      </c>
      <c r="C35" s="3" t="s">
        <v>20365</v>
      </c>
      <c r="D35" s="3" t="s">
        <v>20366</v>
      </c>
      <c r="E35" s="5" t="str">
        <f>B35</f>
        <v>Chlorophyll</v>
      </c>
      <c r="F35" s="3" t="s">
        <v>20367</v>
      </c>
      <c r="G35" s="3" t="s">
        <v>20368</v>
      </c>
      <c r="H35" s="3" t="s">
        <v>20369</v>
      </c>
      <c r="I35" s="3" t="s">
        <v>20370</v>
      </c>
      <c r="J35" s="5" t="str">
        <f>IFERROR(__xludf.DUMMYFUNCTION("GOOGLETRANSLATE(I35,""zh_HANT"",""zh_HANS"")"),"叶绿素")</f>
        <v>叶绿素</v>
      </c>
    </row>
    <row r="36">
      <c r="A36" s="5" t="str">
        <f t="shared" si="1"/>
        <v>NAME_ABILITY_ILLUMINATE</v>
      </c>
      <c r="B36" s="3" t="s">
        <v>20371</v>
      </c>
      <c r="C36" s="3" t="s">
        <v>8364</v>
      </c>
      <c r="D36" s="3" t="s">
        <v>20372</v>
      </c>
      <c r="E36" s="3" t="s">
        <v>20373</v>
      </c>
      <c r="F36" s="3" t="s">
        <v>20374</v>
      </c>
      <c r="G36" s="3" t="s">
        <v>20375</v>
      </c>
      <c r="H36" s="3" t="s">
        <v>20376</v>
      </c>
      <c r="I36" s="3" t="s">
        <v>5845</v>
      </c>
      <c r="J36" s="5" t="str">
        <f>IFERROR(__xludf.DUMMYFUNCTION("GOOGLETRANSLATE(I36,""zh_HANT"",""zh_HANS"")"),"发光")</f>
        <v>发光</v>
      </c>
    </row>
    <row r="37">
      <c r="A37" s="5" t="str">
        <f t="shared" si="1"/>
        <v>NAME_ABILITY_TRACE</v>
      </c>
      <c r="B37" s="3" t="s">
        <v>20377</v>
      </c>
      <c r="C37" s="3" t="s">
        <v>20378</v>
      </c>
      <c r="D37" s="3" t="s">
        <v>20379</v>
      </c>
      <c r="E37" s="3" t="s">
        <v>20380</v>
      </c>
      <c r="F37" s="3" t="s">
        <v>20381</v>
      </c>
      <c r="G37" s="3" t="s">
        <v>20382</v>
      </c>
      <c r="H37" s="3" t="s">
        <v>20383</v>
      </c>
      <c r="I37" s="3" t="s">
        <v>20384</v>
      </c>
      <c r="J37" s="5" t="str">
        <f>IFERROR(__xludf.DUMMYFUNCTION("GOOGLETRANSLATE(I37,""zh_HANT"",""zh_HANS"")"),"克隆")</f>
        <v>克隆</v>
      </c>
    </row>
    <row r="38">
      <c r="A38" s="5" t="str">
        <f t="shared" si="1"/>
        <v>NAME_ABILITY_HUGEPOWER</v>
      </c>
      <c r="B38" s="3" t="s">
        <v>20385</v>
      </c>
      <c r="C38" s="3" t="s">
        <v>20386</v>
      </c>
      <c r="D38" s="3" t="s">
        <v>20387</v>
      </c>
      <c r="E38" s="3" t="s">
        <v>14927</v>
      </c>
      <c r="F38" s="3" t="s">
        <v>20388</v>
      </c>
      <c r="G38" s="3" t="s">
        <v>20389</v>
      </c>
      <c r="H38" s="3" t="s">
        <v>20390</v>
      </c>
      <c r="I38" s="3" t="s">
        <v>20391</v>
      </c>
      <c r="J38" s="5" t="str">
        <f t="shared" ref="J38:J40" si="6">I38</f>
        <v>大力士</v>
      </c>
    </row>
    <row r="39">
      <c r="A39" s="5" t="str">
        <f t="shared" si="1"/>
        <v>NAME_ABILITY_POISONPOINT</v>
      </c>
      <c r="B39" s="3" t="s">
        <v>20392</v>
      </c>
      <c r="C39" s="3" t="s">
        <v>20393</v>
      </c>
      <c r="D39" s="3" t="s">
        <v>20394</v>
      </c>
      <c r="E39" s="3" t="s">
        <v>7475</v>
      </c>
      <c r="F39" s="3" t="s">
        <v>20395</v>
      </c>
      <c r="G39" s="3" t="s">
        <v>20396</v>
      </c>
      <c r="H39" s="3" t="s">
        <v>20397</v>
      </c>
      <c r="I39" s="3" t="s">
        <v>20398</v>
      </c>
      <c r="J39" s="5" t="str">
        <f t="shared" si="6"/>
        <v>毒刺</v>
      </c>
    </row>
    <row r="40">
      <c r="A40" s="5" t="str">
        <f t="shared" si="1"/>
        <v>NAME_ABILITY_INNERFOCUS</v>
      </c>
      <c r="B40" s="3" t="s">
        <v>20399</v>
      </c>
      <c r="C40" s="3" t="s">
        <v>20400</v>
      </c>
      <c r="D40" s="3" t="s">
        <v>20401</v>
      </c>
      <c r="E40" s="3" t="s">
        <v>20402</v>
      </c>
      <c r="F40" s="3" t="s">
        <v>20403</v>
      </c>
      <c r="G40" s="3" t="s">
        <v>20404</v>
      </c>
      <c r="H40" s="3" t="s">
        <v>20405</v>
      </c>
      <c r="I40" s="3" t="s">
        <v>20406</v>
      </c>
      <c r="J40" s="5" t="str">
        <f t="shared" si="6"/>
        <v>精神力</v>
      </c>
    </row>
    <row r="41">
      <c r="A41" s="5" t="str">
        <f t="shared" si="1"/>
        <v>NAME_ABILITY_MAGMAARMOR</v>
      </c>
      <c r="B41" s="3" t="s">
        <v>20407</v>
      </c>
      <c r="C41" s="3" t="s">
        <v>20408</v>
      </c>
      <c r="D41" s="3" t="s">
        <v>20409</v>
      </c>
      <c r="E41" s="3" t="s">
        <v>20410</v>
      </c>
      <c r="F41" s="3" t="s">
        <v>20411</v>
      </c>
      <c r="G41" s="3" t="s">
        <v>20412</v>
      </c>
      <c r="H41" s="3" t="s">
        <v>20413</v>
      </c>
      <c r="I41" s="3" t="s">
        <v>20414</v>
      </c>
      <c r="J41" s="5" t="str">
        <f>IFERROR(__xludf.DUMMYFUNCTION("GOOGLETRANSLATE(I41,""zh_HANT"",""zh_HANS"")"),"熔岩铠甲")</f>
        <v>熔岩铠甲</v>
      </c>
    </row>
    <row r="42">
      <c r="A42" s="5" t="str">
        <f t="shared" si="1"/>
        <v>NAME_ABILITY_WATERVEIL</v>
      </c>
      <c r="B42" s="3" t="s">
        <v>20415</v>
      </c>
      <c r="C42" s="3" t="s">
        <v>20416</v>
      </c>
      <c r="D42" s="3" t="s">
        <v>20417</v>
      </c>
      <c r="E42" s="3" t="s">
        <v>20418</v>
      </c>
      <c r="F42" s="3" t="s">
        <v>20419</v>
      </c>
      <c r="G42" s="3" t="s">
        <v>20420</v>
      </c>
      <c r="H42" s="3" t="s">
        <v>20421</v>
      </c>
      <c r="I42" s="3" t="s">
        <v>20422</v>
      </c>
      <c r="J42" s="5" t="str">
        <f t="shared" ref="J42:J44" si="7">I42</f>
        <v>水幕</v>
      </c>
    </row>
    <row r="43">
      <c r="A43" s="5" t="str">
        <f t="shared" si="1"/>
        <v>NAME_ABILITY_MAGNETPULL</v>
      </c>
      <c r="B43" s="3" t="s">
        <v>20423</v>
      </c>
      <c r="C43" s="3" t="s">
        <v>20424</v>
      </c>
      <c r="D43" s="3" t="s">
        <v>20425</v>
      </c>
      <c r="E43" s="3" t="s">
        <v>20426</v>
      </c>
      <c r="F43" s="3" t="s">
        <v>20427</v>
      </c>
      <c r="G43" s="3" t="s">
        <v>20428</v>
      </c>
      <c r="H43" s="3" t="s">
        <v>20429</v>
      </c>
      <c r="I43" s="3" t="s">
        <v>20430</v>
      </c>
      <c r="J43" s="5" t="str">
        <f t="shared" si="7"/>
        <v>磁力</v>
      </c>
    </row>
    <row r="44">
      <c r="A44" s="5" t="str">
        <f t="shared" si="1"/>
        <v>NAME_ABILITY_SOUNDPROOF</v>
      </c>
      <c r="B44" s="3" t="s">
        <v>20431</v>
      </c>
      <c r="C44" s="3" t="s">
        <v>20432</v>
      </c>
      <c r="D44" s="3" t="s">
        <v>20433</v>
      </c>
      <c r="E44" s="3" t="s">
        <v>20434</v>
      </c>
      <c r="F44" s="3" t="s">
        <v>20435</v>
      </c>
      <c r="G44" s="3" t="s">
        <v>20436</v>
      </c>
      <c r="H44" s="3" t="s">
        <v>20437</v>
      </c>
      <c r="I44" s="3" t="s">
        <v>20438</v>
      </c>
      <c r="J44" s="5" t="str">
        <f t="shared" si="7"/>
        <v>隔音</v>
      </c>
    </row>
    <row r="45">
      <c r="A45" s="5" t="str">
        <f t="shared" si="1"/>
        <v>NAME_ABILITY_RAINDISH</v>
      </c>
      <c r="B45" s="3" t="s">
        <v>20439</v>
      </c>
      <c r="C45" s="3" t="s">
        <v>20440</v>
      </c>
      <c r="D45" s="3" t="s">
        <v>20441</v>
      </c>
      <c r="E45" s="3" t="s">
        <v>20442</v>
      </c>
      <c r="F45" s="3" t="s">
        <v>20443</v>
      </c>
      <c r="G45" s="3" t="s">
        <v>20444</v>
      </c>
      <c r="H45" s="3" t="s">
        <v>20445</v>
      </c>
      <c r="I45" s="3" t="s">
        <v>20446</v>
      </c>
      <c r="J45" s="5" t="str">
        <f>IFERROR(__xludf.DUMMYFUNCTION("GOOGLETRANSLATE(I45,""zh_HANT"",""zh_HANS"")"),"雨盘")</f>
        <v>雨盘</v>
      </c>
    </row>
    <row r="46">
      <c r="A46" s="5" t="str">
        <f t="shared" si="1"/>
        <v>NAME_ABILITY_SANDSTREAM</v>
      </c>
      <c r="B46" s="3" t="s">
        <v>20447</v>
      </c>
      <c r="C46" s="3" t="s">
        <v>20448</v>
      </c>
      <c r="D46" s="3" t="s">
        <v>20449</v>
      </c>
      <c r="E46" s="3" t="s">
        <v>14368</v>
      </c>
      <c r="F46" s="3" t="s">
        <v>20450</v>
      </c>
      <c r="G46" s="3" t="s">
        <v>20451</v>
      </c>
      <c r="H46" s="3" t="s">
        <v>20452</v>
      </c>
      <c r="I46" s="3" t="s">
        <v>20453</v>
      </c>
      <c r="J46" s="5" t="str">
        <f>IFERROR(__xludf.DUMMYFUNCTION("GOOGLETRANSLATE(I46,""zh_HANT"",""zh_HANS"")"),"扬沙")</f>
        <v>扬沙</v>
      </c>
    </row>
    <row r="47">
      <c r="A47" s="5" t="str">
        <f t="shared" si="1"/>
        <v>NAME_ABILITY_PRESSURE</v>
      </c>
      <c r="B47" s="3" t="s">
        <v>20454</v>
      </c>
      <c r="C47" s="3" t="s">
        <v>20455</v>
      </c>
      <c r="D47" s="3" t="s">
        <v>20456</v>
      </c>
      <c r="E47" s="3" t="s">
        <v>20457</v>
      </c>
      <c r="F47" s="3" t="s">
        <v>20458</v>
      </c>
      <c r="G47" s="5" t="str">
        <f>CONCATENATE(D47,"e")</f>
        <v>Pressione</v>
      </c>
      <c r="H47" s="3" t="s">
        <v>20459</v>
      </c>
      <c r="I47" s="3" t="s">
        <v>20460</v>
      </c>
      <c r="J47" s="5" t="str">
        <f>IFERROR(__xludf.DUMMYFUNCTION("GOOGLETRANSLATE(I47,""zh_HANT"",""zh_HANS"")"),"压迫感")</f>
        <v>压迫感</v>
      </c>
    </row>
    <row r="48">
      <c r="A48" s="5" t="str">
        <f t="shared" si="1"/>
        <v>NAME_ABILITY_THICKFAT</v>
      </c>
      <c r="B48" s="3" t="s">
        <v>20461</v>
      </c>
      <c r="C48" s="3" t="s">
        <v>20462</v>
      </c>
      <c r="D48" s="3" t="s">
        <v>20463</v>
      </c>
      <c r="E48" s="3" t="s">
        <v>20464</v>
      </c>
      <c r="F48" s="3" t="s">
        <v>20465</v>
      </c>
      <c r="G48" s="3" t="s">
        <v>20466</v>
      </c>
      <c r="H48" s="3" t="s">
        <v>20467</v>
      </c>
      <c r="I48" s="3" t="s">
        <v>20468</v>
      </c>
      <c r="J48" s="5" t="str">
        <f t="shared" ref="J48:J49" si="8">I48</f>
        <v>厚脂肪</v>
      </c>
    </row>
    <row r="49">
      <c r="A49" s="5" t="str">
        <f t="shared" si="1"/>
        <v>NAME_ABILITY_EARLYBIRD</v>
      </c>
      <c r="B49" s="3" t="s">
        <v>20469</v>
      </c>
      <c r="C49" s="3" t="s">
        <v>20470</v>
      </c>
      <c r="D49" s="3" t="s">
        <v>20471</v>
      </c>
      <c r="E49" s="3" t="s">
        <v>20472</v>
      </c>
      <c r="F49" s="3" t="s">
        <v>20473</v>
      </c>
      <c r="G49" s="3" t="s">
        <v>20474</v>
      </c>
      <c r="H49" s="3" t="s">
        <v>20475</v>
      </c>
      <c r="I49" s="3" t="s">
        <v>20476</v>
      </c>
      <c r="J49" s="5" t="str">
        <f t="shared" si="8"/>
        <v>早起</v>
      </c>
    </row>
    <row r="50">
      <c r="A50" s="5" t="str">
        <f t="shared" si="1"/>
        <v>NAME_ABILITY_FLAMEBODY</v>
      </c>
      <c r="B50" s="3" t="s">
        <v>20477</v>
      </c>
      <c r="C50" s="3" t="s">
        <v>20478</v>
      </c>
      <c r="D50" s="3" t="s">
        <v>20479</v>
      </c>
      <c r="E50" s="3" t="s">
        <v>20480</v>
      </c>
      <c r="F50" s="3" t="s">
        <v>20481</v>
      </c>
      <c r="G50" s="3" t="s">
        <v>20482</v>
      </c>
      <c r="H50" s="3" t="s">
        <v>20483</v>
      </c>
      <c r="I50" s="3" t="s">
        <v>20484</v>
      </c>
      <c r="J50" s="5" t="str">
        <f>IFERROR(__xludf.DUMMYFUNCTION("GOOGLETRANSLATE(I50,""zh_HANT"",""zh_HANS"")"),"火焰之躯")</f>
        <v>火焰之躯</v>
      </c>
    </row>
    <row r="51">
      <c r="A51" s="5" t="str">
        <f t="shared" si="1"/>
        <v>NAME_ABILITY_RUNAWAY</v>
      </c>
      <c r="B51" s="3" t="s">
        <v>20485</v>
      </c>
      <c r="C51" s="3" t="s">
        <v>20486</v>
      </c>
      <c r="D51" s="3" t="s">
        <v>20487</v>
      </c>
      <c r="E51" s="3" t="s">
        <v>20488</v>
      </c>
      <c r="F51" s="3" t="s">
        <v>20489</v>
      </c>
      <c r="G51" s="5" t="str">
        <f>CONCATENATE(F51,"facile")</f>
        <v>Fugafacile</v>
      </c>
      <c r="H51" s="3" t="s">
        <v>20490</v>
      </c>
      <c r="I51" s="3" t="s">
        <v>20491</v>
      </c>
      <c r="J51" s="5" t="str">
        <f>I51</f>
        <v>逃跑</v>
      </c>
    </row>
    <row r="52">
      <c r="A52" s="5" t="str">
        <f t="shared" si="1"/>
        <v>NAME_ABILITY_KEENEYE</v>
      </c>
      <c r="B52" s="3" t="s">
        <v>20492</v>
      </c>
      <c r="C52" s="3" t="s">
        <v>20493</v>
      </c>
      <c r="D52" s="3" t="s">
        <v>20494</v>
      </c>
      <c r="E52" s="3" t="s">
        <v>20495</v>
      </c>
      <c r="F52" s="3" t="s">
        <v>20496</v>
      </c>
      <c r="G52" s="3" t="s">
        <v>20497</v>
      </c>
      <c r="H52" s="3" t="s">
        <v>20498</v>
      </c>
      <c r="I52" s="3" t="s">
        <v>20499</v>
      </c>
      <c r="J52" s="5" t="str">
        <f>IFERROR(__xludf.DUMMYFUNCTION("GOOGLETRANSLATE(I52,""zh_HANT"",""zh_HANS"")"),"锐利目光")</f>
        <v>锐利目光</v>
      </c>
    </row>
    <row r="53">
      <c r="A53" s="5" t="str">
        <f t="shared" si="1"/>
        <v>NAME_ABILITY_HYPERCUTTER</v>
      </c>
      <c r="B53" s="3" t="s">
        <v>20500</v>
      </c>
      <c r="C53" s="3" t="s">
        <v>20501</v>
      </c>
      <c r="D53" s="5" t="str">
        <f>B53</f>
        <v>Hyper Cutter</v>
      </c>
      <c r="E53" s="3" t="s">
        <v>20502</v>
      </c>
      <c r="F53" s="3" t="s">
        <v>20503</v>
      </c>
      <c r="G53" s="3" t="s">
        <v>20504</v>
      </c>
      <c r="H53" s="3" t="s">
        <v>20505</v>
      </c>
      <c r="I53" s="3" t="s">
        <v>20506</v>
      </c>
      <c r="J53" s="5" t="str">
        <f>IFERROR(__xludf.DUMMYFUNCTION("GOOGLETRANSLATE(I53,""zh_HANT"",""zh_HANS"")"),"怪力钳")</f>
        <v>怪力钳</v>
      </c>
    </row>
    <row r="54">
      <c r="A54" s="5" t="str">
        <f t="shared" si="1"/>
        <v>NAME_ABILITY_PICKUP</v>
      </c>
      <c r="B54" s="3" t="s">
        <v>20507</v>
      </c>
      <c r="C54" s="3" t="s">
        <v>20508</v>
      </c>
      <c r="D54" s="3" t="s">
        <v>20509</v>
      </c>
      <c r="E54" s="3" t="s">
        <v>20510</v>
      </c>
      <c r="F54" s="3" t="s">
        <v>20511</v>
      </c>
      <c r="G54" s="3" t="s">
        <v>20512</v>
      </c>
      <c r="H54" s="3" t="s">
        <v>20513</v>
      </c>
      <c r="I54" s="3" t="s">
        <v>20514</v>
      </c>
      <c r="J54" s="5" t="str">
        <f>IFERROR(__xludf.DUMMYFUNCTION("GOOGLETRANSLATE(I54,""zh_HANT"",""zh_HANS"")"),"捡拾")</f>
        <v>捡拾</v>
      </c>
    </row>
    <row r="55">
      <c r="A55" s="5" t="str">
        <f t="shared" si="1"/>
        <v>NAME_ABILITY_TRUANT</v>
      </c>
      <c r="B55" s="3" t="s">
        <v>20515</v>
      </c>
      <c r="C55" s="3" t="s">
        <v>20516</v>
      </c>
      <c r="D55" s="3" t="s">
        <v>20517</v>
      </c>
      <c r="E55" s="3" t="s">
        <v>20518</v>
      </c>
      <c r="F55" s="3" t="s">
        <v>20519</v>
      </c>
      <c r="G55" s="3" t="s">
        <v>20520</v>
      </c>
      <c r="H55" s="3" t="s">
        <v>20521</v>
      </c>
      <c r="I55" s="3" t="s">
        <v>20522</v>
      </c>
      <c r="J55" s="5" t="str">
        <f>IFERROR(__xludf.DUMMYFUNCTION("GOOGLETRANSLATE(I55,""zh_HANT"",""zh_HANS"")"),"懒惰")</f>
        <v>懒惰</v>
      </c>
    </row>
    <row r="56">
      <c r="A56" s="5" t="str">
        <f t="shared" si="1"/>
        <v>NAME_ABILITY_HUSTLE</v>
      </c>
      <c r="B56" s="3" t="s">
        <v>20523</v>
      </c>
      <c r="C56" s="3" t="s">
        <v>20524</v>
      </c>
      <c r="D56" s="3" t="s">
        <v>20525</v>
      </c>
      <c r="E56" s="3" t="s">
        <v>20526</v>
      </c>
      <c r="F56" s="3" t="s">
        <v>20527</v>
      </c>
      <c r="G56" s="3" t="s">
        <v>20528</v>
      </c>
      <c r="H56" s="3" t="s">
        <v>20529</v>
      </c>
      <c r="I56" s="3" t="s">
        <v>20530</v>
      </c>
      <c r="J56" s="5" t="str">
        <f>I56</f>
        <v>活力</v>
      </c>
    </row>
    <row r="57">
      <c r="A57" s="5" t="str">
        <f t="shared" si="1"/>
        <v>NAME_ABILITY_CUTECHARM</v>
      </c>
      <c r="B57" s="3" t="s">
        <v>20531</v>
      </c>
      <c r="C57" s="3" t="s">
        <v>20532</v>
      </c>
      <c r="D57" s="3" t="s">
        <v>20533</v>
      </c>
      <c r="E57" s="3" t="s">
        <v>20534</v>
      </c>
      <c r="F57" s="3" t="s">
        <v>20535</v>
      </c>
      <c r="G57" s="3" t="s">
        <v>20536</v>
      </c>
      <c r="H57" s="3" t="s">
        <v>20537</v>
      </c>
      <c r="I57" s="3" t="s">
        <v>20538</v>
      </c>
      <c r="J57" s="5" t="str">
        <f>IFERROR(__xludf.DUMMYFUNCTION("GOOGLETRANSLATE(I57,""zh_HANT"",""zh_HANS"")"),"迷人之躯")</f>
        <v>迷人之躯</v>
      </c>
    </row>
    <row r="58">
      <c r="A58" s="5" t="str">
        <f t="shared" si="1"/>
        <v>NAME_ABILITY_PLUS</v>
      </c>
      <c r="B58" s="3" t="s">
        <v>20539</v>
      </c>
      <c r="C58" s="3" t="s">
        <v>20540</v>
      </c>
      <c r="D58" s="5" t="str">
        <f t="shared" ref="D58:D59" si="9">B58</f>
        <v>Plus</v>
      </c>
      <c r="E58" s="5" t="str">
        <f t="shared" ref="E58:E59" si="10">B58</f>
        <v>Plus</v>
      </c>
      <c r="F58" s="3" t="s">
        <v>20541</v>
      </c>
      <c r="G58" s="3" t="s">
        <v>20542</v>
      </c>
      <c r="H58" s="3" t="s">
        <v>20543</v>
      </c>
      <c r="I58" s="3" t="s">
        <v>20544</v>
      </c>
      <c r="J58" s="5" t="str">
        <f>IFERROR(__xludf.DUMMYFUNCTION("GOOGLETRANSLATE(I58,""zh_HANT"",""zh_HANS"")"),"正电")</f>
        <v>正电</v>
      </c>
    </row>
    <row r="59">
      <c r="A59" s="5" t="str">
        <f t="shared" si="1"/>
        <v>NAME_ABILITY_MINUS</v>
      </c>
      <c r="B59" s="3" t="s">
        <v>20545</v>
      </c>
      <c r="C59" s="3" t="s">
        <v>20546</v>
      </c>
      <c r="D59" s="5" t="str">
        <f t="shared" si="9"/>
        <v>Minus</v>
      </c>
      <c r="E59" s="5" t="str">
        <f t="shared" si="10"/>
        <v>Minus</v>
      </c>
      <c r="F59" s="3" t="s">
        <v>20547</v>
      </c>
      <c r="G59" s="3" t="s">
        <v>20548</v>
      </c>
      <c r="H59" s="3" t="s">
        <v>20549</v>
      </c>
      <c r="I59" s="3" t="s">
        <v>20550</v>
      </c>
      <c r="J59" s="5" t="str">
        <f>IFERROR(__xludf.DUMMYFUNCTION("GOOGLETRANSLATE(I59,""zh_HANT"",""zh_HANS"")"),"负电")</f>
        <v>负电</v>
      </c>
    </row>
    <row r="60">
      <c r="A60" s="5" t="str">
        <f t="shared" si="1"/>
        <v>NAME_ABILITY_FORECAST</v>
      </c>
      <c r="B60" s="3" t="s">
        <v>20551</v>
      </c>
      <c r="C60" s="3" t="s">
        <v>20552</v>
      </c>
      <c r="D60" s="3" t="s">
        <v>20553</v>
      </c>
      <c r="E60" s="3" t="s">
        <v>20554</v>
      </c>
      <c r="F60" s="3" t="s">
        <v>20555</v>
      </c>
      <c r="G60" s="3" t="s">
        <v>20556</v>
      </c>
      <c r="H60" s="3" t="s">
        <v>20557</v>
      </c>
      <c r="I60" s="3" t="s">
        <v>20558</v>
      </c>
      <c r="J60" s="5" t="str">
        <f>IFERROR(__xludf.DUMMYFUNCTION("GOOGLETRANSLATE(I60,""zh_HANT"",""zh_HANS"")"),"阴晴不定")</f>
        <v>阴晴不定</v>
      </c>
    </row>
    <row r="61">
      <c r="A61" s="5" t="str">
        <f t="shared" si="1"/>
        <v>NAME_ABILITY_STICKYHOLD</v>
      </c>
      <c r="B61" s="3" t="s">
        <v>20559</v>
      </c>
      <c r="C61" s="3" t="s">
        <v>20560</v>
      </c>
      <c r="D61" s="3" t="s">
        <v>20561</v>
      </c>
      <c r="E61" s="3" t="s">
        <v>20562</v>
      </c>
      <c r="F61" s="3" t="s">
        <v>20563</v>
      </c>
      <c r="G61" s="3" t="s">
        <v>20564</v>
      </c>
      <c r="H61" s="3" t="s">
        <v>20565</v>
      </c>
      <c r="I61" s="3" t="s">
        <v>20566</v>
      </c>
      <c r="J61" s="5" t="str">
        <f>IFERROR(__xludf.DUMMYFUNCTION("GOOGLETRANSLATE(I61,""zh_HANT"",""zh_HANS"")"),"黏着")</f>
        <v>黏着</v>
      </c>
    </row>
    <row r="62">
      <c r="A62" s="5" t="str">
        <f t="shared" si="1"/>
        <v>NAME_ABILITY_SHEDSKIN</v>
      </c>
      <c r="B62" s="3" t="s">
        <v>20567</v>
      </c>
      <c r="C62" s="3" t="s">
        <v>10378</v>
      </c>
      <c r="D62" s="3" t="s">
        <v>10379</v>
      </c>
      <c r="E62" s="3" t="s">
        <v>20568</v>
      </c>
      <c r="F62" s="3" t="s">
        <v>20569</v>
      </c>
      <c r="G62" s="3" t="s">
        <v>20570</v>
      </c>
      <c r="H62" s="3" t="s">
        <v>10383</v>
      </c>
      <c r="I62" s="3" t="s">
        <v>10384</v>
      </c>
      <c r="J62" s="5" t="str">
        <f>IFERROR(__xludf.DUMMYFUNCTION("GOOGLETRANSLATE(I62,""zh_HANT"",""zh_HANS"")"),"蜕皮")</f>
        <v>蜕皮</v>
      </c>
    </row>
    <row r="63">
      <c r="A63" s="5" t="str">
        <f t="shared" si="1"/>
        <v>NAME_ABILITY_GUTS</v>
      </c>
      <c r="B63" s="3" t="s">
        <v>20571</v>
      </c>
      <c r="C63" s="3" t="s">
        <v>20572</v>
      </c>
      <c r="D63" s="3" t="s">
        <v>20573</v>
      </c>
      <c r="E63" s="3" t="s">
        <v>20574</v>
      </c>
      <c r="F63" s="3" t="s">
        <v>20575</v>
      </c>
      <c r="G63" s="3" t="s">
        <v>20576</v>
      </c>
      <c r="H63" s="3" t="s">
        <v>20577</v>
      </c>
      <c r="I63" s="3" t="s">
        <v>20578</v>
      </c>
      <c r="J63" s="5" t="str">
        <f>I63</f>
        <v>毅力</v>
      </c>
    </row>
    <row r="64">
      <c r="A64" s="5" t="str">
        <f t="shared" si="1"/>
        <v>NAME_ABILITY_MARVELSCALE</v>
      </c>
      <c r="B64" s="3" t="s">
        <v>20579</v>
      </c>
      <c r="C64" s="3" t="s">
        <v>20580</v>
      </c>
      <c r="D64" s="3" t="s">
        <v>20581</v>
      </c>
      <c r="E64" s="3" t="s">
        <v>20582</v>
      </c>
      <c r="F64" s="3" t="s">
        <v>20583</v>
      </c>
      <c r="G64" s="3" t="s">
        <v>20584</v>
      </c>
      <c r="H64" s="3" t="s">
        <v>20585</v>
      </c>
      <c r="I64" s="3" t="s">
        <v>20586</v>
      </c>
      <c r="J64" s="5" t="str">
        <f>IFERROR(__xludf.DUMMYFUNCTION("GOOGLETRANSLATE(I64,""zh_HANT"",""zh_HANS"")"),"神奇鳞片")</f>
        <v>神奇鳞片</v>
      </c>
    </row>
    <row r="65">
      <c r="A65" s="5" t="str">
        <f t="shared" si="1"/>
        <v>NAME_ABILITY_LIQUIDOOZE</v>
      </c>
      <c r="B65" s="3" t="s">
        <v>20587</v>
      </c>
      <c r="C65" s="3" t="s">
        <v>20588</v>
      </c>
      <c r="D65" s="3" t="s">
        <v>20589</v>
      </c>
      <c r="E65" s="3" t="s">
        <v>20590</v>
      </c>
      <c r="F65" s="3" t="s">
        <v>20591</v>
      </c>
      <c r="G65" s="3" t="s">
        <v>7726</v>
      </c>
      <c r="H65" s="3" t="s">
        <v>20592</v>
      </c>
      <c r="I65" s="3" t="s">
        <v>20593</v>
      </c>
      <c r="J65" s="5" t="str">
        <f>IFERROR(__xludf.DUMMYFUNCTION("GOOGLETRANSLATE(I65,""zh_HANT"",""zh_HANS"")"),"污泥浆")</f>
        <v>污泥浆</v>
      </c>
    </row>
    <row r="66">
      <c r="A66" s="5" t="str">
        <f t="shared" si="1"/>
        <v>NAME_ABILITY_OVERGROW</v>
      </c>
      <c r="B66" s="3" t="s">
        <v>20594</v>
      </c>
      <c r="C66" s="3" t="s">
        <v>9832</v>
      </c>
      <c r="D66" s="3" t="s">
        <v>20595</v>
      </c>
      <c r="E66" s="3" t="s">
        <v>20596</v>
      </c>
      <c r="F66" s="3" t="s">
        <v>20597</v>
      </c>
      <c r="G66" s="3" t="s">
        <v>20598</v>
      </c>
      <c r="H66" s="3" t="s">
        <v>9837</v>
      </c>
      <c r="I66" s="3" t="s">
        <v>20599</v>
      </c>
      <c r="J66" s="5" t="str">
        <f t="shared" ref="J66:J68" si="11">I66</f>
        <v>茂盛</v>
      </c>
    </row>
    <row r="67">
      <c r="A67" s="5" t="str">
        <f t="shared" si="1"/>
        <v>NAME_ABILITY_BLAZE</v>
      </c>
      <c r="B67" s="3" t="s">
        <v>20600</v>
      </c>
      <c r="C67" s="3" t="s">
        <v>20601</v>
      </c>
      <c r="D67" s="3" t="s">
        <v>20602</v>
      </c>
      <c r="E67" s="3" t="s">
        <v>20603</v>
      </c>
      <c r="F67" s="3" t="s">
        <v>20604</v>
      </c>
      <c r="G67" s="3" t="s">
        <v>20605</v>
      </c>
      <c r="H67" s="3" t="s">
        <v>20606</v>
      </c>
      <c r="I67" s="3" t="s">
        <v>20607</v>
      </c>
      <c r="J67" s="5" t="str">
        <f t="shared" si="11"/>
        <v>猛火</v>
      </c>
    </row>
    <row r="68">
      <c r="A68" s="5" t="str">
        <f t="shared" si="1"/>
        <v>NAME_ABILITY_TORRENT</v>
      </c>
      <c r="B68" s="3" t="s">
        <v>20608</v>
      </c>
      <c r="C68" s="3" t="s">
        <v>20609</v>
      </c>
      <c r="D68" s="5" t="str">
        <f>B68</f>
        <v>Torrent</v>
      </c>
      <c r="E68" s="3" t="s">
        <v>20610</v>
      </c>
      <c r="F68" s="3" t="s">
        <v>20611</v>
      </c>
      <c r="G68" s="3" t="s">
        <v>20612</v>
      </c>
      <c r="H68" s="3" t="s">
        <v>20613</v>
      </c>
      <c r="I68" s="3" t="s">
        <v>20614</v>
      </c>
      <c r="J68" s="5" t="str">
        <f t="shared" si="11"/>
        <v>激流</v>
      </c>
    </row>
    <row r="69">
      <c r="A69" s="5" t="str">
        <f t="shared" si="1"/>
        <v>NAME_ABILITY_SWARM</v>
      </c>
      <c r="B69" s="3" t="s">
        <v>20615</v>
      </c>
      <c r="C69" s="3" t="s">
        <v>20616</v>
      </c>
      <c r="D69" s="3" t="s">
        <v>20617</v>
      </c>
      <c r="E69" s="3" t="s">
        <v>20618</v>
      </c>
      <c r="F69" s="3" t="s">
        <v>20619</v>
      </c>
      <c r="G69" s="3" t="s">
        <v>20620</v>
      </c>
      <c r="H69" s="3" t="s">
        <v>20621</v>
      </c>
      <c r="I69" s="3" t="s">
        <v>20622</v>
      </c>
      <c r="J69" s="5" t="str">
        <f>IFERROR(__xludf.DUMMYFUNCTION("GOOGLETRANSLATE(I69,""zh_HANT"",""zh_HANS"")"),"虫之预感")</f>
        <v>虫之预感</v>
      </c>
    </row>
    <row r="70">
      <c r="A70" s="5" t="str">
        <f t="shared" si="1"/>
        <v>NAME_ABILITY_ROCKHEAD</v>
      </c>
      <c r="B70" s="3" t="s">
        <v>20623</v>
      </c>
      <c r="C70" s="3" t="s">
        <v>20624</v>
      </c>
      <c r="D70" s="3" t="s">
        <v>20625</v>
      </c>
      <c r="E70" s="3" t="s">
        <v>20626</v>
      </c>
      <c r="F70" s="3" t="s">
        <v>20627</v>
      </c>
      <c r="G70" s="3" t="s">
        <v>20628</v>
      </c>
      <c r="H70" s="3" t="s">
        <v>20629</v>
      </c>
      <c r="I70" s="3" t="s">
        <v>20630</v>
      </c>
      <c r="J70" s="5" t="str">
        <f>IFERROR(__xludf.DUMMYFUNCTION("GOOGLETRANSLATE(I70,""zh_HANT"",""zh_HANS"")"),"坚硬脑袋")</f>
        <v>坚硬脑袋</v>
      </c>
    </row>
    <row r="71">
      <c r="A71" s="5" t="str">
        <f t="shared" si="1"/>
        <v>NAME_ABILITY_DROUGHT</v>
      </c>
      <c r="B71" s="3" t="s">
        <v>20631</v>
      </c>
      <c r="C71" s="3" t="s">
        <v>20632</v>
      </c>
      <c r="D71" s="3" t="s">
        <v>20633</v>
      </c>
      <c r="E71" s="3" t="s">
        <v>20634</v>
      </c>
      <c r="F71" s="3" t="s">
        <v>20635</v>
      </c>
      <c r="G71" s="3" t="s">
        <v>20636</v>
      </c>
      <c r="H71" s="3" t="s">
        <v>20637</v>
      </c>
      <c r="I71" s="3" t="s">
        <v>20638</v>
      </c>
      <c r="J71" s="5" t="str">
        <f t="shared" ref="J71:J72" si="12">I71</f>
        <v>日照</v>
      </c>
    </row>
    <row r="72">
      <c r="A72" s="5" t="str">
        <f t="shared" si="1"/>
        <v>NAME_ABILITY_ARENATRAP</v>
      </c>
      <c r="B72" s="3" t="s">
        <v>20639</v>
      </c>
      <c r="C72" s="3" t="s">
        <v>9007</v>
      </c>
      <c r="D72" s="3" t="s">
        <v>10737</v>
      </c>
      <c r="E72" s="3" t="s">
        <v>20640</v>
      </c>
      <c r="F72" s="3" t="s">
        <v>20641</v>
      </c>
      <c r="G72" s="3" t="s">
        <v>20642</v>
      </c>
      <c r="H72" s="3" t="s">
        <v>9012</v>
      </c>
      <c r="I72" s="3" t="s">
        <v>20643</v>
      </c>
      <c r="J72" s="5" t="str">
        <f t="shared" si="12"/>
        <v>沙穴</v>
      </c>
    </row>
    <row r="73">
      <c r="A73" s="5" t="str">
        <f t="shared" si="1"/>
        <v>NAME_ABILITY_VITALSPIRIT</v>
      </c>
      <c r="B73" s="3" t="s">
        <v>20644</v>
      </c>
      <c r="C73" s="3" t="s">
        <v>20645</v>
      </c>
      <c r="D73" s="3" t="s">
        <v>20646</v>
      </c>
      <c r="E73" s="3" t="s">
        <v>20647</v>
      </c>
      <c r="F73" s="3" t="s">
        <v>20648</v>
      </c>
      <c r="G73" s="3" t="s">
        <v>20649</v>
      </c>
      <c r="H73" s="3" t="s">
        <v>20650</v>
      </c>
      <c r="I73" s="3" t="s">
        <v>20651</v>
      </c>
      <c r="J73" s="5" t="str">
        <f>IFERROR(__xludf.DUMMYFUNCTION("GOOGLETRANSLATE(I73,""zh_HANT"",""zh_HANS"")"),"干劲")</f>
        <v>干劲</v>
      </c>
    </row>
    <row r="74">
      <c r="A74" s="5" t="str">
        <f t="shared" si="1"/>
        <v>NAME_ABILITY_WHITESMOKE</v>
      </c>
      <c r="B74" s="3" t="s">
        <v>20652</v>
      </c>
      <c r="C74" s="3" t="s">
        <v>20653</v>
      </c>
      <c r="D74" s="3" t="s">
        <v>20654</v>
      </c>
      <c r="E74" s="3" t="s">
        <v>20655</v>
      </c>
      <c r="F74" s="3" t="s">
        <v>20656</v>
      </c>
      <c r="G74" s="3" t="s">
        <v>20657</v>
      </c>
      <c r="H74" s="3" t="s">
        <v>20658</v>
      </c>
      <c r="I74" s="3" t="s">
        <v>20659</v>
      </c>
      <c r="J74" s="5" t="str">
        <f>IFERROR(__xludf.DUMMYFUNCTION("GOOGLETRANSLATE(I74,""zh_HANT"",""zh_HANS"")"),"白色烟雾")</f>
        <v>白色烟雾</v>
      </c>
    </row>
    <row r="75">
      <c r="A75" s="5" t="str">
        <f t="shared" si="1"/>
        <v>NAME_ABILITY_PUREPOWER</v>
      </c>
      <c r="B75" s="3" t="s">
        <v>20660</v>
      </c>
      <c r="C75" s="3" t="s">
        <v>20661</v>
      </c>
      <c r="D75" s="3" t="s">
        <v>20662</v>
      </c>
      <c r="E75" s="3" t="s">
        <v>20663</v>
      </c>
      <c r="F75" s="3" t="s">
        <v>20664</v>
      </c>
      <c r="G75" s="3" t="s">
        <v>20665</v>
      </c>
      <c r="H75" s="3" t="s">
        <v>20666</v>
      </c>
      <c r="I75" s="3" t="s">
        <v>20667</v>
      </c>
      <c r="J75" s="5" t="str">
        <f>I75</f>
        <v>瑜伽之力</v>
      </c>
    </row>
    <row r="76">
      <c r="A76" s="5" t="str">
        <f t="shared" si="1"/>
        <v>NAME_ABILITY_SHELLARMOR</v>
      </c>
      <c r="B76" s="3" t="s">
        <v>20668</v>
      </c>
      <c r="C76" s="3" t="s">
        <v>20669</v>
      </c>
      <c r="D76" s="3" t="s">
        <v>20670</v>
      </c>
      <c r="E76" s="3" t="s">
        <v>20671</v>
      </c>
      <c r="F76" s="3" t="s">
        <v>8563</v>
      </c>
      <c r="G76" s="3" t="s">
        <v>20672</v>
      </c>
      <c r="H76" s="3" t="s">
        <v>20673</v>
      </c>
      <c r="I76" s="3" t="s">
        <v>20674</v>
      </c>
      <c r="J76" s="5" t="str">
        <f>IFERROR(__xludf.DUMMYFUNCTION("GOOGLETRANSLATE(I76,""zh_HANT"",""zh_HANS"")"),"硬壳盔甲")</f>
        <v>硬壳盔甲</v>
      </c>
    </row>
    <row r="77">
      <c r="A77" s="5" t="str">
        <f t="shared" si="1"/>
        <v>NAME_ABILITY_AIRLOCK</v>
      </c>
      <c r="B77" s="3" t="s">
        <v>20675</v>
      </c>
      <c r="C77" s="3" t="s">
        <v>20676</v>
      </c>
      <c r="D77" s="3" t="s">
        <v>20675</v>
      </c>
      <c r="E77" s="3" t="s">
        <v>20677</v>
      </c>
      <c r="F77" s="3" t="s">
        <v>20678</v>
      </c>
      <c r="G77" s="3" t="s">
        <v>20679</v>
      </c>
      <c r="H77" s="3" t="s">
        <v>20680</v>
      </c>
      <c r="I77" s="3" t="s">
        <v>20681</v>
      </c>
      <c r="J77" s="5" t="str">
        <f>IFERROR(__xludf.DUMMYFUNCTION("GOOGLETRANSLATE(I77,""zh_HANT"",""zh_HANS"")"),"气闸")</f>
        <v>气闸</v>
      </c>
    </row>
    <row r="78">
      <c r="A78" s="5" t="str">
        <f t="shared" si="1"/>
        <v>NAME_ABILITY_TANGLEDFEET</v>
      </c>
      <c r="B78" s="3" t="s">
        <v>20682</v>
      </c>
      <c r="C78" s="3" t="s">
        <v>20683</v>
      </c>
      <c r="D78" s="3" t="s">
        <v>20684</v>
      </c>
      <c r="E78" s="3" t="s">
        <v>20685</v>
      </c>
      <c r="F78" s="3" t="s">
        <v>20686</v>
      </c>
      <c r="G78" s="3" t="s">
        <v>20687</v>
      </c>
      <c r="H78" s="3" t="s">
        <v>20688</v>
      </c>
      <c r="I78" s="3" t="s">
        <v>20689</v>
      </c>
      <c r="J78" s="5" t="str">
        <f>IFERROR(__xludf.DUMMYFUNCTION("GOOGLETRANSLATE(I78,""zh_HANT"",""zh_HANS"")"),"蹒跚")</f>
        <v>蹒跚</v>
      </c>
    </row>
    <row r="79">
      <c r="A79" s="5" t="str">
        <f t="shared" si="1"/>
        <v>NAME_ABILITY_MOTORDRIVE</v>
      </c>
      <c r="B79" s="3" t="s">
        <v>20690</v>
      </c>
      <c r="C79" s="3" t="s">
        <v>20691</v>
      </c>
      <c r="D79" s="3" t="s">
        <v>20692</v>
      </c>
      <c r="E79" s="3" t="s">
        <v>20693</v>
      </c>
      <c r="F79" s="3" t="s">
        <v>20694</v>
      </c>
      <c r="G79" s="3" t="s">
        <v>20695</v>
      </c>
      <c r="H79" s="3" t="s">
        <v>20696</v>
      </c>
      <c r="I79" s="3" t="s">
        <v>20697</v>
      </c>
      <c r="J79" s="5" t="str">
        <f>IFERROR(__xludf.DUMMYFUNCTION("GOOGLETRANSLATE(I79,""zh_HANT"",""zh_HANS"")"),"电气引擎")</f>
        <v>电气引擎</v>
      </c>
    </row>
    <row r="80">
      <c r="A80" s="5" t="str">
        <f t="shared" si="1"/>
        <v>NAME_ABILITY_RIVALRY</v>
      </c>
      <c r="B80" s="3" t="s">
        <v>20698</v>
      </c>
      <c r="C80" s="3" t="s">
        <v>20699</v>
      </c>
      <c r="D80" s="3" t="s">
        <v>20700</v>
      </c>
      <c r="E80" s="3" t="s">
        <v>20701</v>
      </c>
      <c r="F80" s="3" t="s">
        <v>20702</v>
      </c>
      <c r="G80" s="3" t="s">
        <v>20703</v>
      </c>
      <c r="H80" s="3" t="s">
        <v>20704</v>
      </c>
      <c r="I80" s="3" t="s">
        <v>20705</v>
      </c>
      <c r="J80" s="5" t="str">
        <f>IFERROR(__xludf.DUMMYFUNCTION("GOOGLETRANSLATE(I80,""zh_HANT"",""zh_HANS"")"),"斗争心")</f>
        <v>斗争心</v>
      </c>
    </row>
    <row r="81">
      <c r="A81" s="5" t="str">
        <f t="shared" si="1"/>
        <v>NAME_ABILITY_STEADFAST</v>
      </c>
      <c r="B81" s="3" t="s">
        <v>20706</v>
      </c>
      <c r="C81" s="3" t="s">
        <v>20707</v>
      </c>
      <c r="D81" s="3" t="s">
        <v>20708</v>
      </c>
      <c r="E81" s="3" t="s">
        <v>20709</v>
      </c>
      <c r="F81" s="3" t="s">
        <v>20710</v>
      </c>
      <c r="G81" s="3" t="s">
        <v>20711</v>
      </c>
      <c r="H81" s="3" t="s">
        <v>20712</v>
      </c>
      <c r="I81" s="3" t="s">
        <v>20713</v>
      </c>
      <c r="J81" s="5" t="str">
        <f>I81</f>
        <v>不屈之心</v>
      </c>
    </row>
    <row r="82">
      <c r="A82" s="5" t="str">
        <f t="shared" si="1"/>
        <v>NAME_ABILITY_SNOWCLOAK</v>
      </c>
      <c r="B82" s="3" t="s">
        <v>20714</v>
      </c>
      <c r="C82" s="3" t="s">
        <v>20715</v>
      </c>
      <c r="D82" s="3" t="s">
        <v>20716</v>
      </c>
      <c r="E82" s="3" t="s">
        <v>20717</v>
      </c>
      <c r="F82" s="3" t="s">
        <v>20718</v>
      </c>
      <c r="G82" s="3" t="s">
        <v>20719</v>
      </c>
      <c r="H82" s="3" t="s">
        <v>20720</v>
      </c>
      <c r="I82" s="3" t="s">
        <v>20721</v>
      </c>
      <c r="J82" s="5" t="str">
        <f>IFERROR(__xludf.DUMMYFUNCTION("GOOGLETRANSLATE(I82,""zh_HANT"",""zh_HANS"")"),"雪隐")</f>
        <v>雪隐</v>
      </c>
    </row>
    <row r="83">
      <c r="A83" s="5" t="str">
        <f t="shared" si="1"/>
        <v>NAME_ABILITY_GLUTTONY</v>
      </c>
      <c r="B83" s="3" t="s">
        <v>20722</v>
      </c>
      <c r="C83" s="3" t="s">
        <v>20723</v>
      </c>
      <c r="D83" s="3" t="s">
        <v>20724</v>
      </c>
      <c r="E83" s="3" t="s">
        <v>20725</v>
      </c>
      <c r="F83" s="3" t="s">
        <v>20726</v>
      </c>
      <c r="G83" s="3" t="s">
        <v>20727</v>
      </c>
      <c r="H83" s="3" t="s">
        <v>20728</v>
      </c>
      <c r="I83" s="3" t="s">
        <v>20729</v>
      </c>
      <c r="J83" s="5" t="str">
        <f>IFERROR(__xludf.DUMMYFUNCTION("GOOGLETRANSLATE(I83,""zh_HANT"",""zh_HANS"")"),"贪吃鬼")</f>
        <v>贪吃鬼</v>
      </c>
    </row>
    <row r="84">
      <c r="A84" s="5" t="str">
        <f t="shared" si="1"/>
        <v>NAME_ABILITY_ANGERPOINT</v>
      </c>
      <c r="B84" s="3" t="s">
        <v>20730</v>
      </c>
      <c r="C84" s="3" t="s">
        <v>20731</v>
      </c>
      <c r="D84" s="3" t="s">
        <v>20732</v>
      </c>
      <c r="E84" s="3" t="s">
        <v>20733</v>
      </c>
      <c r="F84" s="3" t="s">
        <v>20734</v>
      </c>
      <c r="G84" s="3" t="s">
        <v>20735</v>
      </c>
      <c r="H84" s="3" t="s">
        <v>20736</v>
      </c>
      <c r="I84" s="3" t="s">
        <v>20737</v>
      </c>
      <c r="J84" s="5" t="str">
        <f>IFERROR(__xludf.DUMMYFUNCTION("GOOGLETRANSLATE(I84,""zh_HANT"",""zh_HANS"")"),"愤怒穴位")</f>
        <v>愤怒穴位</v>
      </c>
    </row>
    <row r="85">
      <c r="A85" s="5" t="str">
        <f t="shared" si="1"/>
        <v>NAME_ABILITY_UNBURDEN</v>
      </c>
      <c r="B85" s="3" t="s">
        <v>20738</v>
      </c>
      <c r="C85" s="3" t="s">
        <v>20739</v>
      </c>
      <c r="D85" s="3" t="s">
        <v>20740</v>
      </c>
      <c r="E85" s="3" t="s">
        <v>20741</v>
      </c>
      <c r="F85" s="3" t="s">
        <v>20742</v>
      </c>
      <c r="G85" s="3" t="s">
        <v>20743</v>
      </c>
      <c r="H85" s="3" t="s">
        <v>20744</v>
      </c>
      <c r="I85" s="3" t="s">
        <v>20745</v>
      </c>
      <c r="J85" s="5" t="str">
        <f>IFERROR(__xludf.DUMMYFUNCTION("GOOGLETRANSLATE(I85,""zh_HANT"",""zh_HANS"")"),"轻装")</f>
        <v>轻装</v>
      </c>
    </row>
    <row r="86">
      <c r="A86" s="5" t="str">
        <f t="shared" si="1"/>
        <v>NAME_ABILITY_HEATPROOF</v>
      </c>
      <c r="B86" s="3" t="s">
        <v>20746</v>
      </c>
      <c r="C86" s="3" t="s">
        <v>20747</v>
      </c>
      <c r="D86" s="3" t="s">
        <v>20748</v>
      </c>
      <c r="E86" s="3" t="s">
        <v>20749</v>
      </c>
      <c r="F86" s="3" t="s">
        <v>20750</v>
      </c>
      <c r="G86" s="3" t="s">
        <v>20751</v>
      </c>
      <c r="H86" s="3" t="s">
        <v>20752</v>
      </c>
      <c r="I86" s="3" t="s">
        <v>20753</v>
      </c>
      <c r="J86" s="5" t="str">
        <f>IFERROR(__xludf.DUMMYFUNCTION("GOOGLETRANSLATE(I86,""zh_HANT"",""zh_HANS"")"),"耐热")</f>
        <v>耐热</v>
      </c>
    </row>
    <row r="87">
      <c r="A87" s="5" t="str">
        <f t="shared" si="1"/>
        <v>NAME_ABILITY_SIMPLE</v>
      </c>
      <c r="B87" s="3" t="s">
        <v>20754</v>
      </c>
      <c r="C87" s="3" t="s">
        <v>20755</v>
      </c>
      <c r="D87" s="3" t="s">
        <v>20754</v>
      </c>
      <c r="E87" s="3" t="s">
        <v>20756</v>
      </c>
      <c r="F87" s="3" t="s">
        <v>20754</v>
      </c>
      <c r="G87" s="3" t="s">
        <v>20757</v>
      </c>
      <c r="H87" s="3" t="s">
        <v>20758</v>
      </c>
      <c r="I87" s="3" t="s">
        <v>20759</v>
      </c>
      <c r="J87" s="5" t="str">
        <f>IFERROR(__xludf.DUMMYFUNCTION("GOOGLETRANSLATE(I87,""zh_HANT"",""zh_HANS"")"),"单纯")</f>
        <v>单纯</v>
      </c>
    </row>
    <row r="88">
      <c r="A88" s="5" t="str">
        <f t="shared" si="1"/>
        <v>NAME_ABILITY_DRYSKIN</v>
      </c>
      <c r="B88" s="3" t="s">
        <v>20760</v>
      </c>
      <c r="C88" s="3" t="s">
        <v>20761</v>
      </c>
      <c r="D88" s="3" t="s">
        <v>20762</v>
      </c>
      <c r="E88" s="3" t="s">
        <v>20763</v>
      </c>
      <c r="F88" s="3" t="s">
        <v>20764</v>
      </c>
      <c r="G88" s="3" t="s">
        <v>20765</v>
      </c>
      <c r="H88" s="3" t="s">
        <v>20766</v>
      </c>
      <c r="I88" s="3" t="s">
        <v>20767</v>
      </c>
      <c r="J88" s="5" t="str">
        <f>IFERROR(__xludf.DUMMYFUNCTION("GOOGLETRANSLATE(I88,""zh_HANT"",""zh_HANS"")"),"干燥皮肤")</f>
        <v>干燥皮肤</v>
      </c>
    </row>
    <row r="89">
      <c r="A89" s="5" t="str">
        <f t="shared" si="1"/>
        <v>NAME_ABILITY_DOWNLOAD</v>
      </c>
      <c r="B89" s="3" t="s">
        <v>20768</v>
      </c>
      <c r="C89" s="3" t="s">
        <v>20769</v>
      </c>
      <c r="D89" s="3" t="s">
        <v>20770</v>
      </c>
      <c r="E89" s="5" t="str">
        <f>B89</f>
        <v>Download</v>
      </c>
      <c r="F89" s="3" t="s">
        <v>8897</v>
      </c>
      <c r="G89" s="5" t="str">
        <f>B89</f>
        <v>Download</v>
      </c>
      <c r="H89" s="3" t="s">
        <v>20771</v>
      </c>
      <c r="I89" s="3" t="s">
        <v>20772</v>
      </c>
      <c r="J89" s="5" t="str">
        <f>IFERROR(__xludf.DUMMYFUNCTION("GOOGLETRANSLATE(I89,""zh_HANT"",""zh_HANS"")"),"下载")</f>
        <v>下载</v>
      </c>
    </row>
    <row r="90">
      <c r="A90" s="5" t="str">
        <f t="shared" si="1"/>
        <v>NAME_ABILITY_IRONFIST</v>
      </c>
      <c r="B90" s="3" t="s">
        <v>20773</v>
      </c>
      <c r="C90" s="3" t="s">
        <v>20774</v>
      </c>
      <c r="D90" s="3" t="s">
        <v>20775</v>
      </c>
      <c r="E90" s="3" t="s">
        <v>20776</v>
      </c>
      <c r="F90" s="3" t="s">
        <v>20777</v>
      </c>
      <c r="G90" s="3" t="s">
        <v>20778</v>
      </c>
      <c r="H90" s="3" t="s">
        <v>20779</v>
      </c>
      <c r="I90" s="3" t="s">
        <v>20780</v>
      </c>
      <c r="J90" s="5" t="str">
        <f>IFERROR(__xludf.DUMMYFUNCTION("GOOGLETRANSLATE(I90,""zh_HANT"",""zh_HANS"")"),"铁拳")</f>
        <v>铁拳</v>
      </c>
    </row>
    <row r="91">
      <c r="A91" s="5" t="str">
        <f t="shared" si="1"/>
        <v>NAME_ABILITY_POISONHEAL</v>
      </c>
      <c r="B91" s="3" t="s">
        <v>20781</v>
      </c>
      <c r="C91" s="3" t="s">
        <v>20782</v>
      </c>
      <c r="D91" s="3" t="s">
        <v>20783</v>
      </c>
      <c r="E91" s="3" t="s">
        <v>20784</v>
      </c>
      <c r="F91" s="3" t="s">
        <v>20785</v>
      </c>
      <c r="G91" s="3" t="s">
        <v>20786</v>
      </c>
      <c r="H91" s="3" t="s">
        <v>20787</v>
      </c>
      <c r="I91" s="3" t="s">
        <v>20788</v>
      </c>
      <c r="J91" s="5" t="str">
        <f>IFERROR(__xludf.DUMMYFUNCTION("GOOGLETRANSLATE(I91,""zh_HANT"",""zh_HANS"")"),"毒疗")</f>
        <v>毒疗</v>
      </c>
    </row>
    <row r="92">
      <c r="A92" s="5" t="str">
        <f t="shared" si="1"/>
        <v>NAME_ABILITY_ADAPTABILITY</v>
      </c>
      <c r="B92" s="3" t="s">
        <v>20789</v>
      </c>
      <c r="C92" s="3" t="s">
        <v>20790</v>
      </c>
      <c r="D92" s="3" t="s">
        <v>20791</v>
      </c>
      <c r="E92" s="3" t="s">
        <v>20792</v>
      </c>
      <c r="F92" s="3" t="s">
        <v>20793</v>
      </c>
      <c r="G92" s="3" t="s">
        <v>20794</v>
      </c>
      <c r="H92" s="3" t="s">
        <v>20795</v>
      </c>
      <c r="I92" s="3" t="s">
        <v>20796</v>
      </c>
      <c r="J92" s="5" t="str">
        <f>IFERROR(__xludf.DUMMYFUNCTION("GOOGLETRANSLATE(I92,""zh_HANT"",""zh_HANS"")"),"适应力")</f>
        <v>适应力</v>
      </c>
    </row>
    <row r="93">
      <c r="A93" s="5" t="str">
        <f t="shared" si="1"/>
        <v>NAME_ABILITY_SKILLLINK</v>
      </c>
      <c r="B93" s="3" t="s">
        <v>20797</v>
      </c>
      <c r="C93" s="3" t="s">
        <v>20798</v>
      </c>
      <c r="D93" s="3" t="s">
        <v>20799</v>
      </c>
      <c r="E93" s="3" t="s">
        <v>20800</v>
      </c>
      <c r="F93" s="3" t="s">
        <v>20801</v>
      </c>
      <c r="G93" s="3" t="s">
        <v>20802</v>
      </c>
      <c r="H93" s="3" t="s">
        <v>20803</v>
      </c>
      <c r="I93" s="3" t="s">
        <v>20804</v>
      </c>
      <c r="J93" s="5" t="str">
        <f>IFERROR(__xludf.DUMMYFUNCTION("GOOGLETRANSLATE(I93,""zh_HANT"",""zh_HANS"")"),"连续攻击")</f>
        <v>连续攻击</v>
      </c>
    </row>
    <row r="94">
      <c r="A94" s="5" t="str">
        <f t="shared" si="1"/>
        <v>NAME_ABILITY_HYDRATION</v>
      </c>
      <c r="B94" s="3" t="s">
        <v>20805</v>
      </c>
      <c r="C94" s="3" t="s">
        <v>20806</v>
      </c>
      <c r="D94" s="3" t="s">
        <v>20807</v>
      </c>
      <c r="E94" s="5" t="str">
        <f>B94</f>
        <v>Hydration</v>
      </c>
      <c r="F94" s="3" t="s">
        <v>20808</v>
      </c>
      <c r="G94" s="3" t="s">
        <v>20809</v>
      </c>
      <c r="H94" s="3" t="s">
        <v>20810</v>
      </c>
      <c r="I94" s="3" t="s">
        <v>20811</v>
      </c>
      <c r="J94" s="5" t="str">
        <f>IFERROR(__xludf.DUMMYFUNCTION("GOOGLETRANSLATE(I94,""zh_HANT"",""zh_HANS"")"),"湿润之躯")</f>
        <v>湿润之躯</v>
      </c>
    </row>
    <row r="95">
      <c r="A95" s="5" t="str">
        <f t="shared" si="1"/>
        <v>NAME_ABILITY_SOLARPOWER</v>
      </c>
      <c r="B95" s="3" t="s">
        <v>20812</v>
      </c>
      <c r="C95" s="3" t="s">
        <v>20813</v>
      </c>
      <c r="D95" s="3" t="s">
        <v>20814</v>
      </c>
      <c r="E95" s="3" t="s">
        <v>20815</v>
      </c>
      <c r="F95" s="3" t="s">
        <v>20816</v>
      </c>
      <c r="G95" s="3" t="s">
        <v>20817</v>
      </c>
      <c r="H95" s="3" t="s">
        <v>20818</v>
      </c>
      <c r="I95" s="3" t="s">
        <v>20819</v>
      </c>
      <c r="J95" s="5" t="str">
        <f>IFERROR(__xludf.DUMMYFUNCTION("GOOGLETRANSLATE(I95,""zh_HANT"",""zh_HANS"")"),"太阳之力")</f>
        <v>太阳之力</v>
      </c>
    </row>
    <row r="96">
      <c r="A96" s="5" t="str">
        <f t="shared" si="1"/>
        <v>NAME_ABILITY_QUICKFEET</v>
      </c>
      <c r="B96" s="3" t="s">
        <v>20820</v>
      </c>
      <c r="C96" s="3" t="s">
        <v>20821</v>
      </c>
      <c r="D96" s="3" t="s">
        <v>20822</v>
      </c>
      <c r="E96" s="3" t="s">
        <v>9703</v>
      </c>
      <c r="F96" s="3" t="s">
        <v>20823</v>
      </c>
      <c r="G96" s="3" t="s">
        <v>20824</v>
      </c>
      <c r="H96" s="3" t="s">
        <v>20825</v>
      </c>
      <c r="I96" s="3" t="s">
        <v>20826</v>
      </c>
      <c r="J96" s="5" t="str">
        <f>IFERROR(__xludf.DUMMYFUNCTION("GOOGLETRANSLATE(I96,""zh_HANT"",""zh_HANS"")"),"飞毛腿")</f>
        <v>飞毛腿</v>
      </c>
    </row>
    <row r="97">
      <c r="A97" s="5" t="str">
        <f t="shared" si="1"/>
        <v>NAME_ABILITY_NORMALIZE</v>
      </c>
      <c r="B97" s="3" t="s">
        <v>20827</v>
      </c>
      <c r="C97" s="3" t="s">
        <v>20828</v>
      </c>
      <c r="D97" s="3" t="s">
        <v>20829</v>
      </c>
      <c r="E97" s="3" t="s">
        <v>20830</v>
      </c>
      <c r="F97" s="3" t="s">
        <v>20831</v>
      </c>
      <c r="G97" s="3" t="s">
        <v>20832</v>
      </c>
      <c r="H97" s="3" t="s">
        <v>20833</v>
      </c>
      <c r="I97" s="3" t="s">
        <v>20834</v>
      </c>
      <c r="J97" s="5" t="str">
        <f>IFERROR(__xludf.DUMMYFUNCTION("GOOGLETRANSLATE(I97,""zh_HANT"",""zh_HANS"")"),"一般皮肤")</f>
        <v>一般皮肤</v>
      </c>
    </row>
    <row r="98">
      <c r="A98" s="5" t="str">
        <f t="shared" si="1"/>
        <v>NAME_ABILITY_SNIPER</v>
      </c>
      <c r="B98" s="3" t="s">
        <v>20835</v>
      </c>
      <c r="C98" s="3" t="s">
        <v>20836</v>
      </c>
      <c r="D98" s="3" t="s">
        <v>20835</v>
      </c>
      <c r="E98" s="3" t="s">
        <v>20837</v>
      </c>
      <c r="F98" s="3" t="s">
        <v>20838</v>
      </c>
      <c r="G98" s="3" t="s">
        <v>20839</v>
      </c>
      <c r="H98" s="3" t="s">
        <v>20840</v>
      </c>
      <c r="I98" s="3" t="s">
        <v>20841</v>
      </c>
      <c r="J98" s="5" t="str">
        <f>IFERROR(__xludf.DUMMYFUNCTION("GOOGLETRANSLATE(I98,""zh_HANT"",""zh_HANS"")"),"狙击手")</f>
        <v>狙击手</v>
      </c>
    </row>
    <row r="99">
      <c r="A99" s="5" t="str">
        <f t="shared" si="1"/>
        <v>NAME_ABILITY_MAGICGUARD</v>
      </c>
      <c r="B99" s="3" t="s">
        <v>20842</v>
      </c>
      <c r="C99" s="3" t="s">
        <v>20843</v>
      </c>
      <c r="D99" s="3" t="s">
        <v>20844</v>
      </c>
      <c r="E99" s="3" t="s">
        <v>20845</v>
      </c>
      <c r="F99" s="3" t="s">
        <v>20846</v>
      </c>
      <c r="G99" s="3" t="s">
        <v>20847</v>
      </c>
      <c r="H99" s="3" t="s">
        <v>20848</v>
      </c>
      <c r="I99" s="3" t="s">
        <v>20849</v>
      </c>
      <c r="J99" s="5" t="str">
        <f>I99</f>
        <v>魔法防守</v>
      </c>
    </row>
    <row r="100">
      <c r="A100" s="5" t="str">
        <f t="shared" si="1"/>
        <v>NAME_ABILITY_NOGUARD</v>
      </c>
      <c r="B100" s="3" t="s">
        <v>20850</v>
      </c>
      <c r="C100" s="3" t="s">
        <v>20851</v>
      </c>
      <c r="D100" s="3" t="s">
        <v>20852</v>
      </c>
      <c r="E100" s="3" t="s">
        <v>20853</v>
      </c>
      <c r="F100" s="3" t="s">
        <v>20854</v>
      </c>
      <c r="G100" s="3" t="s">
        <v>20855</v>
      </c>
      <c r="H100" s="3" t="s">
        <v>20856</v>
      </c>
      <c r="I100" s="3" t="s">
        <v>20857</v>
      </c>
      <c r="J100" s="5" t="str">
        <f>IFERROR(__xludf.DUMMYFUNCTION("GOOGLETRANSLATE(I100,""zh_HANT"",""zh_HANS"")"),"无防守")</f>
        <v>无防守</v>
      </c>
    </row>
    <row r="101">
      <c r="A101" s="5" t="str">
        <f t="shared" si="1"/>
        <v>NAME_ABILITY_STALL</v>
      </c>
      <c r="B101" s="3" t="s">
        <v>20858</v>
      </c>
      <c r="C101" s="3" t="s">
        <v>20859</v>
      </c>
      <c r="D101" s="3" t="s">
        <v>20860</v>
      </c>
      <c r="E101" s="3" t="s">
        <v>20861</v>
      </c>
      <c r="F101" s="3" t="s">
        <v>20862</v>
      </c>
      <c r="G101" s="3" t="s">
        <v>20863</v>
      </c>
      <c r="H101" s="3" t="s">
        <v>20864</v>
      </c>
      <c r="I101" s="3" t="s">
        <v>20865</v>
      </c>
      <c r="J101" s="5" t="str">
        <f>I101</f>
        <v>慢出</v>
      </c>
    </row>
    <row r="102">
      <c r="A102" s="5" t="str">
        <f t="shared" si="1"/>
        <v>NAME_ABILITY_TECHNICIAN</v>
      </c>
      <c r="B102" s="3" t="s">
        <v>20866</v>
      </c>
      <c r="C102" s="3" t="s">
        <v>20867</v>
      </c>
      <c r="D102" s="3" t="s">
        <v>20868</v>
      </c>
      <c r="E102" s="3" t="s">
        <v>20869</v>
      </c>
      <c r="F102" s="3" t="s">
        <v>20870</v>
      </c>
      <c r="G102" s="3" t="s">
        <v>20871</v>
      </c>
      <c r="H102" s="3" t="s">
        <v>20872</v>
      </c>
      <c r="I102" s="3" t="s">
        <v>20873</v>
      </c>
      <c r="J102" s="5" t="str">
        <f>IFERROR(__xludf.DUMMYFUNCTION("GOOGLETRANSLATE(I102,""zh_HANT"",""zh_HANS"")"),"技术高手")</f>
        <v>技术高手</v>
      </c>
    </row>
    <row r="103">
      <c r="A103" s="5" t="str">
        <f t="shared" si="1"/>
        <v>NAME_ABILITY_LEAFGUARD</v>
      </c>
      <c r="B103" s="3" t="s">
        <v>20874</v>
      </c>
      <c r="C103" s="3" t="s">
        <v>20875</v>
      </c>
      <c r="D103" s="3" t="s">
        <v>20876</v>
      </c>
      <c r="E103" s="3" t="s">
        <v>20877</v>
      </c>
      <c r="F103" s="3" t="s">
        <v>20878</v>
      </c>
      <c r="G103" s="3" t="s">
        <v>20879</v>
      </c>
      <c r="H103" s="3" t="s">
        <v>20880</v>
      </c>
      <c r="I103" s="3" t="s">
        <v>20881</v>
      </c>
      <c r="J103" s="5" t="str">
        <f>IFERROR(__xludf.DUMMYFUNCTION("GOOGLETRANSLATE(I103,""zh_HANT"",""zh_HANS"")"),"叶子防守")</f>
        <v>叶子防守</v>
      </c>
    </row>
    <row r="104">
      <c r="A104" s="5" t="str">
        <f t="shared" si="1"/>
        <v>NAME_ABILITY_KLUTZ</v>
      </c>
      <c r="B104" s="3" t="s">
        <v>20882</v>
      </c>
      <c r="C104" s="3" t="s">
        <v>20883</v>
      </c>
      <c r="D104" s="3" t="s">
        <v>20884</v>
      </c>
      <c r="E104" s="3" t="s">
        <v>20885</v>
      </c>
      <c r="F104" s="3" t="s">
        <v>20886</v>
      </c>
      <c r="G104" s="3" t="s">
        <v>20887</v>
      </c>
      <c r="H104" s="3" t="s">
        <v>20888</v>
      </c>
      <c r="I104" s="3" t="s">
        <v>20889</v>
      </c>
      <c r="J104" s="5" t="str">
        <f t="shared" ref="J104:J105" si="13">I104</f>
        <v>笨拙</v>
      </c>
    </row>
    <row r="105">
      <c r="A105" s="5" t="str">
        <f t="shared" si="1"/>
        <v>NAME_ABILITY_MOLDBREAKER</v>
      </c>
      <c r="B105" s="3" t="s">
        <v>20890</v>
      </c>
      <c r="C105" s="3" t="s">
        <v>20891</v>
      </c>
      <c r="D105" s="3" t="s">
        <v>20892</v>
      </c>
      <c r="E105" s="3" t="s">
        <v>20893</v>
      </c>
      <c r="F105" s="3" t="s">
        <v>20894</v>
      </c>
      <c r="G105" s="3" t="s">
        <v>20895</v>
      </c>
      <c r="H105" s="3" t="s">
        <v>20896</v>
      </c>
      <c r="I105" s="3" t="s">
        <v>20897</v>
      </c>
      <c r="J105" s="5" t="str">
        <f t="shared" si="13"/>
        <v>破格</v>
      </c>
    </row>
    <row r="106">
      <c r="A106" s="5" t="str">
        <f t="shared" si="1"/>
        <v>NAME_ABILITY_SUPERLUCK</v>
      </c>
      <c r="B106" s="3" t="s">
        <v>20898</v>
      </c>
      <c r="C106" s="3" t="s">
        <v>20899</v>
      </c>
      <c r="D106" s="3" t="s">
        <v>20900</v>
      </c>
      <c r="E106" s="3" t="s">
        <v>20901</v>
      </c>
      <c r="F106" s="3" t="s">
        <v>20902</v>
      </c>
      <c r="G106" s="3" t="s">
        <v>20903</v>
      </c>
      <c r="H106" s="3" t="s">
        <v>20904</v>
      </c>
      <c r="I106" s="3" t="s">
        <v>20905</v>
      </c>
      <c r="J106" s="5" t="str">
        <f>IFERROR(__xludf.DUMMYFUNCTION("GOOGLETRANSLATE(I106,""zh_HANT"",""zh_HANS"")"),"超幸运")</f>
        <v>超幸运</v>
      </c>
    </row>
    <row r="107">
      <c r="A107" s="5" t="str">
        <f t="shared" si="1"/>
        <v>NAME_ABILITY_AFTERMATH</v>
      </c>
      <c r="B107" s="3" t="s">
        <v>20906</v>
      </c>
      <c r="C107" s="3" t="s">
        <v>20907</v>
      </c>
      <c r="D107" s="3" t="s">
        <v>20908</v>
      </c>
      <c r="E107" s="3" t="s">
        <v>20909</v>
      </c>
      <c r="F107" s="3" t="s">
        <v>20910</v>
      </c>
      <c r="G107" s="3" t="s">
        <v>20911</v>
      </c>
      <c r="H107" s="3" t="s">
        <v>20912</v>
      </c>
      <c r="I107" s="3" t="s">
        <v>20913</v>
      </c>
      <c r="J107" s="5" t="str">
        <f>I107</f>
        <v>引爆</v>
      </c>
    </row>
    <row r="108">
      <c r="A108" s="5" t="str">
        <f t="shared" si="1"/>
        <v>NAME_ABILITY_ANTICIPATION</v>
      </c>
      <c r="B108" s="3" t="s">
        <v>20914</v>
      </c>
      <c r="C108" s="3" t="s">
        <v>20915</v>
      </c>
      <c r="D108" s="3" t="s">
        <v>20914</v>
      </c>
      <c r="E108" s="3" t="s">
        <v>20916</v>
      </c>
      <c r="F108" s="3" t="s">
        <v>20917</v>
      </c>
      <c r="G108" s="3" t="s">
        <v>20918</v>
      </c>
      <c r="H108" s="3" t="s">
        <v>20919</v>
      </c>
      <c r="I108" s="3" t="s">
        <v>20920</v>
      </c>
      <c r="J108" s="5" t="str">
        <f>IFERROR(__xludf.DUMMYFUNCTION("GOOGLETRANSLATE(I108,""zh_HANT"",""zh_HANS"")"),"危险预知")</f>
        <v>危险预知</v>
      </c>
    </row>
    <row r="109">
      <c r="A109" s="5" t="str">
        <f t="shared" si="1"/>
        <v>NAME_ABILITY_FOREWARN</v>
      </c>
      <c r="B109" s="3" t="s">
        <v>20921</v>
      </c>
      <c r="C109" s="3" t="s">
        <v>20922</v>
      </c>
      <c r="D109" s="3" t="s">
        <v>20923</v>
      </c>
      <c r="E109" s="3" t="s">
        <v>20924</v>
      </c>
      <c r="F109" s="3" t="s">
        <v>10053</v>
      </c>
      <c r="G109" s="3" t="s">
        <v>20925</v>
      </c>
      <c r="H109" s="3" t="s">
        <v>20926</v>
      </c>
      <c r="I109" s="3" t="s">
        <v>20927</v>
      </c>
      <c r="J109" s="5" t="str">
        <f>IFERROR(__xludf.DUMMYFUNCTION("GOOGLETRANSLATE(I109,""zh_HANT"",""zh_HANS"")"),"预知梦")</f>
        <v>预知梦</v>
      </c>
    </row>
    <row r="110">
      <c r="A110" s="5" t="str">
        <f t="shared" si="1"/>
        <v>NAME_ABILITY_UNAWARE</v>
      </c>
      <c r="B110" s="3" t="s">
        <v>20928</v>
      </c>
      <c r="C110" s="3" t="s">
        <v>20929</v>
      </c>
      <c r="D110" s="3" t="s">
        <v>20930</v>
      </c>
      <c r="E110" s="3" t="s">
        <v>20931</v>
      </c>
      <c r="F110" s="3" t="s">
        <v>20932</v>
      </c>
      <c r="G110" s="3" t="s">
        <v>20933</v>
      </c>
      <c r="H110" s="3" t="s">
        <v>20934</v>
      </c>
      <c r="I110" s="3" t="s">
        <v>20935</v>
      </c>
      <c r="J110" s="5" t="str">
        <f>IFERROR(__xludf.DUMMYFUNCTION("GOOGLETRANSLATE(I110,""zh_HANT"",""zh_HANS"")"),"纯朴")</f>
        <v>纯朴</v>
      </c>
    </row>
    <row r="111">
      <c r="A111" s="5" t="str">
        <f t="shared" si="1"/>
        <v>NAME_ABILITY_TINTLENS</v>
      </c>
      <c r="B111" s="3" t="s">
        <v>20936</v>
      </c>
      <c r="C111" s="3" t="s">
        <v>20937</v>
      </c>
      <c r="D111" s="3" t="s">
        <v>20938</v>
      </c>
      <c r="E111" s="3" t="s">
        <v>20909</v>
      </c>
      <c r="F111" s="3" t="s">
        <v>20939</v>
      </c>
      <c r="G111" s="3" t="s">
        <v>20911</v>
      </c>
      <c r="H111" s="3" t="s">
        <v>20940</v>
      </c>
      <c r="I111" s="3" t="s">
        <v>20941</v>
      </c>
      <c r="J111" s="5" t="str">
        <f>IFERROR(__xludf.DUMMYFUNCTION("GOOGLETRANSLATE(I111,""zh_HANT"",""zh_HANS"")"),"有色眼镜")</f>
        <v>有色眼镜</v>
      </c>
    </row>
    <row r="112">
      <c r="A112" s="5" t="str">
        <f t="shared" si="1"/>
        <v>NAME_ABILITY_FILTER</v>
      </c>
      <c r="B112" s="3" t="s">
        <v>20942</v>
      </c>
      <c r="C112" s="3" t="s">
        <v>20943</v>
      </c>
      <c r="D112" s="3" t="s">
        <v>20944</v>
      </c>
      <c r="E112" s="5" t="str">
        <f>B112</f>
        <v>Filter</v>
      </c>
      <c r="F112" s="3" t="s">
        <v>20945</v>
      </c>
      <c r="G112" s="5" t="str">
        <f>F112</f>
        <v>Filtro</v>
      </c>
      <c r="H112" s="3" t="s">
        <v>20946</v>
      </c>
      <c r="I112" s="3" t="s">
        <v>20947</v>
      </c>
      <c r="J112" s="5" t="str">
        <f>IFERROR(__xludf.DUMMYFUNCTION("GOOGLETRANSLATE(I112,""zh_HANT"",""zh_HANS"")"),"过滤")</f>
        <v>过滤</v>
      </c>
    </row>
    <row r="113">
      <c r="A113" s="5" t="str">
        <f t="shared" si="1"/>
        <v>NAME_ABILITY_SLOWSTART</v>
      </c>
      <c r="B113" s="3" t="s">
        <v>20948</v>
      </c>
      <c r="C113" s="3" t="s">
        <v>20949</v>
      </c>
      <c r="D113" s="3" t="s">
        <v>20950</v>
      </c>
      <c r="E113" s="3" t="s">
        <v>20951</v>
      </c>
      <c r="F113" s="3" t="s">
        <v>20952</v>
      </c>
      <c r="G113" s="3" t="s">
        <v>20953</v>
      </c>
      <c r="H113" s="3" t="s">
        <v>20954</v>
      </c>
      <c r="I113" s="3" t="s">
        <v>20955</v>
      </c>
      <c r="J113" s="5" t="str">
        <f>IFERROR(__xludf.DUMMYFUNCTION("GOOGLETRANSLATE(I113,""zh_HANT"",""zh_HANS"")"),"慢启动")</f>
        <v>慢启动</v>
      </c>
    </row>
    <row r="114">
      <c r="A114" s="5" t="str">
        <f t="shared" si="1"/>
        <v>NAME_ABILITY_SCRAPPY</v>
      </c>
      <c r="B114" s="3" t="s">
        <v>20956</v>
      </c>
      <c r="C114" s="3" t="s">
        <v>20957</v>
      </c>
      <c r="D114" s="3" t="s">
        <v>20958</v>
      </c>
      <c r="E114" s="3" t="s">
        <v>20959</v>
      </c>
      <c r="F114" s="3" t="s">
        <v>20960</v>
      </c>
      <c r="G114" s="3" t="s">
        <v>20961</v>
      </c>
      <c r="H114" s="3" t="s">
        <v>20962</v>
      </c>
      <c r="I114" s="3" t="s">
        <v>20963</v>
      </c>
      <c r="J114" s="5" t="str">
        <f>IFERROR(__xludf.DUMMYFUNCTION("GOOGLETRANSLATE(I114,""zh_HANT"",""zh_HANS"")"),"胆量")</f>
        <v>胆量</v>
      </c>
    </row>
    <row r="115">
      <c r="A115" s="5" t="str">
        <f t="shared" si="1"/>
        <v>NAME_ABILITY_STORMDRAIN</v>
      </c>
      <c r="B115" s="3" t="s">
        <v>20964</v>
      </c>
      <c r="C115" s="3" t="s">
        <v>20965</v>
      </c>
      <c r="D115" s="3" t="s">
        <v>20966</v>
      </c>
      <c r="E115" s="3" t="s">
        <v>20967</v>
      </c>
      <c r="F115" s="3" t="s">
        <v>20968</v>
      </c>
      <c r="G115" s="3" t="s">
        <v>20969</v>
      </c>
      <c r="H115" s="3" t="s">
        <v>20970</v>
      </c>
      <c r="I115" s="3" t="s">
        <v>20971</v>
      </c>
      <c r="J115" s="5" t="str">
        <f>I115</f>
        <v>引水</v>
      </c>
    </row>
    <row r="116">
      <c r="A116" s="5" t="str">
        <f t="shared" si="1"/>
        <v>NAME_ABILITY_ICEBODY</v>
      </c>
      <c r="B116" s="3" t="s">
        <v>20972</v>
      </c>
      <c r="C116" s="3" t="s">
        <v>20973</v>
      </c>
      <c r="D116" s="3" t="s">
        <v>20974</v>
      </c>
      <c r="E116" s="3" t="s">
        <v>20975</v>
      </c>
      <c r="F116" s="3" t="s">
        <v>20976</v>
      </c>
      <c r="G116" s="3" t="s">
        <v>20977</v>
      </c>
      <c r="H116" s="3" t="s">
        <v>20978</v>
      </c>
      <c r="I116" s="3" t="s">
        <v>20979</v>
      </c>
      <c r="J116" s="5" t="str">
        <f>IFERROR(__xludf.DUMMYFUNCTION("GOOGLETRANSLATE(I116,""zh_HANT"",""zh_HANS"")"),"冰冻之躯")</f>
        <v>冰冻之躯</v>
      </c>
    </row>
    <row r="117">
      <c r="A117" s="5" t="str">
        <f t="shared" si="1"/>
        <v>NAME_ABILITY_SOLIDROCK</v>
      </c>
      <c r="B117" s="3" t="s">
        <v>20980</v>
      </c>
      <c r="C117" s="3" t="s">
        <v>20981</v>
      </c>
      <c r="D117" s="3" t="s">
        <v>20982</v>
      </c>
      <c r="E117" s="3" t="s">
        <v>20983</v>
      </c>
      <c r="F117" s="3" t="s">
        <v>20984</v>
      </c>
      <c r="G117" s="3" t="s">
        <v>20985</v>
      </c>
      <c r="H117" s="3" t="s">
        <v>20986</v>
      </c>
      <c r="I117" s="3" t="s">
        <v>20987</v>
      </c>
      <c r="J117" s="5" t="str">
        <f>IFERROR(__xludf.DUMMYFUNCTION("GOOGLETRANSLATE(I117,""zh_HANT"",""zh_HANS"")"),"坚硬岩石")</f>
        <v>坚硬岩石</v>
      </c>
    </row>
    <row r="118">
      <c r="A118" s="5" t="str">
        <f t="shared" si="1"/>
        <v>NAME_ABILITY_SNOWWARNING</v>
      </c>
      <c r="B118" s="3" t="s">
        <v>20988</v>
      </c>
      <c r="C118" s="3" t="s">
        <v>20989</v>
      </c>
      <c r="D118" s="3" t="s">
        <v>20990</v>
      </c>
      <c r="E118" s="3" t="s">
        <v>20991</v>
      </c>
      <c r="F118" s="3" t="s">
        <v>20992</v>
      </c>
      <c r="G118" s="3" t="s">
        <v>20993</v>
      </c>
      <c r="H118" s="3" t="s">
        <v>20994</v>
      </c>
      <c r="I118" s="3" t="s">
        <v>20995</v>
      </c>
      <c r="J118" s="5" t="str">
        <f>I118</f>
        <v>降雪</v>
      </c>
    </row>
    <row r="119">
      <c r="A119" s="5" t="str">
        <f t="shared" si="1"/>
        <v>NAME_ABILITY_HONEYGATHER</v>
      </c>
      <c r="B119" s="3" t="s">
        <v>20996</v>
      </c>
      <c r="C119" s="3" t="s">
        <v>20997</v>
      </c>
      <c r="D119" s="3" t="s">
        <v>20998</v>
      </c>
      <c r="E119" s="3" t="s">
        <v>20999</v>
      </c>
      <c r="F119" s="3" t="s">
        <v>21000</v>
      </c>
      <c r="G119" s="3" t="s">
        <v>21001</v>
      </c>
      <c r="H119" s="3" t="s">
        <v>21002</v>
      </c>
      <c r="I119" s="3" t="s">
        <v>21003</v>
      </c>
      <c r="J119" s="5" t="str">
        <f>IFERROR(__xludf.DUMMYFUNCTION("GOOGLETRANSLATE(I119,""zh_HANT"",""zh_HANS"")"),"采蜜")</f>
        <v>采蜜</v>
      </c>
    </row>
    <row r="120">
      <c r="A120" s="5" t="str">
        <f t="shared" si="1"/>
        <v>NAME_ABILITY_FRISK</v>
      </c>
      <c r="B120" s="3" t="s">
        <v>21004</v>
      </c>
      <c r="C120" s="3" t="s">
        <v>21005</v>
      </c>
      <c r="D120" s="3" t="s">
        <v>21006</v>
      </c>
      <c r="E120" s="3" t="s">
        <v>15237</v>
      </c>
      <c r="F120" s="3" t="s">
        <v>21007</v>
      </c>
      <c r="G120" s="3" t="s">
        <v>21008</v>
      </c>
      <c r="H120" s="3" t="s">
        <v>21009</v>
      </c>
      <c r="I120" s="3" t="s">
        <v>21010</v>
      </c>
      <c r="J120" s="5" t="str">
        <f>IFERROR(__xludf.DUMMYFUNCTION("GOOGLETRANSLATE(I120,""zh_HANT"",""zh_HANS"")"),"察觉")</f>
        <v>察觉</v>
      </c>
    </row>
    <row r="121">
      <c r="A121" s="5" t="str">
        <f t="shared" si="1"/>
        <v>NAME_ABILITY_RECKLESS</v>
      </c>
      <c r="B121" s="3" t="s">
        <v>21011</v>
      </c>
      <c r="C121" s="3" t="s">
        <v>21012</v>
      </c>
      <c r="D121" s="3" t="s">
        <v>21013</v>
      </c>
      <c r="E121" s="3" t="s">
        <v>21014</v>
      </c>
      <c r="F121" s="3" t="s">
        <v>21015</v>
      </c>
      <c r="G121" s="3" t="s">
        <v>21016</v>
      </c>
      <c r="H121" s="3" t="s">
        <v>21017</v>
      </c>
      <c r="I121" s="3" t="s">
        <v>21018</v>
      </c>
      <c r="J121" s="5" t="str">
        <f>IFERROR(__xludf.DUMMYFUNCTION("GOOGLETRANSLATE(I121,""zh_HANT"",""zh_HANS"")"),"舍身")</f>
        <v>舍身</v>
      </c>
    </row>
    <row r="122">
      <c r="A122" s="5" t="str">
        <f t="shared" si="1"/>
        <v>NAME_ABILITY_MULTITYPE</v>
      </c>
      <c r="B122" s="3" t="s">
        <v>21019</v>
      </c>
      <c r="C122" s="3" t="s">
        <v>21020</v>
      </c>
      <c r="D122" s="3" t="s">
        <v>21019</v>
      </c>
      <c r="E122" s="3" t="s">
        <v>21021</v>
      </c>
      <c r="F122" s="3" t="s">
        <v>21022</v>
      </c>
      <c r="G122" s="5" t="str">
        <f>F122</f>
        <v>Multitipo</v>
      </c>
      <c r="H122" s="3" t="s">
        <v>21023</v>
      </c>
      <c r="I122" s="3" t="s">
        <v>21024</v>
      </c>
      <c r="J122" s="5" t="str">
        <f>IFERROR(__xludf.DUMMYFUNCTION("GOOGLETRANSLATE(I122,""zh_HANT"",""zh_HANS"")"),"多属性")</f>
        <v>多属性</v>
      </c>
    </row>
    <row r="123">
      <c r="A123" s="5" t="str">
        <f t="shared" si="1"/>
        <v>NAME_ABILITY_FLOWERGIFT</v>
      </c>
      <c r="B123" s="3" t="s">
        <v>21025</v>
      </c>
      <c r="C123" s="3" t="s">
        <v>21026</v>
      </c>
      <c r="D123" s="3" t="s">
        <v>21027</v>
      </c>
      <c r="E123" s="3" t="s">
        <v>21028</v>
      </c>
      <c r="F123" s="3" t="s">
        <v>21027</v>
      </c>
      <c r="G123" s="3" t="s">
        <v>21029</v>
      </c>
      <c r="H123" s="3" t="s">
        <v>21030</v>
      </c>
      <c r="I123" s="3" t="s">
        <v>21031</v>
      </c>
      <c r="J123" s="5" t="str">
        <f>IFERROR(__xludf.DUMMYFUNCTION("GOOGLETRANSLATE(I123,""zh_HANT"",""zh_HANS"")"),"花之礼")</f>
        <v>花之礼</v>
      </c>
    </row>
    <row r="124">
      <c r="A124" s="5" t="str">
        <f t="shared" si="1"/>
        <v>NAME_ABILITY_BADDREAMS</v>
      </c>
      <c r="B124" s="3" t="s">
        <v>21032</v>
      </c>
      <c r="C124" s="3" t="s">
        <v>21033</v>
      </c>
      <c r="D124" s="3" t="s">
        <v>21034</v>
      </c>
      <c r="E124" s="3" t="s">
        <v>21035</v>
      </c>
      <c r="F124" s="3" t="s">
        <v>21036</v>
      </c>
      <c r="G124" s="3" t="s">
        <v>21037</v>
      </c>
      <c r="H124" s="3" t="s">
        <v>21038</v>
      </c>
      <c r="I124" s="3" t="s">
        <v>21039</v>
      </c>
      <c r="J124" s="5" t="str">
        <f>IFERROR(__xludf.DUMMYFUNCTION("GOOGLETRANSLATE(I124,""zh_HANT"",""zh_HANS"")"),"梦魇")</f>
        <v>梦魇</v>
      </c>
    </row>
    <row r="125">
      <c r="A125" s="5" t="str">
        <f t="shared" si="1"/>
        <v>NAME_ABILITY_PICKPOCKET</v>
      </c>
      <c r="B125" s="3" t="s">
        <v>21040</v>
      </c>
      <c r="C125" s="3" t="s">
        <v>21041</v>
      </c>
      <c r="D125" s="3" t="s">
        <v>21040</v>
      </c>
      <c r="E125" s="3" t="s">
        <v>21042</v>
      </c>
      <c r="F125" s="3" t="s">
        <v>21043</v>
      </c>
      <c r="G125" s="3" t="s">
        <v>21044</v>
      </c>
      <c r="H125" s="3" t="s">
        <v>21045</v>
      </c>
      <c r="I125" s="3" t="s">
        <v>21046</v>
      </c>
      <c r="J125" s="5" t="str">
        <f>IFERROR(__xludf.DUMMYFUNCTION("GOOGLETRANSLATE(I125,""zh_HANT"",""zh_HANS"")"),"顺手牵羊")</f>
        <v>顺手牵羊</v>
      </c>
    </row>
    <row r="126">
      <c r="A126" s="5" t="str">
        <f t="shared" si="1"/>
        <v>NAME_ABILITY_SHEERFORCE</v>
      </c>
      <c r="B126" s="3" t="s">
        <v>21047</v>
      </c>
      <c r="C126" s="3" t="s">
        <v>21048</v>
      </c>
      <c r="D126" s="3" t="s">
        <v>21049</v>
      </c>
      <c r="E126" s="3" t="s">
        <v>21050</v>
      </c>
      <c r="F126" s="3" t="s">
        <v>21051</v>
      </c>
      <c r="G126" s="3" t="s">
        <v>21052</v>
      </c>
      <c r="H126" s="3" t="s">
        <v>21053</v>
      </c>
      <c r="I126" s="3" t="s">
        <v>21054</v>
      </c>
      <c r="J126" s="5" t="str">
        <f>IFERROR(__xludf.DUMMYFUNCTION("GOOGLETRANSLATE(I126,""zh_HANT"",""zh_HANS"")"),"强行")</f>
        <v>强行</v>
      </c>
    </row>
    <row r="127">
      <c r="A127" s="5" t="str">
        <f t="shared" si="1"/>
        <v>NAME_ABILITY_CONTRARY</v>
      </c>
      <c r="B127" s="3" t="s">
        <v>21055</v>
      </c>
      <c r="C127" s="3" t="s">
        <v>21056</v>
      </c>
      <c r="D127" s="3" t="s">
        <v>21057</v>
      </c>
      <c r="E127" s="3" t="s">
        <v>21058</v>
      </c>
      <c r="F127" s="3" t="s">
        <v>21059</v>
      </c>
      <c r="G127" s="3" t="s">
        <v>21059</v>
      </c>
      <c r="H127" s="3" t="s">
        <v>21060</v>
      </c>
      <c r="I127" s="3" t="s">
        <v>21061</v>
      </c>
      <c r="J127" s="5" t="str">
        <f>IFERROR(__xludf.DUMMYFUNCTION("GOOGLETRANSLATE(I127,""zh_HANT"",""zh_HANS"")"),"唱反调")</f>
        <v>唱反调</v>
      </c>
    </row>
    <row r="128">
      <c r="A128" s="5" t="str">
        <f t="shared" si="1"/>
        <v>NAME_ABILITY_UNNERVE</v>
      </c>
      <c r="B128" s="3" t="s">
        <v>21062</v>
      </c>
      <c r="C128" s="3" t="s">
        <v>21063</v>
      </c>
      <c r="D128" s="3" t="s">
        <v>21064</v>
      </c>
      <c r="E128" s="3" t="s">
        <v>21065</v>
      </c>
      <c r="F128" s="3" t="s">
        <v>21066</v>
      </c>
      <c r="G128" s="3" t="s">
        <v>21067</v>
      </c>
      <c r="H128" s="3" t="s">
        <v>21068</v>
      </c>
      <c r="I128" s="3" t="s">
        <v>21069</v>
      </c>
      <c r="J128" s="5" t="str">
        <f>IFERROR(__xludf.DUMMYFUNCTION("GOOGLETRANSLATE(I128,""zh_HANT"",""zh_HANS"")"),"紧张感")</f>
        <v>紧张感</v>
      </c>
    </row>
    <row r="129">
      <c r="A129" s="5" t="str">
        <f t="shared" si="1"/>
        <v>NAME_ABILITY_DEFIANT</v>
      </c>
      <c r="B129" s="3" t="s">
        <v>21070</v>
      </c>
      <c r="C129" s="3" t="s">
        <v>21071</v>
      </c>
      <c r="D129" s="3" t="s">
        <v>21072</v>
      </c>
      <c r="E129" s="3" t="s">
        <v>21073</v>
      </c>
      <c r="F129" s="3" t="s">
        <v>21074</v>
      </c>
      <c r="G129" s="3" t="s">
        <v>21075</v>
      </c>
      <c r="H129" s="3" t="s">
        <v>21076</v>
      </c>
      <c r="I129" s="3" t="s">
        <v>21077</v>
      </c>
      <c r="J129" s="5" t="str">
        <f>IFERROR(__xludf.DUMMYFUNCTION("GOOGLETRANSLATE(I129,""zh_HANT"",""zh_HANS"")"),"不服输")</f>
        <v>不服输</v>
      </c>
    </row>
    <row r="130">
      <c r="A130" s="5" t="str">
        <f t="shared" si="1"/>
        <v>NAME_ABILITY_DEFEATIST</v>
      </c>
      <c r="B130" s="3" t="s">
        <v>21078</v>
      </c>
      <c r="C130" s="3" t="s">
        <v>21079</v>
      </c>
      <c r="D130" s="3" t="s">
        <v>21080</v>
      </c>
      <c r="E130" s="3" t="s">
        <v>21081</v>
      </c>
      <c r="F130" s="3" t="s">
        <v>21082</v>
      </c>
      <c r="G130" s="3" t="s">
        <v>21083</v>
      </c>
      <c r="H130" s="3" t="s">
        <v>21084</v>
      </c>
      <c r="I130" s="3" t="s">
        <v>21085</v>
      </c>
      <c r="J130" s="5" t="str">
        <f>IFERROR(__xludf.DUMMYFUNCTION("GOOGLETRANSLATE(I130,""zh_HANT"",""zh_HANS"")"),"软弱")</f>
        <v>软弱</v>
      </c>
    </row>
    <row r="131">
      <c r="A131" s="5" t="str">
        <f t="shared" si="1"/>
        <v>NAME_ABILITY_CURSEDBODY</v>
      </c>
      <c r="B131" s="3" t="s">
        <v>21086</v>
      </c>
      <c r="C131" s="3" t="s">
        <v>21087</v>
      </c>
      <c r="D131" s="3" t="s">
        <v>21088</v>
      </c>
      <c r="E131" s="3" t="s">
        <v>21089</v>
      </c>
      <c r="F131" s="3" t="s">
        <v>21090</v>
      </c>
      <c r="G131" s="3" t="s">
        <v>21091</v>
      </c>
      <c r="H131" s="3" t="s">
        <v>21092</v>
      </c>
      <c r="I131" s="3" t="s">
        <v>21093</v>
      </c>
      <c r="J131" s="5" t="str">
        <f>IFERROR(__xludf.DUMMYFUNCTION("GOOGLETRANSLATE(I131,""zh_HANT"",""zh_HANS"")"),"诅咒之躯")</f>
        <v>诅咒之躯</v>
      </c>
    </row>
    <row r="132">
      <c r="A132" s="5" t="str">
        <f t="shared" si="1"/>
        <v>NAME_ABILITY_HEALER</v>
      </c>
      <c r="B132" s="3" t="s">
        <v>21094</v>
      </c>
      <c r="C132" s="3" t="s">
        <v>21095</v>
      </c>
      <c r="D132" s="3" t="s">
        <v>21096</v>
      </c>
      <c r="E132" s="3" t="s">
        <v>21097</v>
      </c>
      <c r="F132" s="3" t="s">
        <v>21098</v>
      </c>
      <c r="G132" s="3" t="s">
        <v>21099</v>
      </c>
      <c r="H132" s="3" t="s">
        <v>21100</v>
      </c>
      <c r="I132" s="3" t="s">
        <v>21101</v>
      </c>
      <c r="J132" s="5" t="str">
        <f>IFERROR(__xludf.DUMMYFUNCTION("GOOGLETRANSLATE(I132,""zh_HANT"",""zh_HANS"")"),"治愈之心")</f>
        <v>治愈之心</v>
      </c>
    </row>
    <row r="133">
      <c r="A133" s="5" t="str">
        <f t="shared" si="1"/>
        <v>NAME_ABILITY_FRIENDGUARD</v>
      </c>
      <c r="B133" s="3" t="s">
        <v>21102</v>
      </c>
      <c r="C133" s="3" t="s">
        <v>21103</v>
      </c>
      <c r="D133" s="3" t="s">
        <v>21104</v>
      </c>
      <c r="E133" s="3" t="s">
        <v>21105</v>
      </c>
      <c r="F133" s="3" t="s">
        <v>21106</v>
      </c>
      <c r="G133" s="3" t="s">
        <v>21107</v>
      </c>
      <c r="H133" s="3" t="s">
        <v>21108</v>
      </c>
      <c r="I133" s="3" t="s">
        <v>21109</v>
      </c>
      <c r="J133" s="5" t="str">
        <f>I133</f>
        <v>友情防守</v>
      </c>
    </row>
    <row r="134">
      <c r="A134" s="5" t="str">
        <f t="shared" si="1"/>
        <v>NAME_ABILITY_WEAKARMOR</v>
      </c>
      <c r="B134" s="3" t="s">
        <v>21110</v>
      </c>
      <c r="C134" s="3" t="s">
        <v>21111</v>
      </c>
      <c r="D134" s="3" t="s">
        <v>21112</v>
      </c>
      <c r="E134" s="3" t="s">
        <v>21113</v>
      </c>
      <c r="F134" s="3" t="s">
        <v>21114</v>
      </c>
      <c r="G134" s="3" t="s">
        <v>21115</v>
      </c>
      <c r="H134" s="3" t="s">
        <v>21116</v>
      </c>
      <c r="I134" s="3" t="s">
        <v>21117</v>
      </c>
      <c r="J134" s="5" t="str">
        <f>IFERROR(__xludf.DUMMYFUNCTION("GOOGLETRANSLATE(I134,""zh_HANT"",""zh_HANS"")"),"碎裂铠甲")</f>
        <v>碎裂铠甲</v>
      </c>
    </row>
    <row r="135">
      <c r="A135" s="5" t="str">
        <f t="shared" si="1"/>
        <v>NAME_ABILITY_HEAVYMETAL</v>
      </c>
      <c r="B135" s="3" t="s">
        <v>21118</v>
      </c>
      <c r="C135" s="3" t="s">
        <v>21119</v>
      </c>
      <c r="D135" s="3" t="s">
        <v>21118</v>
      </c>
      <c r="E135" s="3" t="s">
        <v>21120</v>
      </c>
      <c r="F135" s="3" t="s">
        <v>21121</v>
      </c>
      <c r="G135" s="3" t="s">
        <v>21122</v>
      </c>
      <c r="H135" s="3" t="s">
        <v>21123</v>
      </c>
      <c r="I135" s="3" t="s">
        <v>21124</v>
      </c>
      <c r="J135" s="5" t="str">
        <f>IFERROR(__xludf.DUMMYFUNCTION("GOOGLETRANSLATE(I135,""zh_HANT"",""zh_HANS"")"),"轻金属")</f>
        <v>轻金属</v>
      </c>
    </row>
    <row r="136">
      <c r="A136" s="5" t="str">
        <f t="shared" si="1"/>
        <v>NAME_ABILITY_LIGHTMETAL</v>
      </c>
      <c r="B136" s="3" t="s">
        <v>21125</v>
      </c>
      <c r="C136" s="3" t="s">
        <v>21126</v>
      </c>
      <c r="D136" s="3" t="s">
        <v>21125</v>
      </c>
      <c r="E136" s="3" t="s">
        <v>21127</v>
      </c>
      <c r="F136" s="3" t="s">
        <v>21128</v>
      </c>
      <c r="G136" s="3" t="s">
        <v>21129</v>
      </c>
      <c r="H136" s="3" t="s">
        <v>21130</v>
      </c>
      <c r="I136" s="3" t="s">
        <v>21124</v>
      </c>
      <c r="J136" s="5" t="str">
        <f>IFERROR(__xludf.DUMMYFUNCTION("GOOGLETRANSLATE(I136,""zh_HANT"",""zh_HANS"")"),"轻金属")</f>
        <v>轻金属</v>
      </c>
    </row>
    <row r="137">
      <c r="A137" s="5" t="str">
        <f t="shared" si="1"/>
        <v>NAME_ABILITY_MULTISCALE</v>
      </c>
      <c r="B137" s="3" t="s">
        <v>21131</v>
      </c>
      <c r="C137" s="3" t="s">
        <v>21132</v>
      </c>
      <c r="D137" s="3" t="s">
        <v>21133</v>
      </c>
      <c r="E137" s="3" t="s">
        <v>21134</v>
      </c>
      <c r="F137" s="3" t="s">
        <v>21135</v>
      </c>
      <c r="G137" s="3" t="s">
        <v>21136</v>
      </c>
      <c r="H137" s="3" t="s">
        <v>21137</v>
      </c>
      <c r="I137" s="3" t="s">
        <v>21138</v>
      </c>
      <c r="J137" s="5" t="str">
        <f>IFERROR(__xludf.DUMMYFUNCTION("GOOGLETRANSLATE(I137,""zh_HANT"",""zh_HANS"")"),"多重鳞片")</f>
        <v>多重鳞片</v>
      </c>
    </row>
    <row r="138">
      <c r="A138" s="5" t="str">
        <f t="shared" si="1"/>
        <v>NAME_ABILITY_TOXICBOOST</v>
      </c>
      <c r="B138" s="3" t="s">
        <v>21139</v>
      </c>
      <c r="C138" s="3" t="s">
        <v>21140</v>
      </c>
      <c r="D138" s="3" t="s">
        <v>21141</v>
      </c>
      <c r="E138" s="3" t="s">
        <v>21142</v>
      </c>
      <c r="F138" s="3" t="s">
        <v>21143</v>
      </c>
      <c r="G138" s="3" t="s">
        <v>21144</v>
      </c>
      <c r="H138" s="3" t="s">
        <v>21145</v>
      </c>
      <c r="I138" s="3" t="s">
        <v>21146</v>
      </c>
      <c r="J138" s="5" t="str">
        <f>I138</f>
        <v>中毒激升</v>
      </c>
    </row>
    <row r="139">
      <c r="A139" s="5" t="str">
        <f t="shared" si="1"/>
        <v>NAME_ABILITY_FLAREBOOST</v>
      </c>
      <c r="B139" s="3" t="s">
        <v>21147</v>
      </c>
      <c r="C139" s="3" t="s">
        <v>21148</v>
      </c>
      <c r="D139" s="3" t="s">
        <v>21149</v>
      </c>
      <c r="E139" s="3" t="s">
        <v>21150</v>
      </c>
      <c r="F139" s="3" t="s">
        <v>21151</v>
      </c>
      <c r="G139" s="3" t="s">
        <v>21152</v>
      </c>
      <c r="H139" s="3" t="s">
        <v>21153</v>
      </c>
      <c r="I139" s="3" t="s">
        <v>21154</v>
      </c>
      <c r="J139" s="5" t="str">
        <f>IFERROR(__xludf.DUMMYFUNCTION("GOOGLETRANSLATE(I139,""zh_HANT"",""zh_HANS"")"),"受热激升")</f>
        <v>受热激升</v>
      </c>
    </row>
    <row r="140">
      <c r="A140" s="5" t="str">
        <f t="shared" si="1"/>
        <v>NAME_ABILITY_HARVEST</v>
      </c>
      <c r="B140" s="3" t="s">
        <v>21155</v>
      </c>
      <c r="C140" s="3" t="s">
        <v>21156</v>
      </c>
      <c r="D140" s="3" t="s">
        <v>21157</v>
      </c>
      <c r="E140" s="3" t="s">
        <v>21158</v>
      </c>
      <c r="F140" s="3" t="s">
        <v>21159</v>
      </c>
      <c r="G140" s="3" t="s">
        <v>21160</v>
      </c>
      <c r="H140" s="3" t="s">
        <v>21161</v>
      </c>
      <c r="I140" s="3" t="s">
        <v>21162</v>
      </c>
      <c r="J140" s="5" t="str">
        <f>IFERROR(__xludf.DUMMYFUNCTION("GOOGLETRANSLATE(I140,""zh_HANT"",""zh_HANS"")"),"收获")</f>
        <v>收获</v>
      </c>
    </row>
    <row r="141">
      <c r="A141" s="5" t="str">
        <f t="shared" si="1"/>
        <v>NAME_ABILITY_TELEPATHY</v>
      </c>
      <c r="B141" s="3" t="s">
        <v>21163</v>
      </c>
      <c r="C141" s="3" t="s">
        <v>21164</v>
      </c>
      <c r="D141" s="3" t="s">
        <v>21165</v>
      </c>
      <c r="E141" s="3" t="s">
        <v>21166</v>
      </c>
      <c r="F141" s="3" t="s">
        <v>21167</v>
      </c>
      <c r="G141" s="3" t="s">
        <v>21168</v>
      </c>
      <c r="H141" s="3" t="s">
        <v>21169</v>
      </c>
      <c r="I141" s="3" t="s">
        <v>21170</v>
      </c>
      <c r="J141" s="5" t="str">
        <f>IFERROR(__xludf.DUMMYFUNCTION("GOOGLETRANSLATE(I141,""zh_HANT"",""zh_HANS"")"),"心灵感应")</f>
        <v>心灵感应</v>
      </c>
    </row>
    <row r="142">
      <c r="A142" s="5" t="str">
        <f t="shared" si="1"/>
        <v>NAME_ABILITY_MOODY</v>
      </c>
      <c r="B142" s="3" t="s">
        <v>21171</v>
      </c>
      <c r="C142" s="3" t="s">
        <v>21172</v>
      </c>
      <c r="D142" s="3" t="s">
        <v>21173</v>
      </c>
      <c r="E142" s="3" t="s">
        <v>21174</v>
      </c>
      <c r="F142" s="3" t="s">
        <v>21175</v>
      </c>
      <c r="G142" s="3" t="s">
        <v>21176</v>
      </c>
      <c r="H142" s="3" t="s">
        <v>21177</v>
      </c>
      <c r="I142" s="3" t="s">
        <v>21178</v>
      </c>
      <c r="J142" s="5" t="str">
        <f>I142</f>
        <v>心情不定</v>
      </c>
    </row>
    <row r="143">
      <c r="A143" s="5" t="str">
        <f t="shared" si="1"/>
        <v>NAME_ABILITY_OVERCOAT</v>
      </c>
      <c r="B143" s="3" t="s">
        <v>21179</v>
      </c>
      <c r="C143" s="3" t="s">
        <v>21180</v>
      </c>
      <c r="D143" s="3" t="s">
        <v>21181</v>
      </c>
      <c r="E143" s="3" t="s">
        <v>21182</v>
      </c>
      <c r="F143" s="3" t="s">
        <v>21183</v>
      </c>
      <c r="G143" s="3" t="s">
        <v>21184</v>
      </c>
      <c r="H143" s="3" t="s">
        <v>21185</v>
      </c>
      <c r="I143" s="3" t="s">
        <v>21186</v>
      </c>
      <c r="J143" s="5" t="str">
        <f>IFERROR(__xludf.DUMMYFUNCTION("GOOGLETRANSLATE(I143,""zh_HANT"",""zh_HANS"")"),"防尘")</f>
        <v>防尘</v>
      </c>
    </row>
    <row r="144">
      <c r="A144" s="5" t="str">
        <f t="shared" si="1"/>
        <v>NAME_ABILITY_POISONTOUCH</v>
      </c>
      <c r="B144" s="3" t="s">
        <v>21187</v>
      </c>
      <c r="C144" s="3" t="s">
        <v>21188</v>
      </c>
      <c r="D144" s="3" t="s">
        <v>21189</v>
      </c>
      <c r="E144" s="3" t="s">
        <v>21190</v>
      </c>
      <c r="F144" s="3" t="s">
        <v>21191</v>
      </c>
      <c r="G144" s="3" t="s">
        <v>21192</v>
      </c>
      <c r="H144" s="3" t="s">
        <v>21193</v>
      </c>
      <c r="I144" s="3" t="s">
        <v>21194</v>
      </c>
      <c r="J144" s="5" t="str">
        <f t="shared" ref="J144:J145" si="14">I144</f>
        <v>毒手</v>
      </c>
    </row>
    <row r="145">
      <c r="A145" s="5" t="str">
        <f t="shared" si="1"/>
        <v>NAME_ABILITY_REGENERATOR</v>
      </c>
      <c r="B145" s="3" t="s">
        <v>21195</v>
      </c>
      <c r="C145" s="3" t="s">
        <v>21196</v>
      </c>
      <c r="D145" s="3" t="s">
        <v>21197</v>
      </c>
      <c r="E145" s="3" t="s">
        <v>21198</v>
      </c>
      <c r="F145" s="3" t="s">
        <v>21199</v>
      </c>
      <c r="G145" s="3" t="s">
        <v>21200</v>
      </c>
      <c r="H145" s="3" t="s">
        <v>21201</v>
      </c>
      <c r="I145" s="3" t="s">
        <v>21202</v>
      </c>
      <c r="J145" s="5" t="str">
        <f t="shared" si="14"/>
        <v>再生力</v>
      </c>
    </row>
    <row r="146">
      <c r="A146" s="5" t="str">
        <f t="shared" si="1"/>
        <v>NAME_ABILITY_BIGPECKS</v>
      </c>
      <c r="B146" s="3" t="s">
        <v>21203</v>
      </c>
      <c r="C146" s="3" t="s">
        <v>21204</v>
      </c>
      <c r="D146" s="3" t="s">
        <v>21205</v>
      </c>
      <c r="E146" s="3" t="s">
        <v>21206</v>
      </c>
      <c r="F146" s="3" t="s">
        <v>21207</v>
      </c>
      <c r="G146" s="3" t="s">
        <v>21208</v>
      </c>
      <c r="H146" s="3" t="s">
        <v>21209</v>
      </c>
      <c r="I146" s="3" t="s">
        <v>21210</v>
      </c>
      <c r="J146" s="5" t="str">
        <f>IFERROR(__xludf.DUMMYFUNCTION("GOOGLETRANSLATE(I146,""zh_HANT"",""zh_HANS"")"),"健壮胸肌")</f>
        <v>健壮胸肌</v>
      </c>
    </row>
    <row r="147">
      <c r="A147" s="5" t="str">
        <f t="shared" si="1"/>
        <v>NAME_ABILITY_SANDRUSH</v>
      </c>
      <c r="B147" s="3" t="s">
        <v>21211</v>
      </c>
      <c r="C147" s="3" t="s">
        <v>21212</v>
      </c>
      <c r="D147" s="3" t="s">
        <v>21213</v>
      </c>
      <c r="E147" s="3" t="s">
        <v>21214</v>
      </c>
      <c r="F147" s="3" t="s">
        <v>21215</v>
      </c>
      <c r="G147" s="3" t="s">
        <v>21216</v>
      </c>
      <c r="H147" s="3" t="s">
        <v>21217</v>
      </c>
      <c r="I147" s="3" t="s">
        <v>21218</v>
      </c>
      <c r="J147" s="5" t="str">
        <f>IFERROR(__xludf.DUMMYFUNCTION("GOOGLETRANSLATE(I147,""zh_HANT"",""zh_HANS"")"),"拨沙")</f>
        <v>拨沙</v>
      </c>
    </row>
    <row r="148">
      <c r="A148" s="5" t="str">
        <f t="shared" si="1"/>
        <v>NAME_ABILITY_WONDERSKIN</v>
      </c>
      <c r="B148" s="3" t="s">
        <v>21219</v>
      </c>
      <c r="C148" s="3" t="s">
        <v>21220</v>
      </c>
      <c r="D148" s="3" t="s">
        <v>21221</v>
      </c>
      <c r="E148" s="3" t="s">
        <v>21222</v>
      </c>
      <c r="F148" s="3" t="s">
        <v>21223</v>
      </c>
      <c r="G148" s="3" t="s">
        <v>21224</v>
      </c>
      <c r="H148" s="3" t="s">
        <v>21225</v>
      </c>
      <c r="I148" s="3" t="s">
        <v>21226</v>
      </c>
      <c r="J148" s="5" t="str">
        <f>IFERROR(__xludf.DUMMYFUNCTION("GOOGLETRANSLATE(I148,""zh_HANT"",""zh_HANS"")"),"奇迹皮肤")</f>
        <v>奇迹皮肤</v>
      </c>
    </row>
    <row r="149">
      <c r="A149" s="5" t="str">
        <f t="shared" si="1"/>
        <v>NAME_ABILITY_ANALYTIC</v>
      </c>
      <c r="B149" s="3" t="s">
        <v>21227</v>
      </c>
      <c r="C149" s="3" t="s">
        <v>21228</v>
      </c>
      <c r="D149" s="3" t="s">
        <v>21229</v>
      </c>
      <c r="E149" s="3" t="s">
        <v>21230</v>
      </c>
      <c r="F149" s="3" t="s">
        <v>21231</v>
      </c>
      <c r="G149" s="3" t="s">
        <v>21232</v>
      </c>
      <c r="H149" s="3" t="s">
        <v>21233</v>
      </c>
      <c r="I149" s="3" t="s">
        <v>21234</v>
      </c>
      <c r="J149" s="5" t="str">
        <f>I149</f>
        <v>分析</v>
      </c>
    </row>
    <row r="150">
      <c r="A150" s="5" t="str">
        <f t="shared" si="1"/>
        <v>NAME_ABILITY_ILLUSION</v>
      </c>
      <c r="B150" s="3" t="s">
        <v>21235</v>
      </c>
      <c r="C150" s="3" t="s">
        <v>21236</v>
      </c>
      <c r="D150" s="3" t="s">
        <v>21235</v>
      </c>
      <c r="E150" s="3" t="s">
        <v>21237</v>
      </c>
      <c r="F150" s="3" t="s">
        <v>21238</v>
      </c>
      <c r="G150" s="5" t="str">
        <f>CONCATENATE(B150,"e")</f>
        <v>Illusione</v>
      </c>
      <c r="H150" s="3" t="s">
        <v>21239</v>
      </c>
      <c r="I150" s="3" t="s">
        <v>21240</v>
      </c>
      <c r="J150" s="5" t="str">
        <f>IFERROR(__xludf.DUMMYFUNCTION("GOOGLETRANSLATE(I150,""zh_HANT"",""zh_HANS"")"),"幻觉")</f>
        <v>幻觉</v>
      </c>
    </row>
    <row r="151">
      <c r="A151" s="5" t="str">
        <f t="shared" si="1"/>
        <v>NAME_ABILITY_IMPOSTER</v>
      </c>
      <c r="B151" s="3" t="s">
        <v>21241</v>
      </c>
      <c r="C151" s="3" t="s">
        <v>21242</v>
      </c>
      <c r="D151" s="3" t="s">
        <v>21243</v>
      </c>
      <c r="E151" s="3" t="s">
        <v>21244</v>
      </c>
      <c r="F151" s="3" t="s">
        <v>21245</v>
      </c>
      <c r="G151" s="3" t="s">
        <v>21246</v>
      </c>
      <c r="H151" s="3" t="s">
        <v>21247</v>
      </c>
      <c r="I151" s="3" t="s">
        <v>21248</v>
      </c>
      <c r="J151" s="5" t="str">
        <f>IFERROR(__xludf.DUMMYFUNCTION("GOOGLETRANSLATE(I151,""zh_HANT"",""zh_HANS"")"),"变身者")</f>
        <v>变身者</v>
      </c>
    </row>
    <row r="152">
      <c r="A152" s="5" t="str">
        <f t="shared" si="1"/>
        <v>NAME_ABILITY_INFILTRATOR</v>
      </c>
      <c r="B152" s="3" t="s">
        <v>21249</v>
      </c>
      <c r="C152" s="3" t="s">
        <v>21250</v>
      </c>
      <c r="D152" s="3" t="s">
        <v>21251</v>
      </c>
      <c r="E152" s="3" t="s">
        <v>21252</v>
      </c>
      <c r="F152" s="3" t="s">
        <v>21253</v>
      </c>
      <c r="G152" s="3" t="s">
        <v>21254</v>
      </c>
      <c r="H152" s="3" t="s">
        <v>21255</v>
      </c>
      <c r="I152" s="3" t="s">
        <v>21256</v>
      </c>
      <c r="J152" s="5" t="str">
        <f t="shared" ref="J152:J153" si="15">I152</f>
        <v>穿透</v>
      </c>
    </row>
    <row r="153">
      <c r="A153" s="5" t="str">
        <f t="shared" si="1"/>
        <v>NAME_ABILITY_MUMMY</v>
      </c>
      <c r="B153" s="3" t="s">
        <v>21257</v>
      </c>
      <c r="C153" s="3" t="s">
        <v>21258</v>
      </c>
      <c r="D153" s="3" t="s">
        <v>21259</v>
      </c>
      <c r="E153" s="3" t="s">
        <v>21260</v>
      </c>
      <c r="F153" s="3" t="s">
        <v>21261</v>
      </c>
      <c r="G153" s="3" t="s">
        <v>21262</v>
      </c>
      <c r="H153" s="3" t="s">
        <v>21263</v>
      </c>
      <c r="I153" s="3" t="s">
        <v>21264</v>
      </c>
      <c r="J153" s="5" t="str">
        <f t="shared" si="15"/>
        <v>木乃伊</v>
      </c>
    </row>
    <row r="154">
      <c r="A154" s="5" t="str">
        <f t="shared" si="1"/>
        <v>NAME_ABILITY_MOXIE</v>
      </c>
      <c r="B154" s="3" t="s">
        <v>21265</v>
      </c>
      <c r="C154" s="3" t="s">
        <v>21266</v>
      </c>
      <c r="D154" s="3" t="s">
        <v>21267</v>
      </c>
      <c r="E154" s="3" t="s">
        <v>21268</v>
      </c>
      <c r="F154" s="3" t="s">
        <v>21269</v>
      </c>
      <c r="G154" s="3" t="s">
        <v>21270</v>
      </c>
      <c r="H154" s="3" t="s">
        <v>21271</v>
      </c>
      <c r="I154" s="3" t="s">
        <v>21272</v>
      </c>
      <c r="J154" s="5" t="str">
        <f>IFERROR(__xludf.DUMMYFUNCTION("GOOGLETRANSLATE(I154,""zh_HANT"",""zh_HANS"")"),"自信过度")</f>
        <v>自信过度</v>
      </c>
    </row>
    <row r="155">
      <c r="A155" s="5" t="str">
        <f t="shared" si="1"/>
        <v>NAME_ABILITY_JUSTIFIED</v>
      </c>
      <c r="B155" s="3" t="s">
        <v>21273</v>
      </c>
      <c r="C155" s="3" t="s">
        <v>21274</v>
      </c>
      <c r="D155" s="3" t="s">
        <v>21275</v>
      </c>
      <c r="E155" s="3" t="s">
        <v>21276</v>
      </c>
      <c r="F155" s="3" t="s">
        <v>21277</v>
      </c>
      <c r="G155" s="3" t="s">
        <v>21278</v>
      </c>
      <c r="H155" s="3" t="s">
        <v>21279</v>
      </c>
      <c r="I155" s="3" t="s">
        <v>21280</v>
      </c>
      <c r="J155" s="5" t="str">
        <f>IFERROR(__xludf.DUMMYFUNCTION("GOOGLETRANSLATE(I155,""zh_HANT"",""zh_HANS"")"),"正义之心")</f>
        <v>正义之心</v>
      </c>
    </row>
    <row r="156">
      <c r="A156" s="5" t="str">
        <f t="shared" si="1"/>
        <v>NAME_ABILITY_RATTLED</v>
      </c>
      <c r="B156" s="3" t="s">
        <v>21281</v>
      </c>
      <c r="C156" s="3" t="s">
        <v>21282</v>
      </c>
      <c r="D156" s="3" t="s">
        <v>21283</v>
      </c>
      <c r="E156" s="3" t="s">
        <v>21284</v>
      </c>
      <c r="F156" s="3" t="s">
        <v>21285</v>
      </c>
      <c r="G156" s="3" t="s">
        <v>21286</v>
      </c>
      <c r="H156" s="3" t="s">
        <v>21287</v>
      </c>
      <c r="I156" s="3" t="s">
        <v>21288</v>
      </c>
      <c r="J156" s="5" t="str">
        <f>IFERROR(__xludf.DUMMYFUNCTION("GOOGLETRANSLATE(I156,""zh_HANT"",""zh_HANS"")"),"胆怯")</f>
        <v>胆怯</v>
      </c>
    </row>
    <row r="157">
      <c r="A157" s="5" t="str">
        <f t="shared" si="1"/>
        <v>NAME_ABILITY_MAGICBOUNCE</v>
      </c>
      <c r="B157" s="3" t="s">
        <v>21289</v>
      </c>
      <c r="C157" s="3" t="s">
        <v>21290</v>
      </c>
      <c r="D157" s="3" t="s">
        <v>21291</v>
      </c>
      <c r="E157" s="3" t="s">
        <v>21292</v>
      </c>
      <c r="F157" s="3" t="s">
        <v>21293</v>
      </c>
      <c r="G157" s="3" t="s">
        <v>21294</v>
      </c>
      <c r="H157" s="3" t="s">
        <v>21295</v>
      </c>
      <c r="I157" s="3" t="s">
        <v>21296</v>
      </c>
      <c r="J157" s="5" t="str">
        <f>IFERROR(__xludf.DUMMYFUNCTION("GOOGLETRANSLATE(I157,""zh_HANT"",""zh_HANS"")"),"魔法镜")</f>
        <v>魔法镜</v>
      </c>
    </row>
    <row r="158">
      <c r="A158" s="5" t="str">
        <f t="shared" si="1"/>
        <v>NAME_ABILITY_SAPSIPPER</v>
      </c>
      <c r="B158" s="3" t="s">
        <v>21297</v>
      </c>
      <c r="C158" s="3" t="s">
        <v>21298</v>
      </c>
      <c r="D158" s="3" t="s">
        <v>21299</v>
      </c>
      <c r="E158" s="3" t="s">
        <v>21300</v>
      </c>
      <c r="F158" s="3" t="s">
        <v>21301</v>
      </c>
      <c r="G158" s="3" t="s">
        <v>21302</v>
      </c>
      <c r="H158" s="3" t="s">
        <v>21303</v>
      </c>
      <c r="I158" s="3" t="s">
        <v>21304</v>
      </c>
      <c r="J158" s="5" t="str">
        <f>I158</f>
        <v>食草</v>
      </c>
    </row>
    <row r="159">
      <c r="A159" s="5" t="str">
        <f t="shared" si="1"/>
        <v>NAME_ABILITY_PRANKSTER</v>
      </c>
      <c r="B159" s="3" t="s">
        <v>21305</v>
      </c>
      <c r="C159" s="3" t="s">
        <v>21306</v>
      </c>
      <c r="D159" s="3" t="s">
        <v>21307</v>
      </c>
      <c r="E159" s="3" t="s">
        <v>21308</v>
      </c>
      <c r="F159" s="3" t="s">
        <v>21309</v>
      </c>
      <c r="G159" s="3" t="s">
        <v>21310</v>
      </c>
      <c r="H159" s="3" t="s">
        <v>21311</v>
      </c>
      <c r="I159" s="3" t="s">
        <v>21312</v>
      </c>
      <c r="J159" s="5" t="str">
        <f>IFERROR(__xludf.DUMMYFUNCTION("GOOGLETRANSLATE(I159,""zh_HANT"",""zh_HANS"")"),"恶作剧之心")</f>
        <v>恶作剧之心</v>
      </c>
    </row>
    <row r="160">
      <c r="A160" s="5" t="str">
        <f t="shared" si="1"/>
        <v>NAME_ABILITY_SANDFORCE</v>
      </c>
      <c r="B160" s="3" t="s">
        <v>21313</v>
      </c>
      <c r="C160" s="3" t="s">
        <v>21314</v>
      </c>
      <c r="D160" s="3" t="s">
        <v>21315</v>
      </c>
      <c r="E160" s="3" t="s">
        <v>21316</v>
      </c>
      <c r="F160" s="3" t="s">
        <v>21317</v>
      </c>
      <c r="G160" s="3" t="s">
        <v>21318</v>
      </c>
      <c r="H160" s="3" t="s">
        <v>21319</v>
      </c>
      <c r="I160" s="3" t="s">
        <v>21320</v>
      </c>
      <c r="J160" s="5" t="str">
        <f>I160</f>
        <v>沙之力</v>
      </c>
    </row>
    <row r="161">
      <c r="A161" s="5" t="str">
        <f t="shared" si="1"/>
        <v>NAME_ABILITY_IRONBARBS</v>
      </c>
      <c r="B161" s="3" t="s">
        <v>21321</v>
      </c>
      <c r="C161" s="3" t="s">
        <v>21322</v>
      </c>
      <c r="D161" s="3" t="s">
        <v>21323</v>
      </c>
      <c r="E161" s="3" t="s">
        <v>21324</v>
      </c>
      <c r="F161" s="3" t="s">
        <v>21325</v>
      </c>
      <c r="G161" s="3" t="s">
        <v>21326</v>
      </c>
      <c r="H161" s="3" t="s">
        <v>21327</v>
      </c>
      <c r="I161" s="3" t="s">
        <v>21328</v>
      </c>
      <c r="J161" s="5" t="str">
        <f>IFERROR(__xludf.DUMMYFUNCTION("GOOGLETRANSLATE(I161,""zh_HANT"",""zh_HANS"")"),"铁刺")</f>
        <v>铁刺</v>
      </c>
    </row>
    <row r="162">
      <c r="A162" s="5" t="str">
        <f t="shared" si="1"/>
        <v>NAME_ABILITY_ZENMODE</v>
      </c>
      <c r="B162" s="3" t="s">
        <v>21329</v>
      </c>
      <c r="C162" s="3" t="s">
        <v>21330</v>
      </c>
      <c r="D162" s="3" t="s">
        <v>21331</v>
      </c>
      <c r="E162" s="3" t="s">
        <v>21332</v>
      </c>
      <c r="F162" s="3" t="s">
        <v>21333</v>
      </c>
      <c r="G162" s="3" t="s">
        <v>21334</v>
      </c>
      <c r="H162" s="3" t="s">
        <v>21335</v>
      </c>
      <c r="I162" s="3" t="s">
        <v>21336</v>
      </c>
      <c r="J162" s="5" t="str">
        <f>IFERROR(__xludf.DUMMYFUNCTION("GOOGLETRANSLATE(I162,""zh_HANT"",""zh_HANS"")"),"达摩模式")</f>
        <v>达摩模式</v>
      </c>
    </row>
    <row r="163">
      <c r="A163" s="5" t="str">
        <f t="shared" si="1"/>
        <v>NAME_ABILITY_VICTORYSTAR</v>
      </c>
      <c r="B163" s="3" t="s">
        <v>21337</v>
      </c>
      <c r="C163" s="3" t="s">
        <v>21338</v>
      </c>
      <c r="D163" s="3" t="s">
        <v>21339</v>
      </c>
      <c r="E163" s="3" t="s">
        <v>21340</v>
      </c>
      <c r="F163" s="3" t="s">
        <v>21341</v>
      </c>
      <c r="G163" s="3" t="s">
        <v>21342</v>
      </c>
      <c r="H163" s="3" t="s">
        <v>21343</v>
      </c>
      <c r="I163" s="3" t="s">
        <v>21344</v>
      </c>
      <c r="J163" s="5" t="str">
        <f>IFERROR(__xludf.DUMMYFUNCTION("GOOGLETRANSLATE(I163,""zh_HANT"",""zh_HANS"")"),"胜利之星")</f>
        <v>胜利之星</v>
      </c>
    </row>
    <row r="164">
      <c r="A164" s="5" t="str">
        <f t="shared" si="1"/>
        <v>NAME_ABILITY_TURBOBLAZE</v>
      </c>
      <c r="B164" s="3" t="s">
        <v>21345</v>
      </c>
      <c r="C164" s="3" t="s">
        <v>21346</v>
      </c>
      <c r="D164" s="3" t="s">
        <v>21347</v>
      </c>
      <c r="E164" s="3" t="s">
        <v>21348</v>
      </c>
      <c r="F164" s="3" t="s">
        <v>21349</v>
      </c>
      <c r="G164" s="3" t="s">
        <v>21350</v>
      </c>
      <c r="H164" s="3" t="s">
        <v>21351</v>
      </c>
      <c r="I164" s="3" t="s">
        <v>21352</v>
      </c>
      <c r="J164" s="5" t="str">
        <f>IFERROR(__xludf.DUMMYFUNCTION("GOOGLETRANSLATE(I164,""zh_HANT"",""zh_HANS"")"),"涡轮火焰")</f>
        <v>涡轮火焰</v>
      </c>
    </row>
    <row r="165">
      <c r="A165" s="5" t="str">
        <f t="shared" si="1"/>
        <v>NAME_ABILITY_TERAVOLT</v>
      </c>
      <c r="B165" s="3" t="s">
        <v>21353</v>
      </c>
      <c r="C165" s="3" t="s">
        <v>21354</v>
      </c>
      <c r="D165" s="3" t="s">
        <v>21355</v>
      </c>
      <c r="E165" s="5" t="str">
        <f>B165</f>
        <v>Teravolt</v>
      </c>
      <c r="F165" s="3" t="s">
        <v>21356</v>
      </c>
      <c r="G165" s="5" t="str">
        <f>B165</f>
        <v>Teravolt</v>
      </c>
      <c r="H165" s="3" t="s">
        <v>21357</v>
      </c>
      <c r="I165" s="3" t="s">
        <v>21358</v>
      </c>
      <c r="J165" s="5" t="str">
        <f>IFERROR(__xludf.DUMMYFUNCTION("GOOGLETRANSLATE(I165,""zh_HANT"",""zh_HANS"")"),"兆级电压")</f>
        <v>兆级电压</v>
      </c>
    </row>
    <row r="166">
      <c r="A166" s="5" t="str">
        <f t="shared" si="1"/>
        <v>NAME_ABILITY_AROMAVEIL</v>
      </c>
      <c r="B166" s="3" t="s">
        <v>21359</v>
      </c>
      <c r="C166" s="3" t="s">
        <v>21360</v>
      </c>
      <c r="D166" s="3" t="s">
        <v>21361</v>
      </c>
      <c r="E166" s="3" t="s">
        <v>21362</v>
      </c>
      <c r="F166" s="3" t="s">
        <v>21363</v>
      </c>
      <c r="G166" s="3" t="s">
        <v>21364</v>
      </c>
      <c r="H166" s="3" t="s">
        <v>21365</v>
      </c>
      <c r="I166" s="3" t="s">
        <v>21366</v>
      </c>
      <c r="J166" s="5" t="str">
        <f t="shared" ref="J166:J167" si="16">I166</f>
        <v>芳香幕</v>
      </c>
    </row>
    <row r="167">
      <c r="A167" s="5" t="str">
        <f t="shared" si="1"/>
        <v>NAME_ABILITY_FLOWERVEIL</v>
      </c>
      <c r="B167" s="3" t="s">
        <v>21367</v>
      </c>
      <c r="C167" s="3" t="s">
        <v>21368</v>
      </c>
      <c r="D167" s="3" t="s">
        <v>21369</v>
      </c>
      <c r="E167" s="3" t="s">
        <v>21370</v>
      </c>
      <c r="F167" s="3" t="s">
        <v>21371</v>
      </c>
      <c r="G167" s="3" t="s">
        <v>21372</v>
      </c>
      <c r="H167" s="3" t="s">
        <v>21373</v>
      </c>
      <c r="I167" s="3" t="s">
        <v>21374</v>
      </c>
      <c r="J167" s="5" t="str">
        <f t="shared" si="16"/>
        <v>花幕</v>
      </c>
    </row>
    <row r="168">
      <c r="A168" s="5" t="str">
        <f t="shared" si="1"/>
        <v>NAME_ABILITY_CHEEKPOUCH</v>
      </c>
      <c r="B168" s="3" t="s">
        <v>21375</v>
      </c>
      <c r="C168" s="3" t="s">
        <v>21376</v>
      </c>
      <c r="D168" s="3" t="s">
        <v>21377</v>
      </c>
      <c r="E168" s="3" t="s">
        <v>21378</v>
      </c>
      <c r="F168" s="3" t="s">
        <v>21379</v>
      </c>
      <c r="G168" s="3" t="s">
        <v>21380</v>
      </c>
      <c r="H168" s="3" t="s">
        <v>21381</v>
      </c>
      <c r="I168" s="3" t="s">
        <v>21382</v>
      </c>
      <c r="J168" s="5" t="str">
        <f>IFERROR(__xludf.DUMMYFUNCTION("GOOGLETRANSLATE(I168,""zh_HANT"",""zh_HANS"")"),"颊囊")</f>
        <v>颊囊</v>
      </c>
    </row>
    <row r="169">
      <c r="A169" s="5" t="str">
        <f t="shared" si="1"/>
        <v>NAME_ABILITY_PROTEAN</v>
      </c>
      <c r="B169" s="3" t="s">
        <v>21383</v>
      </c>
      <c r="C169" s="3" t="s">
        <v>21384</v>
      </c>
      <c r="D169" s="3" t="s">
        <v>21385</v>
      </c>
      <c r="E169" s="3" t="s">
        <v>21386</v>
      </c>
      <c r="F169" s="3" t="s">
        <v>21387</v>
      </c>
      <c r="G169" s="5" t="str">
        <f>F169</f>
        <v>Mutatipo</v>
      </c>
      <c r="H169" s="3" t="s">
        <v>21388</v>
      </c>
      <c r="I169" s="3" t="s">
        <v>21389</v>
      </c>
      <c r="J169" s="5" t="str">
        <f>IFERROR(__xludf.DUMMYFUNCTION("GOOGLETRANSLATE(I169,""zh_HANT"",""zh_HANS"")"),"变幻自如")</f>
        <v>变幻自如</v>
      </c>
    </row>
    <row r="170">
      <c r="A170" s="5" t="str">
        <f t="shared" si="1"/>
        <v>NAME_ABILITY_FURCOAT</v>
      </c>
      <c r="B170" s="3" t="s">
        <v>21390</v>
      </c>
      <c r="C170" s="3" t="s">
        <v>21391</v>
      </c>
      <c r="D170" s="3" t="s">
        <v>21392</v>
      </c>
      <c r="E170" s="3" t="s">
        <v>21393</v>
      </c>
      <c r="F170" s="3" t="s">
        <v>21394</v>
      </c>
      <c r="G170" s="3" t="s">
        <v>21395</v>
      </c>
      <c r="H170" s="3" t="s">
        <v>21396</v>
      </c>
      <c r="I170" s="3" t="s">
        <v>21397</v>
      </c>
      <c r="J170" s="5" t="str">
        <f>I170</f>
        <v>毛皮大衣</v>
      </c>
    </row>
    <row r="171">
      <c r="A171" s="5" t="str">
        <f t="shared" si="1"/>
        <v>NAME_ABILITY_MAGICIAN</v>
      </c>
      <c r="B171" s="3" t="s">
        <v>21398</v>
      </c>
      <c r="C171" s="3" t="s">
        <v>21399</v>
      </c>
      <c r="D171" s="3" t="s">
        <v>21400</v>
      </c>
      <c r="E171" s="3" t="s">
        <v>21401</v>
      </c>
      <c r="F171" s="3" t="s">
        <v>21402</v>
      </c>
      <c r="G171" s="3" t="s">
        <v>21403</v>
      </c>
      <c r="H171" s="3" t="s">
        <v>21404</v>
      </c>
      <c r="I171" s="3" t="s">
        <v>21405</v>
      </c>
      <c r="J171" s="5" t="str">
        <f>IFERROR(__xludf.DUMMYFUNCTION("GOOGLETRANSLATE(I171,""zh_HANT"",""zh_HANS"")"),"魔术师")</f>
        <v>魔术师</v>
      </c>
    </row>
    <row r="172">
      <c r="A172" s="5" t="str">
        <f t="shared" si="1"/>
        <v>NAME_ABILITY_BULLETPROOF</v>
      </c>
      <c r="B172" s="3" t="s">
        <v>21406</v>
      </c>
      <c r="C172" s="3" t="s">
        <v>21407</v>
      </c>
      <c r="D172" s="3" t="s">
        <v>21408</v>
      </c>
      <c r="E172" s="3" t="s">
        <v>21409</v>
      </c>
      <c r="F172" s="3" t="s">
        <v>21410</v>
      </c>
      <c r="G172" s="3" t="s">
        <v>21411</v>
      </c>
      <c r="H172" s="3" t="s">
        <v>21412</v>
      </c>
      <c r="I172" s="3" t="s">
        <v>21413</v>
      </c>
      <c r="J172" s="5" t="str">
        <f>IFERROR(__xludf.DUMMYFUNCTION("GOOGLETRANSLATE(I172,""zh_HANT"",""zh_HANS"")"),"防弹")</f>
        <v>防弹</v>
      </c>
    </row>
    <row r="173">
      <c r="A173" s="5" t="str">
        <f t="shared" si="1"/>
        <v>NAME_ABILITY_COMPETITIVE</v>
      </c>
      <c r="B173" s="3" t="s">
        <v>21414</v>
      </c>
      <c r="C173" s="3" t="s">
        <v>21415</v>
      </c>
      <c r="D173" s="3" t="s">
        <v>21416</v>
      </c>
      <c r="E173" s="3" t="s">
        <v>21417</v>
      </c>
      <c r="F173" s="3" t="s">
        <v>21418</v>
      </c>
      <c r="G173" s="3" t="s">
        <v>21419</v>
      </c>
      <c r="H173" s="3" t="s">
        <v>21420</v>
      </c>
      <c r="I173" s="3" t="s">
        <v>21421</v>
      </c>
      <c r="J173" s="5" t="str">
        <f>IFERROR(__xludf.DUMMYFUNCTION("GOOGLETRANSLATE(I173,""zh_HANT"",""zh_HANS"")"),"好胜")</f>
        <v>好胜</v>
      </c>
    </row>
    <row r="174">
      <c r="A174" s="5" t="str">
        <f t="shared" si="1"/>
        <v>NAME_ABILITY_STRONGJAW</v>
      </c>
      <c r="B174" s="3" t="s">
        <v>21422</v>
      </c>
      <c r="C174" s="3" t="s">
        <v>21423</v>
      </c>
      <c r="D174" s="3" t="s">
        <v>21424</v>
      </c>
      <c r="E174" s="3" t="s">
        <v>21425</v>
      </c>
      <c r="F174" s="3" t="s">
        <v>21426</v>
      </c>
      <c r="G174" s="3" t="s">
        <v>21427</v>
      </c>
      <c r="H174" s="3" t="s">
        <v>21428</v>
      </c>
      <c r="I174" s="3" t="s">
        <v>21429</v>
      </c>
      <c r="J174" s="5" t="str">
        <f>IFERROR(__xludf.DUMMYFUNCTION("GOOGLETRANSLATE(I174,""zh_HANT"",""zh_HANS"")"),"强壮之颚")</f>
        <v>强壮之颚</v>
      </c>
    </row>
    <row r="175">
      <c r="A175" s="5" t="str">
        <f t="shared" si="1"/>
        <v>NAME_ABILITY_REFRIGERATE</v>
      </c>
      <c r="B175" s="3" t="s">
        <v>21430</v>
      </c>
      <c r="C175" s="3" t="s">
        <v>21431</v>
      </c>
      <c r="D175" s="3" t="s">
        <v>21432</v>
      </c>
      <c r="E175" s="3" t="s">
        <v>21433</v>
      </c>
      <c r="F175" s="3" t="s">
        <v>21434</v>
      </c>
      <c r="G175" s="3" t="s">
        <v>21435</v>
      </c>
      <c r="H175" s="3" t="s">
        <v>21436</v>
      </c>
      <c r="I175" s="3" t="s">
        <v>21437</v>
      </c>
      <c r="J175" s="5" t="str">
        <f>IFERROR(__xludf.DUMMYFUNCTION("GOOGLETRANSLATE(I175,""zh_HANT"",""zh_HANS"")"),"冰冻皮肤")</f>
        <v>冰冻皮肤</v>
      </c>
    </row>
    <row r="176">
      <c r="A176" s="5" t="str">
        <f t="shared" si="1"/>
        <v>NAME_ABILITY_SWEETVEIL</v>
      </c>
      <c r="B176" s="3" t="s">
        <v>21438</v>
      </c>
      <c r="C176" s="3" t="s">
        <v>21439</v>
      </c>
      <c r="D176" s="3" t="s">
        <v>21440</v>
      </c>
      <c r="E176" s="3" t="s">
        <v>21441</v>
      </c>
      <c r="F176" s="3" t="s">
        <v>21442</v>
      </c>
      <c r="G176" s="3" t="s">
        <v>21443</v>
      </c>
      <c r="H176" s="3" t="s">
        <v>21444</v>
      </c>
      <c r="I176" s="3" t="s">
        <v>21445</v>
      </c>
      <c r="J176" s="5" t="str">
        <f>I176</f>
        <v>甜幕</v>
      </c>
    </row>
    <row r="177">
      <c r="A177" s="5" t="str">
        <f t="shared" si="1"/>
        <v>NAME_ABILITY_STANCECHANGE</v>
      </c>
      <c r="B177" s="3" t="s">
        <v>21446</v>
      </c>
      <c r="C177" s="3" t="s">
        <v>21447</v>
      </c>
      <c r="D177" s="3" t="s">
        <v>21448</v>
      </c>
      <c r="E177" s="3" t="s">
        <v>21449</v>
      </c>
      <c r="F177" s="3" t="s">
        <v>21450</v>
      </c>
      <c r="G177" s="3" t="s">
        <v>21451</v>
      </c>
      <c r="H177" s="3" t="s">
        <v>21452</v>
      </c>
      <c r="I177" s="3" t="s">
        <v>21453</v>
      </c>
      <c r="J177" s="5" t="str">
        <f>IFERROR(__xludf.DUMMYFUNCTION("GOOGLETRANSLATE(I177,""zh_HANT"",""zh_HANS"")"),"战斗切换")</f>
        <v>战斗切换</v>
      </c>
    </row>
    <row r="178">
      <c r="A178" s="5" t="str">
        <f t="shared" si="1"/>
        <v>NAME_ABILITY_GALEWINGS</v>
      </c>
      <c r="B178" s="3" t="s">
        <v>21454</v>
      </c>
      <c r="C178" s="3" t="s">
        <v>21455</v>
      </c>
      <c r="D178" s="3" t="s">
        <v>21456</v>
      </c>
      <c r="E178" s="3" t="s">
        <v>21457</v>
      </c>
      <c r="F178" s="3" t="s">
        <v>21458</v>
      </c>
      <c r="G178" s="3" t="s">
        <v>21459</v>
      </c>
      <c r="H178" s="3" t="s">
        <v>21460</v>
      </c>
      <c r="I178" s="3" t="s">
        <v>21461</v>
      </c>
      <c r="J178" s="5" t="str">
        <f>IFERROR(__xludf.DUMMYFUNCTION("GOOGLETRANSLATE(I178,""zh_HANT"",""zh_HANS"")"),"疾风之翼")</f>
        <v>疾风之翼</v>
      </c>
    </row>
    <row r="179">
      <c r="A179" s="5" t="str">
        <f t="shared" si="1"/>
        <v>NAME_ABILITY_MEGALAUNCHER</v>
      </c>
      <c r="B179" s="3" t="s">
        <v>21462</v>
      </c>
      <c r="C179" s="3" t="s">
        <v>21463</v>
      </c>
      <c r="D179" s="3" t="s">
        <v>21464</v>
      </c>
      <c r="E179" s="3" t="s">
        <v>21465</v>
      </c>
      <c r="F179" s="3" t="s">
        <v>21466</v>
      </c>
      <c r="G179" s="3" t="s">
        <v>21467</v>
      </c>
      <c r="H179" s="3" t="s">
        <v>21468</v>
      </c>
      <c r="I179" s="3" t="s">
        <v>21469</v>
      </c>
      <c r="J179" s="5" t="str">
        <f>IFERROR(__xludf.DUMMYFUNCTION("GOOGLETRANSLATE(I179,""zh_HANT"",""zh_HANS"")"),"超级发射器")</f>
        <v>超级发射器</v>
      </c>
    </row>
    <row r="180">
      <c r="A180" s="5" t="str">
        <f t="shared" si="1"/>
        <v>NAME_ABILITY_GRASSPELT</v>
      </c>
      <c r="B180" s="3" t="s">
        <v>21470</v>
      </c>
      <c r="C180" s="3" t="s">
        <v>21471</v>
      </c>
      <c r="D180" s="3" t="s">
        <v>21472</v>
      </c>
      <c r="E180" s="3" t="s">
        <v>21473</v>
      </c>
      <c r="F180" s="3" t="s">
        <v>21474</v>
      </c>
      <c r="G180" s="3" t="s">
        <v>21475</v>
      </c>
      <c r="H180" s="3" t="s">
        <v>21476</v>
      </c>
      <c r="I180" s="3" t="s">
        <v>21477</v>
      </c>
      <c r="J180" s="5" t="str">
        <f t="shared" ref="J180:J182" si="17">I180</f>
        <v>草之毛皮</v>
      </c>
    </row>
    <row r="181">
      <c r="A181" s="5" t="str">
        <f t="shared" si="1"/>
        <v>NAME_ABILITY_SYMBIOSIS</v>
      </c>
      <c r="B181" s="3" t="s">
        <v>21478</v>
      </c>
      <c r="C181" s="3" t="s">
        <v>21479</v>
      </c>
      <c r="D181" s="3" t="s">
        <v>7683</v>
      </c>
      <c r="E181" s="3" t="s">
        <v>21480</v>
      </c>
      <c r="F181" s="3" t="s">
        <v>21481</v>
      </c>
      <c r="G181" s="3" t="s">
        <v>21482</v>
      </c>
      <c r="H181" s="3" t="s">
        <v>21483</v>
      </c>
      <c r="I181" s="3" t="s">
        <v>21484</v>
      </c>
      <c r="J181" s="5" t="str">
        <f t="shared" si="17"/>
        <v>共生</v>
      </c>
    </row>
    <row r="182">
      <c r="A182" s="5" t="str">
        <f t="shared" si="1"/>
        <v>NAME_ABILITY_TOUGHCLAWS</v>
      </c>
      <c r="B182" s="3" t="s">
        <v>21485</v>
      </c>
      <c r="C182" s="3" t="s">
        <v>21486</v>
      </c>
      <c r="D182" s="3" t="s">
        <v>21487</v>
      </c>
      <c r="E182" s="3" t="s">
        <v>21488</v>
      </c>
      <c r="F182" s="3" t="s">
        <v>21489</v>
      </c>
      <c r="G182" s="3" t="s">
        <v>21490</v>
      </c>
      <c r="H182" s="3" t="s">
        <v>21491</v>
      </c>
      <c r="I182" s="3" t="s">
        <v>21492</v>
      </c>
      <c r="J182" s="5" t="str">
        <f t="shared" si="17"/>
        <v>硬爪</v>
      </c>
    </row>
    <row r="183">
      <c r="A183" s="5" t="str">
        <f t="shared" si="1"/>
        <v>NAME_ABILITY_PIXILATE</v>
      </c>
      <c r="B183" s="3" t="s">
        <v>21493</v>
      </c>
      <c r="C183" s="3" t="s">
        <v>21494</v>
      </c>
      <c r="D183" s="3" t="s">
        <v>21495</v>
      </c>
      <c r="E183" s="3" t="s">
        <v>21496</v>
      </c>
      <c r="F183" s="3" t="s">
        <v>21497</v>
      </c>
      <c r="G183" s="3" t="s">
        <v>21498</v>
      </c>
      <c r="H183" s="3" t="s">
        <v>21499</v>
      </c>
      <c r="I183" s="3" t="s">
        <v>21500</v>
      </c>
      <c r="J183" s="5" t="str">
        <f>IFERROR(__xludf.DUMMYFUNCTION("GOOGLETRANSLATE(I183,""zh_HANT"",""zh_HANS"")"),"妖精皮肤")</f>
        <v>妖精皮肤</v>
      </c>
    </row>
    <row r="184">
      <c r="A184" s="5" t="str">
        <f t="shared" si="1"/>
        <v>NAME_ABILITY_GOOEY</v>
      </c>
      <c r="B184" s="3" t="s">
        <v>21501</v>
      </c>
      <c r="C184" s="3" t="s">
        <v>21502</v>
      </c>
      <c r="D184" s="3" t="s">
        <v>21503</v>
      </c>
      <c r="E184" s="3" t="s">
        <v>21504</v>
      </c>
      <c r="F184" s="3" t="s">
        <v>21505</v>
      </c>
      <c r="G184" s="3" t="s">
        <v>21506</v>
      </c>
      <c r="H184" s="3" t="s">
        <v>21507</v>
      </c>
      <c r="I184" s="3" t="s">
        <v>21508</v>
      </c>
      <c r="J184" s="5" t="str">
        <f>I184</f>
        <v>黏滑</v>
      </c>
    </row>
    <row r="185">
      <c r="A185" s="5" t="str">
        <f t="shared" si="1"/>
        <v>NAME_ABILITY_AERILATE</v>
      </c>
      <c r="B185" s="3" t="s">
        <v>21509</v>
      </c>
      <c r="C185" s="3" t="s">
        <v>21510</v>
      </c>
      <c r="D185" s="3" t="s">
        <v>21511</v>
      </c>
      <c r="E185" s="3" t="s">
        <v>21512</v>
      </c>
      <c r="F185" s="3" t="s">
        <v>21513</v>
      </c>
      <c r="G185" s="3" t="s">
        <v>21514</v>
      </c>
      <c r="H185" s="3" t="s">
        <v>21515</v>
      </c>
      <c r="I185" s="3" t="s">
        <v>21516</v>
      </c>
      <c r="J185" s="5" t="str">
        <f>IFERROR(__xludf.DUMMYFUNCTION("GOOGLETRANSLATE(I185,""zh_HANT"",""zh_HANS"")"),"飞行皮肤")</f>
        <v>飞行皮肤</v>
      </c>
    </row>
    <row r="186">
      <c r="A186" s="5" t="str">
        <f t="shared" si="1"/>
        <v>NAME_ABILITY_PARENTALBOND</v>
      </c>
      <c r="B186" s="3" t="s">
        <v>21517</v>
      </c>
      <c r="C186" s="3" t="s">
        <v>21518</v>
      </c>
      <c r="D186" s="3" t="s">
        <v>21519</v>
      </c>
      <c r="E186" s="3" t="s">
        <v>21520</v>
      </c>
      <c r="F186" s="3" t="s">
        <v>21521</v>
      </c>
      <c r="G186" s="3" t="s">
        <v>21522</v>
      </c>
      <c r="H186" s="3" t="s">
        <v>21523</v>
      </c>
      <c r="I186" s="3" t="s">
        <v>21524</v>
      </c>
      <c r="J186" s="5" t="str">
        <f>IFERROR(__xludf.DUMMYFUNCTION("GOOGLETRANSLATE(I186,""zh_HANT"",""zh_HANS"")"),"亲子爱")</f>
        <v>亲子爱</v>
      </c>
    </row>
    <row r="187">
      <c r="A187" s="5" t="str">
        <f t="shared" si="1"/>
        <v>NAME_ABILITY_DARKAURA</v>
      </c>
      <c r="B187" s="3" t="s">
        <v>21525</v>
      </c>
      <c r="C187" s="3" t="s">
        <v>21526</v>
      </c>
      <c r="D187" s="3" t="s">
        <v>21527</v>
      </c>
      <c r="E187" s="3" t="s">
        <v>21528</v>
      </c>
      <c r="F187" s="3" t="s">
        <v>21529</v>
      </c>
      <c r="G187" s="3" t="s">
        <v>21530</v>
      </c>
      <c r="H187" s="3" t="s">
        <v>21531</v>
      </c>
      <c r="I187" s="3" t="s">
        <v>21532</v>
      </c>
      <c r="J187" s="5" t="str">
        <f>IFERROR(__xludf.DUMMYFUNCTION("GOOGLETRANSLATE(I187,""zh_HANT"",""zh_HANS"")"),"暗黑气场")</f>
        <v>暗黑气场</v>
      </c>
    </row>
    <row r="188">
      <c r="A188" s="5" t="str">
        <f t="shared" si="1"/>
        <v>NAME_ABILITY_FAIRYAURA</v>
      </c>
      <c r="B188" s="3" t="s">
        <v>21533</v>
      </c>
      <c r="C188" s="3" t="s">
        <v>21534</v>
      </c>
      <c r="D188" s="3" t="s">
        <v>21535</v>
      </c>
      <c r="E188" s="3" t="s">
        <v>21536</v>
      </c>
      <c r="F188" s="3" t="s">
        <v>21537</v>
      </c>
      <c r="G188" s="3" t="s">
        <v>21538</v>
      </c>
      <c r="H188" s="3" t="s">
        <v>21539</v>
      </c>
      <c r="I188" s="3" t="s">
        <v>21540</v>
      </c>
      <c r="J188" s="5" t="str">
        <f>IFERROR(__xludf.DUMMYFUNCTION("GOOGLETRANSLATE(I188,""zh_HANT"",""zh_HANS"")"),"妖精气场")</f>
        <v>妖精气场</v>
      </c>
    </row>
    <row r="189">
      <c r="A189" s="5" t="str">
        <f t="shared" si="1"/>
        <v>NAME_ABILITY_AURABREAK</v>
      </c>
      <c r="B189" s="3" t="s">
        <v>21541</v>
      </c>
      <c r="C189" s="3" t="s">
        <v>21542</v>
      </c>
      <c r="D189" s="3" t="s">
        <v>21543</v>
      </c>
      <c r="E189" s="3" t="s">
        <v>21544</v>
      </c>
      <c r="F189" s="3" t="s">
        <v>21545</v>
      </c>
      <c r="G189" s="3" t="s">
        <v>21546</v>
      </c>
      <c r="H189" s="3" t="s">
        <v>21547</v>
      </c>
      <c r="I189" s="3" t="s">
        <v>21548</v>
      </c>
      <c r="J189" s="5" t="str">
        <f>IFERROR(__xludf.DUMMYFUNCTION("GOOGLETRANSLATE(I189,""zh_HANT"",""zh_HANS"")"),"气场破坏")</f>
        <v>气场破坏</v>
      </c>
    </row>
    <row r="190">
      <c r="A190" s="5" t="str">
        <f t="shared" si="1"/>
        <v>NAME_ABILITY_PRIMORDIALSEA</v>
      </c>
      <c r="B190" s="3" t="s">
        <v>21549</v>
      </c>
      <c r="C190" s="3" t="s">
        <v>21550</v>
      </c>
      <c r="D190" s="3" t="s">
        <v>21551</v>
      </c>
      <c r="E190" s="3" t="s">
        <v>21552</v>
      </c>
      <c r="F190" s="3" t="s">
        <v>21553</v>
      </c>
      <c r="G190" s="3" t="s">
        <v>21554</v>
      </c>
      <c r="H190" s="3" t="s">
        <v>21555</v>
      </c>
      <c r="I190" s="3" t="s">
        <v>21556</v>
      </c>
      <c r="J190" s="5" t="str">
        <f>I190</f>
        <v>始源之海</v>
      </c>
    </row>
    <row r="191">
      <c r="A191" s="5" t="str">
        <f t="shared" si="1"/>
        <v>NAME_ABILITY_DESOLATELAND</v>
      </c>
      <c r="B191" s="3" t="s">
        <v>21557</v>
      </c>
      <c r="C191" s="3" t="s">
        <v>21558</v>
      </c>
      <c r="D191" s="3" t="s">
        <v>21559</v>
      </c>
      <c r="E191" s="3" t="s">
        <v>21560</v>
      </c>
      <c r="F191" s="3" t="s">
        <v>21561</v>
      </c>
      <c r="G191" s="3" t="s">
        <v>21562</v>
      </c>
      <c r="H191" s="3" t="s">
        <v>21563</v>
      </c>
      <c r="I191" s="3" t="s">
        <v>21564</v>
      </c>
      <c r="J191" s="5" t="str">
        <f>IFERROR(__xludf.DUMMYFUNCTION("GOOGLETRANSLATE(I191,""zh_HANT"",""zh_HANS"")"),"终结之地")</f>
        <v>终结之地</v>
      </c>
    </row>
    <row r="192">
      <c r="A192" s="5" t="str">
        <f t="shared" si="1"/>
        <v>NAME_ABILITY_DELTASTREAM</v>
      </c>
      <c r="B192" s="3" t="s">
        <v>21565</v>
      </c>
      <c r="C192" s="3" t="s">
        <v>21566</v>
      </c>
      <c r="D192" s="3" t="s">
        <v>21567</v>
      </c>
      <c r="E192" s="3" t="s">
        <v>21568</v>
      </c>
      <c r="F192" s="3" t="s">
        <v>21569</v>
      </c>
      <c r="G192" s="3" t="s">
        <v>21570</v>
      </c>
      <c r="H192" s="3" t="s">
        <v>21571</v>
      </c>
      <c r="I192" s="3" t="s">
        <v>21572</v>
      </c>
      <c r="J192" s="5" t="str">
        <f>IFERROR(__xludf.DUMMYFUNCTION("GOOGLETRANSLATE(I192,""zh_HANT"",""zh_HANS"")"),"德尔塔气流")</f>
        <v>德尔塔气流</v>
      </c>
    </row>
    <row r="193">
      <c r="A193" s="5" t="str">
        <f t="shared" si="1"/>
        <v>NAME_ABILITY_STAMINA</v>
      </c>
      <c r="B193" s="3" t="s">
        <v>21573</v>
      </c>
      <c r="C193" s="3" t="s">
        <v>21574</v>
      </c>
      <c r="D193" s="3" t="s">
        <v>9288</v>
      </c>
      <c r="E193" s="3" t="s">
        <v>21575</v>
      </c>
      <c r="F193" s="3" t="s">
        <v>21576</v>
      </c>
      <c r="G193" s="3" t="s">
        <v>21577</v>
      </c>
      <c r="H193" s="3" t="s">
        <v>21578</v>
      </c>
      <c r="I193" s="3" t="s">
        <v>21579</v>
      </c>
      <c r="J193" s="5" t="str">
        <f>I193</f>
        <v>持久力</v>
      </c>
    </row>
    <row r="194">
      <c r="A194" s="5" t="str">
        <f t="shared" si="1"/>
        <v>NAME_ABILITY_WIMPOUT</v>
      </c>
      <c r="B194" s="3" t="s">
        <v>21580</v>
      </c>
      <c r="C194" s="3" t="s">
        <v>21581</v>
      </c>
      <c r="D194" s="3" t="s">
        <v>21582</v>
      </c>
      <c r="E194" s="3" t="s">
        <v>21583</v>
      </c>
      <c r="F194" s="3" t="s">
        <v>21584</v>
      </c>
      <c r="G194" s="3" t="s">
        <v>21585</v>
      </c>
      <c r="H194" s="3" t="s">
        <v>21586</v>
      </c>
      <c r="I194" s="3" t="s">
        <v>21587</v>
      </c>
      <c r="J194" s="5" t="str">
        <f>IFERROR(__xludf.DUMMYFUNCTION("GOOGLETRANSLATE(I194,""zh_HANT"",""zh_HANS"")"),"跃跃欲逃")</f>
        <v>跃跃欲逃</v>
      </c>
    </row>
    <row r="195">
      <c r="A195" s="5" t="str">
        <f t="shared" si="1"/>
        <v>NAME_ABILITY_EMERGENCYEXIT</v>
      </c>
      <c r="B195" s="3" t="s">
        <v>21588</v>
      </c>
      <c r="C195" s="3" t="s">
        <v>21589</v>
      </c>
      <c r="D195" s="3" t="s">
        <v>21590</v>
      </c>
      <c r="E195" s="3" t="s">
        <v>21591</v>
      </c>
      <c r="F195" s="3" t="s">
        <v>21592</v>
      </c>
      <c r="G195" s="3" t="s">
        <v>21593</v>
      </c>
      <c r="H195" s="3" t="s">
        <v>21594</v>
      </c>
      <c r="I195" s="3" t="s">
        <v>21595</v>
      </c>
      <c r="J195" s="5" t="str">
        <f>IFERROR(__xludf.DUMMYFUNCTION("GOOGLETRANSLATE(I195,""zh_HANT"",""zh_HANS"")"),"危险回避")</f>
        <v>危险回避</v>
      </c>
    </row>
    <row r="196">
      <c r="A196" s="5" t="str">
        <f t="shared" si="1"/>
        <v>NAME_ABILITY_WATERCOMPACTION</v>
      </c>
      <c r="B196" s="3" t="s">
        <v>21596</v>
      </c>
      <c r="C196" s="3" t="s">
        <v>21597</v>
      </c>
      <c r="D196" s="3" t="s">
        <v>21598</v>
      </c>
      <c r="E196" s="3" t="s">
        <v>21599</v>
      </c>
      <c r="F196" s="3" t="s">
        <v>21600</v>
      </c>
      <c r="G196" s="3" t="s">
        <v>21601</v>
      </c>
      <c r="H196" s="3" t="s">
        <v>21602</v>
      </c>
      <c r="I196" s="3" t="s">
        <v>21603</v>
      </c>
      <c r="J196" s="5" t="str">
        <f>I196</f>
        <v>遇水凝固</v>
      </c>
    </row>
    <row r="197">
      <c r="A197" s="5" t="str">
        <f t="shared" si="1"/>
        <v>NAME_ABILITY_MERCILESS</v>
      </c>
      <c r="B197" s="3" t="s">
        <v>21604</v>
      </c>
      <c r="C197" s="3" t="s">
        <v>21605</v>
      </c>
      <c r="D197" s="3" t="s">
        <v>21606</v>
      </c>
      <c r="E197" s="3" t="s">
        <v>21607</v>
      </c>
      <c r="F197" s="3" t="s">
        <v>21608</v>
      </c>
      <c r="G197" s="3" t="s">
        <v>21609</v>
      </c>
      <c r="H197" s="3" t="s">
        <v>21610</v>
      </c>
      <c r="I197" s="3" t="s">
        <v>21611</v>
      </c>
      <c r="J197" s="5" t="str">
        <f>IFERROR(__xludf.DUMMYFUNCTION("GOOGLETRANSLATE(I197,""zh_HANT"",""zh_HANS"")"),"不仁不义")</f>
        <v>不仁不义</v>
      </c>
    </row>
    <row r="198">
      <c r="A198" s="5" t="str">
        <f t="shared" si="1"/>
        <v>NAME_ABILITY_SHIELDSDOWN</v>
      </c>
      <c r="B198" s="3" t="s">
        <v>21612</v>
      </c>
      <c r="C198" s="3" t="s">
        <v>21613</v>
      </c>
      <c r="D198" s="3" t="s">
        <v>21614</v>
      </c>
      <c r="E198" s="3" t="s">
        <v>21615</v>
      </c>
      <c r="F198" s="3" t="s">
        <v>21616</v>
      </c>
      <c r="G198" s="3" t="s">
        <v>21617</v>
      </c>
      <c r="H198" s="3" t="s">
        <v>21618</v>
      </c>
      <c r="I198" s="3" t="s">
        <v>21619</v>
      </c>
      <c r="J198" s="5" t="str">
        <f>IFERROR(__xludf.DUMMYFUNCTION("GOOGLETRANSLATE(I198,""zh_HANT"",""zh_HANS"")"),"界限盾壳")</f>
        <v>界限盾壳</v>
      </c>
    </row>
    <row r="199">
      <c r="A199" s="5" t="str">
        <f t="shared" si="1"/>
        <v>NAME_ABILITY_STAKEOUT</v>
      </c>
      <c r="B199" s="3" t="s">
        <v>21620</v>
      </c>
      <c r="C199" s="3" t="s">
        <v>21621</v>
      </c>
      <c r="D199" s="3" t="s">
        <v>21622</v>
      </c>
      <c r="E199" s="3" t="s">
        <v>21623</v>
      </c>
      <c r="F199" s="3" t="s">
        <v>21624</v>
      </c>
      <c r="G199" s="3" t="s">
        <v>21625</v>
      </c>
      <c r="H199" s="3" t="s">
        <v>21626</v>
      </c>
      <c r="I199" s="3" t="s">
        <v>21627</v>
      </c>
      <c r="J199" s="3" t="s">
        <v>21628</v>
      </c>
    </row>
    <row r="200">
      <c r="A200" s="5" t="str">
        <f t="shared" si="1"/>
        <v>NAME_ABILITY_WATERBUBBLE</v>
      </c>
      <c r="B200" s="3" t="s">
        <v>21629</v>
      </c>
      <c r="C200" s="3" t="s">
        <v>21630</v>
      </c>
      <c r="D200" s="3" t="s">
        <v>21631</v>
      </c>
      <c r="E200" s="3" t="s">
        <v>21632</v>
      </c>
      <c r="F200" s="3" t="s">
        <v>21633</v>
      </c>
      <c r="G200" s="3" t="s">
        <v>21634</v>
      </c>
      <c r="H200" s="3" t="s">
        <v>21635</v>
      </c>
      <c r="I200" s="3" t="s">
        <v>21636</v>
      </c>
      <c r="J200" s="5" t="str">
        <f>I200</f>
        <v>水泡</v>
      </c>
    </row>
    <row r="201">
      <c r="A201" s="5" t="str">
        <f t="shared" si="1"/>
        <v>NAME_ABILITY_STEELWORKER</v>
      </c>
      <c r="B201" s="3" t="s">
        <v>21637</v>
      </c>
      <c r="C201" s="3" t="s">
        <v>21638</v>
      </c>
      <c r="D201" s="3" t="s">
        <v>21639</v>
      </c>
      <c r="E201" s="3" t="s">
        <v>21640</v>
      </c>
      <c r="F201" s="3" t="s">
        <v>21641</v>
      </c>
      <c r="G201" s="3" t="s">
        <v>21642</v>
      </c>
      <c r="H201" s="3" t="s">
        <v>21643</v>
      </c>
      <c r="I201" s="3" t="s">
        <v>21644</v>
      </c>
      <c r="J201" s="5" t="str">
        <f>IFERROR(__xludf.DUMMYFUNCTION("GOOGLETRANSLATE(I201,""zh_HANT"",""zh_HANS"")"),"钢能力者")</f>
        <v>钢能力者</v>
      </c>
    </row>
    <row r="202">
      <c r="A202" s="5" t="str">
        <f t="shared" si="1"/>
        <v>NAME_ABILITY_BERSERK</v>
      </c>
      <c r="B202" s="3" t="s">
        <v>21645</v>
      </c>
      <c r="C202" s="3" t="s">
        <v>21646</v>
      </c>
      <c r="D202" s="3" t="s">
        <v>21647</v>
      </c>
      <c r="E202" s="3" t="s">
        <v>21648</v>
      </c>
      <c r="F202" s="3" t="s">
        <v>21649</v>
      </c>
      <c r="G202" s="3" t="s">
        <v>21650</v>
      </c>
      <c r="H202" s="3" t="s">
        <v>21651</v>
      </c>
      <c r="I202" s="3" t="s">
        <v>21652</v>
      </c>
      <c r="J202" s="5" t="str">
        <f>IFERROR(__xludf.DUMMYFUNCTION("GOOGLETRANSLATE(I202,""zh_HANT"",""zh_HANS"")"),"怒火冲天")</f>
        <v>怒火冲天</v>
      </c>
    </row>
    <row r="203">
      <c r="A203" s="5" t="str">
        <f t="shared" si="1"/>
        <v>NAME_ABILITY_SLUSHRUSH</v>
      </c>
      <c r="B203" s="3" t="s">
        <v>21653</v>
      </c>
      <c r="C203" s="3" t="s">
        <v>21654</v>
      </c>
      <c r="D203" s="3" t="s">
        <v>21655</v>
      </c>
      <c r="E203" s="3" t="s">
        <v>21656</v>
      </c>
      <c r="F203" s="3" t="s">
        <v>21657</v>
      </c>
      <c r="G203" s="3" t="s">
        <v>21658</v>
      </c>
      <c r="H203" s="3" t="s">
        <v>21659</v>
      </c>
      <c r="I203" s="3" t="s">
        <v>21660</v>
      </c>
      <c r="J203" s="5" t="str">
        <f>IFERROR(__xludf.DUMMYFUNCTION("GOOGLETRANSLATE(I203,""zh_HANT"",""zh_HANS"")"),"拨雪")</f>
        <v>拨雪</v>
      </c>
    </row>
    <row r="204">
      <c r="A204" s="5" t="str">
        <f t="shared" si="1"/>
        <v>NAME_ABILITY_LONGREACH</v>
      </c>
      <c r="B204" s="3" t="s">
        <v>21661</v>
      </c>
      <c r="C204" s="3" t="s">
        <v>21662</v>
      </c>
      <c r="D204" s="3" t="s">
        <v>21663</v>
      </c>
      <c r="E204" s="3" t="s">
        <v>21664</v>
      </c>
      <c r="F204" s="3" t="s">
        <v>21665</v>
      </c>
      <c r="G204" s="3" t="s">
        <v>21666</v>
      </c>
      <c r="H204" s="3" t="s">
        <v>21667</v>
      </c>
      <c r="I204" s="3" t="s">
        <v>21668</v>
      </c>
      <c r="J204" s="5" t="str">
        <f>IFERROR(__xludf.DUMMYFUNCTION("GOOGLETRANSLATE(I204,""zh_HANT"",""zh_HANS"")"),"远隔")</f>
        <v>远隔</v>
      </c>
    </row>
    <row r="205">
      <c r="A205" s="5" t="str">
        <f t="shared" si="1"/>
        <v>NAME_ABILITY_LIQUIDVOICE</v>
      </c>
      <c r="B205" s="3" t="s">
        <v>21669</v>
      </c>
      <c r="C205" s="3" t="s">
        <v>21670</v>
      </c>
      <c r="D205" s="3" t="s">
        <v>21671</v>
      </c>
      <c r="E205" s="3" t="s">
        <v>21672</v>
      </c>
      <c r="F205" s="3" t="s">
        <v>21673</v>
      </c>
      <c r="G205" s="3" t="s">
        <v>21674</v>
      </c>
      <c r="H205" s="3" t="s">
        <v>21675</v>
      </c>
      <c r="I205" s="3" t="s">
        <v>21676</v>
      </c>
      <c r="J205" s="5" t="str">
        <f>IFERROR(__xludf.DUMMYFUNCTION("GOOGLETRANSLATE(I205,""zh_HANT"",""zh_HANS"")"),"湿润之声")</f>
        <v>湿润之声</v>
      </c>
    </row>
    <row r="206">
      <c r="A206" s="5" t="str">
        <f t="shared" si="1"/>
        <v>NAME_ABILITY_TRIAGE</v>
      </c>
      <c r="B206" s="3" t="s">
        <v>21677</v>
      </c>
      <c r="C206" s="3" t="s">
        <v>21678</v>
      </c>
      <c r="D206" s="3" t="s">
        <v>21679</v>
      </c>
      <c r="E206" s="3" t="s">
        <v>21680</v>
      </c>
      <c r="F206" s="3" t="s">
        <v>21681</v>
      </c>
      <c r="G206" s="3" t="s">
        <v>21682</v>
      </c>
      <c r="H206" s="3" t="s">
        <v>21683</v>
      </c>
      <c r="I206" s="3" t="s">
        <v>21684</v>
      </c>
      <c r="J206" s="5" t="str">
        <f>IFERROR(__xludf.DUMMYFUNCTION("GOOGLETRANSLATE(I206,""zh_HANT"",""zh_HANS"")"),"先行治疗")</f>
        <v>先行治疗</v>
      </c>
    </row>
    <row r="207">
      <c r="A207" s="5" t="str">
        <f t="shared" si="1"/>
        <v>NAME_ABILITY_GALVANIZE</v>
      </c>
      <c r="B207" s="3" t="s">
        <v>21685</v>
      </c>
      <c r="C207" s="3" t="s">
        <v>21686</v>
      </c>
      <c r="D207" s="3" t="s">
        <v>21687</v>
      </c>
      <c r="E207" s="3" t="s">
        <v>21688</v>
      </c>
      <c r="F207" s="3" t="s">
        <v>21689</v>
      </c>
      <c r="G207" s="3" t="s">
        <v>21690</v>
      </c>
      <c r="H207" s="3" t="s">
        <v>21691</v>
      </c>
      <c r="I207" s="3" t="s">
        <v>21692</v>
      </c>
      <c r="J207" s="5" t="str">
        <f>IFERROR(__xludf.DUMMYFUNCTION("GOOGLETRANSLATE(I207,""zh_HANT"",""zh_HANS"")"),"电气皮肤")</f>
        <v>电气皮肤</v>
      </c>
    </row>
    <row r="208">
      <c r="A208" s="5" t="str">
        <f t="shared" si="1"/>
        <v>NAME_ABILITY_SURGESURFER</v>
      </c>
      <c r="B208" s="3" t="s">
        <v>21693</v>
      </c>
      <c r="C208" s="3" t="s">
        <v>21694</v>
      </c>
      <c r="D208" s="3" t="s">
        <v>21695</v>
      </c>
      <c r="E208" s="3" t="s">
        <v>21696</v>
      </c>
      <c r="F208" s="3" t="s">
        <v>21697</v>
      </c>
      <c r="G208" s="3" t="s">
        <v>21698</v>
      </c>
      <c r="H208" s="3" t="s">
        <v>21699</v>
      </c>
      <c r="I208" s="3" t="s">
        <v>21700</v>
      </c>
      <c r="J208" s="5" t="str">
        <f>IFERROR(__xludf.DUMMYFUNCTION("GOOGLETRANSLATE(I208,""zh_HANT"",""zh_HANS"")"),"冲浪之尾")</f>
        <v>冲浪之尾</v>
      </c>
    </row>
    <row r="209">
      <c r="A209" s="5" t="str">
        <f t="shared" si="1"/>
        <v>NAME_ABILITY_SCHOOLING</v>
      </c>
      <c r="B209" s="3" t="s">
        <v>21701</v>
      </c>
      <c r="C209" s="3" t="s">
        <v>21702</v>
      </c>
      <c r="D209" s="3" t="s">
        <v>21703</v>
      </c>
      <c r="E209" s="3" t="s">
        <v>21704</v>
      </c>
      <c r="F209" s="3" t="s">
        <v>21705</v>
      </c>
      <c r="G209" s="5" t="str">
        <f>F209</f>
        <v>Banco</v>
      </c>
      <c r="H209" s="3" t="s">
        <v>21706</v>
      </c>
      <c r="I209" s="3" t="s">
        <v>21707</v>
      </c>
      <c r="J209" s="5" t="str">
        <f>IFERROR(__xludf.DUMMYFUNCTION("GOOGLETRANSLATE(I209,""zh_HANT"",""zh_HANS"")"),"鱼群")</f>
        <v>鱼群</v>
      </c>
    </row>
    <row r="210">
      <c r="A210" s="5" t="str">
        <f t="shared" si="1"/>
        <v>NAME_ABILITY_DISGUISE</v>
      </c>
      <c r="B210" s="3" t="s">
        <v>21708</v>
      </c>
      <c r="C210" s="3" t="s">
        <v>21709</v>
      </c>
      <c r="D210" s="3" t="s">
        <v>21710</v>
      </c>
      <c r="E210" s="3" t="s">
        <v>21711</v>
      </c>
      <c r="F210" s="3" t="s">
        <v>21712</v>
      </c>
      <c r="G210" s="3" t="s">
        <v>21713</v>
      </c>
      <c r="H210" s="3" t="s">
        <v>21714</v>
      </c>
      <c r="I210" s="3" t="s">
        <v>21715</v>
      </c>
      <c r="J210" s="5" t="str">
        <f>IFERROR(__xludf.DUMMYFUNCTION("GOOGLETRANSLATE(I210,""zh_HANT"",""zh_HANS"")"),"画皮")</f>
        <v>画皮</v>
      </c>
    </row>
    <row r="211">
      <c r="A211" s="5" t="str">
        <f t="shared" si="1"/>
        <v>NAME_ABILITY_BATTLEBOND</v>
      </c>
      <c r="B211" s="3" t="s">
        <v>21716</v>
      </c>
      <c r="C211" s="3" t="s">
        <v>21717</v>
      </c>
      <c r="D211" s="3" t="s">
        <v>21718</v>
      </c>
      <c r="E211" s="3" t="s">
        <v>21719</v>
      </c>
      <c r="F211" s="3" t="s">
        <v>21720</v>
      </c>
      <c r="G211" s="3" t="s">
        <v>21721</v>
      </c>
      <c r="H211" s="3" t="s">
        <v>21722</v>
      </c>
      <c r="I211" s="3" t="s">
        <v>21723</v>
      </c>
      <c r="J211" s="5" t="str">
        <f>IFERROR(__xludf.DUMMYFUNCTION("GOOGLETRANSLATE(I211,""zh_HANT"",""zh_HANS"")"),"牵绊变身")</f>
        <v>牵绊变身</v>
      </c>
    </row>
    <row r="212">
      <c r="A212" s="5" t="str">
        <f t="shared" si="1"/>
        <v>NAME_ABILITY_POWERCONSTRUCT</v>
      </c>
      <c r="B212" s="3" t="s">
        <v>21724</v>
      </c>
      <c r="C212" s="3" t="s">
        <v>21725</v>
      </c>
      <c r="D212" s="3" t="s">
        <v>21726</v>
      </c>
      <c r="E212" s="3" t="s">
        <v>21727</v>
      </c>
      <c r="F212" s="3" t="s">
        <v>21728</v>
      </c>
      <c r="G212" s="3" t="s">
        <v>21729</v>
      </c>
      <c r="H212" s="3" t="s">
        <v>21730</v>
      </c>
      <c r="I212" s="3" t="s">
        <v>21731</v>
      </c>
      <c r="J212" s="5" t="str">
        <f>IFERROR(__xludf.DUMMYFUNCTION("GOOGLETRANSLATE(I212,""zh_HANT"",""zh_HANS"")"),"群聚变形")</f>
        <v>群聚变形</v>
      </c>
    </row>
    <row r="213">
      <c r="A213" s="5" t="str">
        <f t="shared" si="1"/>
        <v>NAME_ABILITY_CORROSION</v>
      </c>
      <c r="B213" s="3" t="s">
        <v>21732</v>
      </c>
      <c r="C213" s="3" t="s">
        <v>21733</v>
      </c>
      <c r="D213" s="3" t="s">
        <v>21732</v>
      </c>
      <c r="E213" s="3" t="s">
        <v>21734</v>
      </c>
      <c r="F213" s="3" t="s">
        <v>21735</v>
      </c>
      <c r="G213" s="5" t="str">
        <f>CONCATENATE(B213,"e")</f>
        <v>Corrosione</v>
      </c>
      <c r="H213" s="3" t="s">
        <v>21736</v>
      </c>
      <c r="I213" s="3" t="s">
        <v>21737</v>
      </c>
      <c r="J213" s="5" t="str">
        <f>IFERROR(__xludf.DUMMYFUNCTION("GOOGLETRANSLATE(I213,""zh_HANT"",""zh_HANS"")"),"腐蚀")</f>
        <v>腐蚀</v>
      </c>
    </row>
    <row r="214">
      <c r="A214" s="5" t="str">
        <f t="shared" si="1"/>
        <v>NAME_ABILITY_COMATOSE</v>
      </c>
      <c r="B214" s="3" t="s">
        <v>21738</v>
      </c>
      <c r="C214" s="3" t="s">
        <v>21739</v>
      </c>
      <c r="D214" s="3" t="s">
        <v>21740</v>
      </c>
      <c r="E214" s="3" t="s">
        <v>21741</v>
      </c>
      <c r="F214" s="3" t="s">
        <v>21742</v>
      </c>
      <c r="G214" s="3" t="s">
        <v>21743</v>
      </c>
      <c r="H214" s="3" t="s">
        <v>21744</v>
      </c>
      <c r="I214" s="3" t="s">
        <v>21745</v>
      </c>
      <c r="J214" s="5" t="str">
        <f>IFERROR(__xludf.DUMMYFUNCTION("GOOGLETRANSLATE(I214,""zh_HANT"",""zh_HANS"")"),"绝对睡眠")</f>
        <v>绝对睡眠</v>
      </c>
    </row>
    <row r="215">
      <c r="A215" s="5" t="str">
        <f t="shared" si="1"/>
        <v>NAME_ABILITY_QUEENLYMAJESTY</v>
      </c>
      <c r="B215" s="3" t="s">
        <v>21746</v>
      </c>
      <c r="C215" s="3" t="s">
        <v>21747</v>
      </c>
      <c r="D215" s="3" t="s">
        <v>21748</v>
      </c>
      <c r="E215" s="3" t="s">
        <v>21749</v>
      </c>
      <c r="F215" s="3" t="s">
        <v>21750</v>
      </c>
      <c r="G215" s="3" t="s">
        <v>21751</v>
      </c>
      <c r="H215" s="3" t="s">
        <v>21752</v>
      </c>
      <c r="I215" s="3" t="s">
        <v>21753</v>
      </c>
      <c r="J215" s="5" t="str">
        <f>IFERROR(__xludf.DUMMYFUNCTION("GOOGLETRANSLATE(I215,""zh_HANT"",""zh_HANS"")"),"女王的威严")</f>
        <v>女王的威严</v>
      </c>
    </row>
    <row r="216">
      <c r="A216" s="5" t="str">
        <f t="shared" si="1"/>
        <v>NAME_ABILITY_INNARDSOUT</v>
      </c>
      <c r="B216" s="3" t="s">
        <v>21754</v>
      </c>
      <c r="C216" s="3" t="s">
        <v>21755</v>
      </c>
      <c r="D216" s="3" t="s">
        <v>21756</v>
      </c>
      <c r="E216" s="3" t="s">
        <v>21757</v>
      </c>
      <c r="F216" s="3" t="s">
        <v>21758</v>
      </c>
      <c r="G216" s="3" t="s">
        <v>21759</v>
      </c>
      <c r="H216" s="3" t="s">
        <v>21760</v>
      </c>
      <c r="I216" s="3" t="s">
        <v>21761</v>
      </c>
      <c r="J216" s="5" t="str">
        <f>IFERROR(__xludf.DUMMYFUNCTION("GOOGLETRANSLATE(I216,""zh_HANT"",""zh_HANS"")"),"飞出的内在物")</f>
        <v>飞出的内在物</v>
      </c>
    </row>
    <row r="217">
      <c r="A217" s="5" t="str">
        <f t="shared" si="1"/>
        <v>NAME_ABILITY_DANCER</v>
      </c>
      <c r="B217" s="3" t="s">
        <v>21762</v>
      </c>
      <c r="C217" s="3" t="s">
        <v>21763</v>
      </c>
      <c r="D217" s="3" t="s">
        <v>21764</v>
      </c>
      <c r="E217" s="3" t="s">
        <v>21765</v>
      </c>
      <c r="F217" s="3" t="s">
        <v>21766</v>
      </c>
      <c r="G217" s="3" t="s">
        <v>21767</v>
      </c>
      <c r="H217" s="3" t="s">
        <v>21768</v>
      </c>
      <c r="I217" s="3" t="s">
        <v>21769</v>
      </c>
      <c r="J217" s="5" t="str">
        <f>I217</f>
        <v>舞者</v>
      </c>
    </row>
    <row r="218">
      <c r="A218" s="5" t="str">
        <f t="shared" si="1"/>
        <v>NAME_ABILITY_BATTERY</v>
      </c>
      <c r="B218" s="3" t="s">
        <v>21770</v>
      </c>
      <c r="C218" s="3" t="s">
        <v>21771</v>
      </c>
      <c r="D218" s="3" t="s">
        <v>21772</v>
      </c>
      <c r="E218" s="5" t="str">
        <f>D218</f>
        <v>Batterie</v>
      </c>
      <c r="F218" s="3" t="s">
        <v>21773</v>
      </c>
      <c r="G218" s="5" t="str">
        <f>F218</f>
        <v>Batería</v>
      </c>
      <c r="H218" s="3" t="s">
        <v>21774</v>
      </c>
      <c r="I218" s="3" t="s">
        <v>21775</v>
      </c>
      <c r="J218" s="5" t="str">
        <f>IFERROR(__xludf.DUMMYFUNCTION("GOOGLETRANSLATE(I218,""zh_HANT"",""zh_HANS"")"),"蓄电池")</f>
        <v>蓄电池</v>
      </c>
    </row>
    <row r="219">
      <c r="A219" s="5" t="str">
        <f t="shared" si="1"/>
        <v>NAME_ABILITY_FLUFFY</v>
      </c>
      <c r="B219" s="3" t="s">
        <v>21776</v>
      </c>
      <c r="C219" s="3" t="s">
        <v>21777</v>
      </c>
      <c r="D219" s="3" t="s">
        <v>21778</v>
      </c>
      <c r="E219" s="3" t="s">
        <v>21779</v>
      </c>
      <c r="F219" s="3" t="s">
        <v>21780</v>
      </c>
      <c r="G219" s="3" t="s">
        <v>21781</v>
      </c>
      <c r="H219" s="3" t="s">
        <v>21782</v>
      </c>
      <c r="I219" s="3" t="s">
        <v>21783</v>
      </c>
      <c r="J219" s="5" t="str">
        <f>I219</f>
        <v>毛茸茸</v>
      </c>
    </row>
    <row r="220">
      <c r="A220" s="5" t="str">
        <f t="shared" si="1"/>
        <v>NAME_ABILITY_DAZZLING</v>
      </c>
      <c r="B220" s="3" t="s">
        <v>21784</v>
      </c>
      <c r="C220" s="3" t="s">
        <v>21785</v>
      </c>
      <c r="D220" s="3" t="s">
        <v>21786</v>
      </c>
      <c r="E220" s="3" t="s">
        <v>21787</v>
      </c>
      <c r="F220" s="3" t="s">
        <v>21788</v>
      </c>
      <c r="G220" s="3" t="s">
        <v>21789</v>
      </c>
      <c r="H220" s="3" t="s">
        <v>21790</v>
      </c>
      <c r="I220" s="3" t="s">
        <v>21791</v>
      </c>
      <c r="J220" s="5" t="str">
        <f>IFERROR(__xludf.DUMMYFUNCTION("GOOGLETRANSLATE(I220,""zh_HANT"",""zh_HANS"")"),"鲜艳之躯")</f>
        <v>鲜艳之躯</v>
      </c>
    </row>
    <row r="221">
      <c r="A221" s="5" t="str">
        <f t="shared" si="1"/>
        <v>NAME_ABILITY_SOUL-HEART</v>
      </c>
      <c r="B221" s="3" t="s">
        <v>21792</v>
      </c>
      <c r="C221" s="3" t="s">
        <v>21793</v>
      </c>
      <c r="D221" s="3" t="s">
        <v>21794</v>
      </c>
      <c r="E221" s="3" t="s">
        <v>21795</v>
      </c>
      <c r="F221" s="3" t="s">
        <v>21796</v>
      </c>
      <c r="G221" s="3" t="s">
        <v>21797</v>
      </c>
      <c r="H221" s="3" t="s">
        <v>21798</v>
      </c>
      <c r="I221" s="3" t="s">
        <v>21799</v>
      </c>
      <c r="J221" s="5" t="str">
        <f>I221</f>
        <v>魂心</v>
      </c>
    </row>
    <row r="222">
      <c r="A222" s="5" t="str">
        <f t="shared" si="1"/>
        <v>NAME_ABILITY_TANGLINGHAIR</v>
      </c>
      <c r="B222" s="3" t="s">
        <v>21800</v>
      </c>
      <c r="C222" s="3" t="s">
        <v>21801</v>
      </c>
      <c r="D222" s="3" t="s">
        <v>21802</v>
      </c>
      <c r="E222" s="3" t="s">
        <v>21803</v>
      </c>
      <c r="F222" s="3" t="s">
        <v>21804</v>
      </c>
      <c r="G222" s="3" t="s">
        <v>21805</v>
      </c>
      <c r="H222" s="3" t="s">
        <v>21806</v>
      </c>
      <c r="I222" s="3" t="s">
        <v>21807</v>
      </c>
      <c r="J222" s="5" t="str">
        <f>IFERROR(__xludf.DUMMYFUNCTION("GOOGLETRANSLATE(I222,""zh_HANT"",""zh_HANS"")"),"卷发")</f>
        <v>卷发</v>
      </c>
    </row>
    <row r="223">
      <c r="A223" s="5" t="str">
        <f t="shared" si="1"/>
        <v>NAME_ABILITY_RECEIVER</v>
      </c>
      <c r="B223" s="3" t="s">
        <v>21808</v>
      </c>
      <c r="C223" s="3" t="s">
        <v>21809</v>
      </c>
      <c r="D223" s="3" t="s">
        <v>21810</v>
      </c>
      <c r="E223" s="5" t="str">
        <f>B223</f>
        <v>Receiver</v>
      </c>
      <c r="F223" s="3" t="s">
        <v>21811</v>
      </c>
      <c r="G223" s="3" t="s">
        <v>21812</v>
      </c>
      <c r="H223" s="3" t="s">
        <v>21813</v>
      </c>
      <c r="I223" s="3" t="s">
        <v>21814</v>
      </c>
      <c r="J223" s="5" t="str">
        <f>I223</f>
        <v>接球手</v>
      </c>
    </row>
    <row r="224">
      <c r="A224" s="5" t="str">
        <f t="shared" si="1"/>
        <v>NAME_ABILITY_POWEROFALCHEMY</v>
      </c>
      <c r="B224" s="3" t="s">
        <v>21815</v>
      </c>
      <c r="C224" s="3" t="s">
        <v>21816</v>
      </c>
      <c r="D224" s="3" t="s">
        <v>21817</v>
      </c>
      <c r="E224" s="3" t="s">
        <v>21818</v>
      </c>
      <c r="F224" s="3" t="s">
        <v>21819</v>
      </c>
      <c r="G224" s="3" t="s">
        <v>21820</v>
      </c>
      <c r="H224" s="3" t="s">
        <v>21821</v>
      </c>
      <c r="I224" s="3" t="s">
        <v>21822</v>
      </c>
      <c r="J224" s="5" t="str">
        <f>IFERROR(__xludf.DUMMYFUNCTION("GOOGLETRANSLATE(I224,""zh_HANT"",""zh_HANS"")"),"化学之力")</f>
        <v>化学之力</v>
      </c>
    </row>
    <row r="225">
      <c r="A225" s="5" t="str">
        <f t="shared" si="1"/>
        <v>NAME_ABILITY_BEASTBOOST</v>
      </c>
      <c r="B225" s="3" t="s">
        <v>21823</v>
      </c>
      <c r="C225" s="3" t="s">
        <v>21824</v>
      </c>
      <c r="D225" s="3" t="s">
        <v>21825</v>
      </c>
      <c r="E225" s="3" t="s">
        <v>21826</v>
      </c>
      <c r="F225" s="3" t="s">
        <v>21827</v>
      </c>
      <c r="G225" s="3" t="s">
        <v>21828</v>
      </c>
      <c r="H225" s="3" t="s">
        <v>21829</v>
      </c>
      <c r="I225" s="3" t="s">
        <v>21830</v>
      </c>
      <c r="J225" s="5" t="str">
        <f>IFERROR(__xludf.DUMMYFUNCTION("GOOGLETRANSLATE(I225,""zh_HANT"",""zh_HANS"")"),"异兽提升")</f>
        <v>异兽提升</v>
      </c>
    </row>
    <row r="226">
      <c r="A226" s="5" t="str">
        <f t="shared" si="1"/>
        <v>NAME_ABILITY_RKSSYSTEM</v>
      </c>
      <c r="B226" s="3" t="s">
        <v>21831</v>
      </c>
      <c r="C226" s="3" t="s">
        <v>21832</v>
      </c>
      <c r="D226" s="3" t="s">
        <v>21833</v>
      </c>
      <c r="E226" s="3" t="s">
        <v>21834</v>
      </c>
      <c r="F226" s="3" t="s">
        <v>21835</v>
      </c>
      <c r="G226" s="3" t="s">
        <v>21836</v>
      </c>
      <c r="H226" s="3" t="s">
        <v>21837</v>
      </c>
      <c r="I226" s="3" t="s">
        <v>21838</v>
      </c>
      <c r="J226" s="5" t="str">
        <f>IFERROR(__xludf.DUMMYFUNCTION("GOOGLETRANSLATE(I226,""zh_HANT"",""zh_HANS"")"),"ＡＲ系统")</f>
        <v>ＡＲ系统</v>
      </c>
    </row>
    <row r="227">
      <c r="A227" s="5" t="str">
        <f t="shared" si="1"/>
        <v>NAME_ABILITY_ELECTRICSURGE</v>
      </c>
      <c r="B227" s="3" t="s">
        <v>21839</v>
      </c>
      <c r="C227" s="3" t="s">
        <v>21840</v>
      </c>
      <c r="D227" s="3" t="s">
        <v>21841</v>
      </c>
      <c r="E227" s="3" t="s">
        <v>21842</v>
      </c>
      <c r="F227" s="3" t="s">
        <v>21843</v>
      </c>
      <c r="G227" s="3" t="s">
        <v>21844</v>
      </c>
      <c r="H227" s="3" t="s">
        <v>21845</v>
      </c>
      <c r="I227" s="3" t="s">
        <v>21846</v>
      </c>
      <c r="J227" s="5" t="str">
        <f>IFERROR(__xludf.DUMMYFUNCTION("GOOGLETRANSLATE(I227,""zh_HANT"",""zh_HANS"")"),"电气制造者")</f>
        <v>电气制造者</v>
      </c>
    </row>
    <row r="228">
      <c r="A228" s="5" t="str">
        <f t="shared" si="1"/>
        <v>NAME_ABILITY_PSYCHICSURGE</v>
      </c>
      <c r="B228" s="3" t="s">
        <v>21847</v>
      </c>
      <c r="C228" s="3" t="s">
        <v>21848</v>
      </c>
      <c r="D228" s="3" t="s">
        <v>21849</v>
      </c>
      <c r="E228" s="3" t="s">
        <v>21850</v>
      </c>
      <c r="F228" s="3" t="s">
        <v>21851</v>
      </c>
      <c r="G228" s="3" t="s">
        <v>21852</v>
      </c>
      <c r="H228" s="3" t="s">
        <v>21853</v>
      </c>
      <c r="I228" s="3" t="s">
        <v>21854</v>
      </c>
      <c r="J228" s="5" t="str">
        <f>IFERROR(__xludf.DUMMYFUNCTION("GOOGLETRANSLATE(I228,""zh_HANT"",""zh_HANS"")"),"精神制造者")</f>
        <v>精神制造者</v>
      </c>
    </row>
    <row r="229">
      <c r="A229" s="5" t="str">
        <f t="shared" si="1"/>
        <v>NAME_ABILITY_MISTYSURGE</v>
      </c>
      <c r="B229" s="3" t="s">
        <v>21855</v>
      </c>
      <c r="C229" s="3" t="s">
        <v>21856</v>
      </c>
      <c r="D229" s="3" t="s">
        <v>21857</v>
      </c>
      <c r="E229" s="3" t="s">
        <v>21858</v>
      </c>
      <c r="F229" s="3" t="s">
        <v>21859</v>
      </c>
      <c r="G229" s="3" t="s">
        <v>21860</v>
      </c>
      <c r="H229" s="3" t="s">
        <v>21861</v>
      </c>
      <c r="I229" s="3" t="s">
        <v>21854</v>
      </c>
      <c r="J229" s="5" t="str">
        <f>IFERROR(__xludf.DUMMYFUNCTION("GOOGLETRANSLATE(I229,""zh_HANT"",""zh_HANS"")"),"精神制造者")</f>
        <v>精神制造者</v>
      </c>
    </row>
    <row r="230">
      <c r="A230" s="5" t="str">
        <f t="shared" si="1"/>
        <v>NAME_ABILITY_GRASSYSURGE</v>
      </c>
      <c r="B230" s="3" t="s">
        <v>21862</v>
      </c>
      <c r="C230" s="3" t="s">
        <v>21863</v>
      </c>
      <c r="D230" s="3" t="s">
        <v>21864</v>
      </c>
      <c r="E230" s="3" t="s">
        <v>21865</v>
      </c>
      <c r="F230" s="3" t="s">
        <v>21866</v>
      </c>
      <c r="G230" s="3" t="s">
        <v>21867</v>
      </c>
      <c r="H230" s="3" t="s">
        <v>21868</v>
      </c>
      <c r="I230" s="3" t="s">
        <v>21869</v>
      </c>
      <c r="J230" s="5" t="str">
        <f>IFERROR(__xludf.DUMMYFUNCTION("GOOGLETRANSLATE(I230,""zh_HANT"",""zh_HANS"")"),"青草制造者")</f>
        <v>青草制造者</v>
      </c>
    </row>
    <row r="231">
      <c r="A231" s="5" t="str">
        <f t="shared" si="1"/>
        <v>NAME_ABILITY_FULLMETALBODY</v>
      </c>
      <c r="B231" s="3" t="s">
        <v>21870</v>
      </c>
      <c r="C231" s="3" t="s">
        <v>21871</v>
      </c>
      <c r="D231" s="3" t="s">
        <v>21872</v>
      </c>
      <c r="E231" s="3" t="s">
        <v>21873</v>
      </c>
      <c r="F231" s="3" t="s">
        <v>21874</v>
      </c>
      <c r="G231" s="3" t="s">
        <v>21875</v>
      </c>
      <c r="H231" s="3" t="s">
        <v>21876</v>
      </c>
      <c r="I231" s="3" t="s">
        <v>21877</v>
      </c>
      <c r="J231" s="5" t="str">
        <f>IFERROR(__xludf.DUMMYFUNCTION("GOOGLETRANSLATE(I231,""zh_HANT"",""zh_HANS"")"),"金属防护")</f>
        <v>金属防护</v>
      </c>
    </row>
    <row r="232">
      <c r="A232" s="5" t="str">
        <f t="shared" si="1"/>
        <v>NAME_ABILITY_SHADOWSHIELD</v>
      </c>
      <c r="B232" s="3" t="s">
        <v>21878</v>
      </c>
      <c r="C232" s="3" t="s">
        <v>21879</v>
      </c>
      <c r="D232" s="3" t="s">
        <v>21880</v>
      </c>
      <c r="E232" s="3" t="s">
        <v>21881</v>
      </c>
      <c r="F232" s="3" t="s">
        <v>21882</v>
      </c>
      <c r="G232" s="3" t="s">
        <v>21883</v>
      </c>
      <c r="H232" s="3" t="s">
        <v>21884</v>
      </c>
      <c r="I232" s="3" t="s">
        <v>21885</v>
      </c>
      <c r="J232" s="5" t="str">
        <f>I232</f>
        <v>幻影防守</v>
      </c>
    </row>
    <row r="233">
      <c r="A233" s="5" t="str">
        <f t="shared" si="1"/>
        <v>NAME_ABILITY_PRISMARMOR</v>
      </c>
      <c r="B233" s="3" t="s">
        <v>21886</v>
      </c>
      <c r="C233" s="3" t="s">
        <v>21887</v>
      </c>
      <c r="D233" s="3" t="s">
        <v>21888</v>
      </c>
      <c r="E233" s="3" t="s">
        <v>21889</v>
      </c>
      <c r="F233" s="3" t="s">
        <v>21890</v>
      </c>
      <c r="G233" s="3" t="s">
        <v>21891</v>
      </c>
      <c r="H233" s="3" t="s">
        <v>21892</v>
      </c>
      <c r="I233" s="3" t="s">
        <v>21893</v>
      </c>
      <c r="J233" s="5" t="str">
        <f>IFERROR(__xludf.DUMMYFUNCTION("GOOGLETRANSLATE(I233,""zh_HANT"",""zh_HANS"")"),"稜鏡装甲")</f>
        <v>稜鏡装甲</v>
      </c>
    </row>
    <row r="234">
      <c r="A234" s="5" t="str">
        <f t="shared" si="1"/>
        <v>NAME_ABILITY_NEUROFORCE</v>
      </c>
      <c r="B234" s="3" t="s">
        <v>21894</v>
      </c>
      <c r="C234" s="3" t="s">
        <v>21895</v>
      </c>
      <c r="D234" s="3" t="s">
        <v>21896</v>
      </c>
      <c r="E234" s="3" t="s">
        <v>21897</v>
      </c>
      <c r="F234" s="3" t="s">
        <v>21898</v>
      </c>
      <c r="G234" s="3" t="s">
        <v>21899</v>
      </c>
      <c r="H234" s="3" t="s">
        <v>21900</v>
      </c>
      <c r="I234" s="3" t="s">
        <v>21901</v>
      </c>
      <c r="J234" s="5" t="str">
        <f>IFERROR(__xludf.DUMMYFUNCTION("GOOGLETRANSLATE(I234,""zh_HANT"",""zh_HANS"")"),"脑核之力")</f>
        <v>脑核之力</v>
      </c>
    </row>
    <row r="235">
      <c r="A235" s="5" t="str">
        <f t="shared" si="1"/>
        <v>NAME_ABILITY_INTREPIDSWORD</v>
      </c>
      <c r="B235" s="3" t="s">
        <v>21902</v>
      </c>
      <c r="C235" s="3" t="s">
        <v>21903</v>
      </c>
      <c r="D235" s="3" t="s">
        <v>21904</v>
      </c>
      <c r="E235" s="3" t="s">
        <v>21905</v>
      </c>
      <c r="F235" s="3" t="s">
        <v>21906</v>
      </c>
      <c r="G235" s="3" t="s">
        <v>21907</v>
      </c>
      <c r="H235" s="3" t="s">
        <v>21908</v>
      </c>
      <c r="I235" s="3" t="s">
        <v>21909</v>
      </c>
      <c r="J235" s="5" t="str">
        <f>IFERROR(__xludf.DUMMYFUNCTION("GOOGLETRANSLATE(I235,""zh_HANT"",""zh_HANS"")"),"不挠之剑")</f>
        <v>不挠之剑</v>
      </c>
    </row>
    <row r="236">
      <c r="A236" s="5" t="str">
        <f t="shared" si="1"/>
        <v>NAME_ABILITY_DAUNTLESSSHIELD</v>
      </c>
      <c r="B236" s="3" t="s">
        <v>21910</v>
      </c>
      <c r="C236" s="3" t="s">
        <v>21911</v>
      </c>
      <c r="D236" s="3" t="s">
        <v>21912</v>
      </c>
      <c r="E236" s="3" t="s">
        <v>21913</v>
      </c>
      <c r="F236" s="3" t="s">
        <v>21914</v>
      </c>
      <c r="G236" s="3" t="s">
        <v>21915</v>
      </c>
      <c r="H236" s="3" t="s">
        <v>21916</v>
      </c>
      <c r="I236" s="3" t="s">
        <v>21917</v>
      </c>
      <c r="J236" s="5" t="str">
        <f t="shared" ref="J236:J237" si="18">I236</f>
        <v>不屈之盾</v>
      </c>
    </row>
    <row r="237">
      <c r="A237" s="5" t="str">
        <f t="shared" si="1"/>
        <v>NAME_ABILITY_LIBERO</v>
      </c>
      <c r="B237" s="3" t="s">
        <v>21918</v>
      </c>
      <c r="C237" s="3" t="s">
        <v>21919</v>
      </c>
      <c r="D237" s="3" t="s">
        <v>21920</v>
      </c>
      <c r="E237" s="5" t="str">
        <f>B237</f>
        <v>Libero</v>
      </c>
      <c r="F237" s="5" t="str">
        <f>B237</f>
        <v>Libero</v>
      </c>
      <c r="G237" s="5" t="str">
        <f>B237</f>
        <v>Libero</v>
      </c>
      <c r="H237" s="3" t="s">
        <v>21921</v>
      </c>
      <c r="I237" s="3" t="s">
        <v>21922</v>
      </c>
      <c r="J237" s="5" t="str">
        <f t="shared" si="18"/>
        <v>自由者</v>
      </c>
    </row>
    <row r="238">
      <c r="A238" s="5" t="str">
        <f t="shared" si="1"/>
        <v>NAME_ABILITY_BALLFETCH</v>
      </c>
      <c r="B238" s="3" t="s">
        <v>21923</v>
      </c>
      <c r="C238" s="3" t="s">
        <v>21924</v>
      </c>
      <c r="D238" s="3" t="s">
        <v>21925</v>
      </c>
      <c r="E238" s="3" t="s">
        <v>21926</v>
      </c>
      <c r="F238" s="3" t="s">
        <v>21927</v>
      </c>
      <c r="G238" s="3" t="s">
        <v>21928</v>
      </c>
      <c r="H238" s="3" t="s">
        <v>21929</v>
      </c>
      <c r="I238" s="3" t="s">
        <v>21930</v>
      </c>
      <c r="J238" s="5" t="str">
        <f>IFERROR(__xludf.DUMMYFUNCTION("GOOGLETRANSLATE(I238,""zh_HANT"",""zh_HANS"")"),"捡球")</f>
        <v>捡球</v>
      </c>
    </row>
    <row r="239">
      <c r="A239" s="5" t="str">
        <f t="shared" si="1"/>
        <v>NAME_ABILITY_COTTONDOWN</v>
      </c>
      <c r="B239" s="3" t="s">
        <v>21931</v>
      </c>
      <c r="C239" s="3" t="s">
        <v>8196</v>
      </c>
      <c r="D239" s="3" t="s">
        <v>21932</v>
      </c>
      <c r="E239" s="3" t="s">
        <v>21933</v>
      </c>
      <c r="F239" s="3" t="s">
        <v>21934</v>
      </c>
      <c r="G239" s="3" t="s">
        <v>21935</v>
      </c>
      <c r="H239" s="3" t="s">
        <v>8200</v>
      </c>
      <c r="I239" s="3" t="s">
        <v>21936</v>
      </c>
      <c r="J239" s="5" t="str">
        <f>I239</f>
        <v>棉絮</v>
      </c>
    </row>
    <row r="240">
      <c r="A240" s="5" t="str">
        <f t="shared" si="1"/>
        <v>NAME_ABILITY_PROPELLERTAIL</v>
      </c>
      <c r="B240" s="3" t="s">
        <v>21937</v>
      </c>
      <c r="C240" s="3" t="s">
        <v>21938</v>
      </c>
      <c r="D240" s="3" t="s">
        <v>21939</v>
      </c>
      <c r="E240" s="3" t="s">
        <v>21940</v>
      </c>
      <c r="F240" s="3" t="s">
        <v>21941</v>
      </c>
      <c r="G240" s="3" t="s">
        <v>21942</v>
      </c>
      <c r="H240" s="3" t="s">
        <v>21943</v>
      </c>
      <c r="I240" s="3" t="s">
        <v>21944</v>
      </c>
      <c r="J240" s="5" t="str">
        <f>IFERROR(__xludf.DUMMYFUNCTION("GOOGLETRANSLATE(I240,""zh_HANT"",""zh_HANS"")"),"螺旋尾鳍")</f>
        <v>螺旋尾鳍</v>
      </c>
    </row>
    <row r="241">
      <c r="A241" s="5" t="str">
        <f t="shared" si="1"/>
        <v>NAME_ABILITY_MIRRORARMOR</v>
      </c>
      <c r="B241" s="3" t="s">
        <v>21945</v>
      </c>
      <c r="C241" s="3" t="s">
        <v>21946</v>
      </c>
      <c r="D241" s="3" t="s">
        <v>21947</v>
      </c>
      <c r="E241" s="3" t="s">
        <v>21948</v>
      </c>
      <c r="F241" s="3" t="s">
        <v>21949</v>
      </c>
      <c r="G241" s="3" t="s">
        <v>21950</v>
      </c>
      <c r="H241" s="3" t="s">
        <v>21951</v>
      </c>
      <c r="I241" s="3" t="s">
        <v>21952</v>
      </c>
      <c r="J241" s="5" t="str">
        <f>IFERROR(__xludf.DUMMYFUNCTION("GOOGLETRANSLATE(I241,""zh_HANT"",""zh_HANS"")"),"镜甲")</f>
        <v>镜甲</v>
      </c>
    </row>
    <row r="242">
      <c r="A242" s="5" t="str">
        <f t="shared" si="1"/>
        <v>NAME_ABILITY_GULPMISSILE</v>
      </c>
      <c r="B242" s="3" t="s">
        <v>21953</v>
      </c>
      <c r="C242" s="3" t="s">
        <v>21954</v>
      </c>
      <c r="D242" s="3" t="s">
        <v>21955</v>
      </c>
      <c r="E242" s="3" t="s">
        <v>21956</v>
      </c>
      <c r="F242" s="3" t="s">
        <v>21957</v>
      </c>
      <c r="G242" s="3" t="s">
        <v>21958</v>
      </c>
      <c r="H242" s="3" t="s">
        <v>21959</v>
      </c>
      <c r="I242" s="3" t="s">
        <v>21960</v>
      </c>
      <c r="J242" s="5" t="str">
        <f>IFERROR(__xludf.DUMMYFUNCTION("GOOGLETRANSLATE(I242,""zh_HANT"",""zh_HANS"")"),"一口飞弹")</f>
        <v>一口飞弹</v>
      </c>
    </row>
    <row r="243">
      <c r="A243" s="5" t="str">
        <f t="shared" si="1"/>
        <v>NAME_ABILITY_STALWART</v>
      </c>
      <c r="B243" s="3" t="s">
        <v>21961</v>
      </c>
      <c r="C243" s="3" t="s">
        <v>21962</v>
      </c>
      <c r="D243" s="3" t="s">
        <v>21963</v>
      </c>
      <c r="E243" s="3" t="s">
        <v>21964</v>
      </c>
      <c r="F243" s="3" t="s">
        <v>21965</v>
      </c>
      <c r="G243" s="3" t="s">
        <v>21966</v>
      </c>
      <c r="H243" s="3" t="s">
        <v>21967</v>
      </c>
      <c r="I243" s="3" t="s">
        <v>21968</v>
      </c>
      <c r="J243" s="5" t="str">
        <f>IFERROR(__xludf.DUMMYFUNCTION("GOOGLETRANSLATE(I243,""zh_HANT"",""zh_HANS"")"),"坚毅")</f>
        <v>坚毅</v>
      </c>
    </row>
    <row r="244">
      <c r="A244" s="5" t="str">
        <f t="shared" si="1"/>
        <v>NAME_ABILITY_STEAMENGINE</v>
      </c>
      <c r="B244" s="3" t="s">
        <v>21969</v>
      </c>
      <c r="C244" s="3" t="s">
        <v>21970</v>
      </c>
      <c r="D244" s="3" t="s">
        <v>12993</v>
      </c>
      <c r="E244" s="3" t="s">
        <v>21971</v>
      </c>
      <c r="F244" s="3" t="s">
        <v>21972</v>
      </c>
      <c r="G244" s="3" t="s">
        <v>21973</v>
      </c>
      <c r="H244" s="3" t="s">
        <v>21974</v>
      </c>
      <c r="I244" s="3" t="s">
        <v>21975</v>
      </c>
      <c r="J244" s="5" t="str">
        <f>IFERROR(__xludf.DUMMYFUNCTION("GOOGLETRANSLATE(I244,""zh_HANT"",""zh_HANS"")"),"蒸汽机")</f>
        <v>蒸汽机</v>
      </c>
    </row>
    <row r="245">
      <c r="A245" s="5" t="str">
        <f t="shared" si="1"/>
        <v>NAME_ABILITY_PUNKROCK</v>
      </c>
      <c r="B245" s="3" t="s">
        <v>21976</v>
      </c>
      <c r="C245" s="3" t="s">
        <v>21977</v>
      </c>
      <c r="D245" s="3" t="s">
        <v>21976</v>
      </c>
      <c r="E245" s="5" t="str">
        <f>B245</f>
        <v>Punk Rock</v>
      </c>
      <c r="F245" s="5" t="str">
        <f>B245</f>
        <v>Punk Rock</v>
      </c>
      <c r="G245" s="5" t="str">
        <f>B245</f>
        <v>Punk Rock</v>
      </c>
      <c r="H245" s="3" t="s">
        <v>21978</v>
      </c>
      <c r="I245" s="3" t="s">
        <v>21979</v>
      </c>
      <c r="J245" s="5" t="str">
        <f>IFERROR(__xludf.DUMMYFUNCTION("GOOGLETRANSLATE(I245,""zh_HANT"",""zh_HANS"")"),"庞克摇滚")</f>
        <v>庞克摇滚</v>
      </c>
    </row>
    <row r="246">
      <c r="A246" s="5" t="str">
        <f t="shared" si="1"/>
        <v>NAME_ABILITY_SANDSPIT</v>
      </c>
      <c r="B246" s="3" t="s">
        <v>21980</v>
      </c>
      <c r="C246" s="3" t="s">
        <v>21981</v>
      </c>
      <c r="D246" s="3" t="s">
        <v>21982</v>
      </c>
      <c r="E246" s="3" t="s">
        <v>21983</v>
      </c>
      <c r="F246" s="3" t="s">
        <v>21984</v>
      </c>
      <c r="G246" s="3" t="s">
        <v>21985</v>
      </c>
      <c r="H246" s="3" t="s">
        <v>21986</v>
      </c>
      <c r="I246" s="3" t="s">
        <v>21987</v>
      </c>
      <c r="J246" s="5" t="str">
        <f>I246</f>
        <v>吐沙</v>
      </c>
    </row>
    <row r="247">
      <c r="A247" s="5" t="str">
        <f t="shared" si="1"/>
        <v>NAME_ABILITY_ICESCALES</v>
      </c>
      <c r="B247" s="3" t="s">
        <v>21988</v>
      </c>
      <c r="C247" s="3" t="s">
        <v>21989</v>
      </c>
      <c r="D247" s="3" t="s">
        <v>21990</v>
      </c>
      <c r="E247" s="3" t="s">
        <v>21991</v>
      </c>
      <c r="F247" s="3" t="s">
        <v>21992</v>
      </c>
      <c r="G247" s="3" t="s">
        <v>21993</v>
      </c>
      <c r="H247" s="3" t="s">
        <v>21994</v>
      </c>
      <c r="I247" s="3" t="s">
        <v>21995</v>
      </c>
      <c r="J247" s="5" t="str">
        <f>IFERROR(__xludf.DUMMYFUNCTION("GOOGLETRANSLATE(I247,""zh_HANT"",""zh_HANS"")"),"冰鳞粉")</f>
        <v>冰鳞粉</v>
      </c>
    </row>
    <row r="248">
      <c r="A248" s="5" t="str">
        <f t="shared" si="1"/>
        <v>NAME_ABILITY_RIPEN</v>
      </c>
      <c r="B248" s="3" t="s">
        <v>21996</v>
      </c>
      <c r="C248" s="3" t="s">
        <v>21997</v>
      </c>
      <c r="D248" s="3" t="s">
        <v>21998</v>
      </c>
      <c r="E248" s="3" t="s">
        <v>21999</v>
      </c>
      <c r="F248" s="3" t="s">
        <v>22000</v>
      </c>
      <c r="G248" s="3" t="s">
        <v>22001</v>
      </c>
      <c r="H248" s="3" t="s">
        <v>22002</v>
      </c>
      <c r="I248" s="3" t="s">
        <v>22003</v>
      </c>
      <c r="J248" s="5" t="str">
        <f>I248</f>
        <v>熟成</v>
      </c>
    </row>
    <row r="249">
      <c r="A249" s="5" t="str">
        <f t="shared" si="1"/>
        <v>NAME_ABILITY_ICEFACE</v>
      </c>
      <c r="B249" s="3" t="s">
        <v>22004</v>
      </c>
      <c r="C249" s="3" t="s">
        <v>22005</v>
      </c>
      <c r="D249" s="3" t="s">
        <v>22006</v>
      </c>
      <c r="E249" s="3" t="s">
        <v>22007</v>
      </c>
      <c r="F249" s="3" t="s">
        <v>22008</v>
      </c>
      <c r="G249" s="3" t="s">
        <v>22009</v>
      </c>
      <c r="H249" s="3" t="s">
        <v>22010</v>
      </c>
      <c r="I249" s="3" t="s">
        <v>22011</v>
      </c>
      <c r="J249" s="5" t="str">
        <f>IFERROR(__xludf.DUMMYFUNCTION("GOOGLETRANSLATE(I249,""zh_HANT"",""zh_HANS"")"),"结冻头")</f>
        <v>结冻头</v>
      </c>
    </row>
    <row r="250">
      <c r="A250" s="5" t="str">
        <f t="shared" si="1"/>
        <v>NAME_ABILITY_POWERSPOT</v>
      </c>
      <c r="B250" s="3" t="s">
        <v>22012</v>
      </c>
      <c r="C250" s="3" t="s">
        <v>22013</v>
      </c>
      <c r="D250" s="3" t="s">
        <v>22014</v>
      </c>
      <c r="E250" s="3" t="s">
        <v>22015</v>
      </c>
      <c r="F250" s="3" t="s">
        <v>22016</v>
      </c>
      <c r="G250" s="3" t="s">
        <v>22017</v>
      </c>
      <c r="H250" s="3" t="s">
        <v>22018</v>
      </c>
      <c r="I250" s="3" t="s">
        <v>22019</v>
      </c>
      <c r="J250" s="5" t="str">
        <f>IFERROR(__xludf.DUMMYFUNCTION("GOOGLETRANSLATE(I250,""zh_HANT"",""zh_HANS"")"),"能量点")</f>
        <v>能量点</v>
      </c>
    </row>
    <row r="251">
      <c r="A251" s="5" t="str">
        <f t="shared" si="1"/>
        <v>NAME_ABILITY_MIMICRY</v>
      </c>
      <c r="B251" s="3" t="s">
        <v>22020</v>
      </c>
      <c r="C251" s="3" t="s">
        <v>22021</v>
      </c>
      <c r="D251" s="3" t="s">
        <v>22022</v>
      </c>
      <c r="E251" s="3" t="s">
        <v>22023</v>
      </c>
      <c r="F251" s="3" t="s">
        <v>22024</v>
      </c>
      <c r="G251" s="5" t="str">
        <f>F251</f>
        <v>Mimetismo</v>
      </c>
      <c r="H251" s="3" t="s">
        <v>22025</v>
      </c>
      <c r="I251" s="3" t="s">
        <v>22026</v>
      </c>
      <c r="J251" s="5" t="str">
        <f>IFERROR(__xludf.DUMMYFUNCTION("GOOGLETRANSLATE(I251,""zh_HANT"",""zh_HANS"")"),"拟态")</f>
        <v>拟态</v>
      </c>
    </row>
    <row r="252">
      <c r="A252" s="5" t="str">
        <f t="shared" si="1"/>
        <v>NAME_ABILITY_SCREENCLEANER</v>
      </c>
      <c r="B252" s="3" t="s">
        <v>22027</v>
      </c>
      <c r="C252" s="3" t="s">
        <v>22028</v>
      </c>
      <c r="D252" s="3" t="s">
        <v>22029</v>
      </c>
      <c r="E252" s="3" t="s">
        <v>22030</v>
      </c>
      <c r="F252" s="3" t="s">
        <v>22031</v>
      </c>
      <c r="G252" s="3" t="s">
        <v>22032</v>
      </c>
      <c r="H252" s="3" t="s">
        <v>22033</v>
      </c>
      <c r="I252" s="3" t="s">
        <v>22034</v>
      </c>
      <c r="J252" s="5" t="str">
        <f>I252</f>
        <v>除障</v>
      </c>
    </row>
    <row r="253">
      <c r="A253" s="5" t="str">
        <f t="shared" si="1"/>
        <v>NAME_ABILITY_STEELYSPIRIT</v>
      </c>
      <c r="B253" s="3" t="s">
        <v>22035</v>
      </c>
      <c r="C253" s="3" t="s">
        <v>22036</v>
      </c>
      <c r="D253" s="3" t="s">
        <v>22037</v>
      </c>
      <c r="E253" s="3" t="s">
        <v>22038</v>
      </c>
      <c r="F253" s="3" t="s">
        <v>22039</v>
      </c>
      <c r="G253" s="3" t="s">
        <v>22040</v>
      </c>
      <c r="H253" s="3" t="s">
        <v>22041</v>
      </c>
      <c r="I253" s="3" t="s">
        <v>22042</v>
      </c>
      <c r="J253" s="5" t="str">
        <f>IFERROR(__xludf.DUMMYFUNCTION("GOOGLETRANSLATE(I253,""zh_HANT"",""zh_HANS"")"),"钢之意志")</f>
        <v>钢之意志</v>
      </c>
    </row>
    <row r="254">
      <c r="A254" s="5" t="str">
        <f t="shared" si="1"/>
        <v>NAME_ABILITY_PERISHBODY</v>
      </c>
      <c r="B254" s="3" t="s">
        <v>22043</v>
      </c>
      <c r="C254" s="3" t="s">
        <v>22044</v>
      </c>
      <c r="D254" s="3" t="s">
        <v>22045</v>
      </c>
      <c r="E254" s="3" t="s">
        <v>22046</v>
      </c>
      <c r="F254" s="3" t="s">
        <v>22047</v>
      </c>
      <c r="G254" s="3" t="s">
        <v>22048</v>
      </c>
      <c r="H254" s="3" t="s">
        <v>22049</v>
      </c>
      <c r="I254" s="3" t="s">
        <v>22050</v>
      </c>
      <c r="J254" s="5" t="str">
        <f>IFERROR(__xludf.DUMMYFUNCTION("GOOGLETRANSLATE(I254,""zh_HANT"",""zh_HANS"")"),"灭亡之躯")</f>
        <v>灭亡之躯</v>
      </c>
    </row>
    <row r="255">
      <c r="A255" s="5" t="str">
        <f t="shared" si="1"/>
        <v>NAME_ABILITY_WANDERINGSPIRIT</v>
      </c>
      <c r="B255" s="3" t="s">
        <v>22051</v>
      </c>
      <c r="C255" s="3" t="s">
        <v>22052</v>
      </c>
      <c r="D255" s="3" t="s">
        <v>22053</v>
      </c>
      <c r="E255" s="3" t="s">
        <v>22054</v>
      </c>
      <c r="F255" s="3" t="s">
        <v>22055</v>
      </c>
      <c r="G255" s="3" t="s">
        <v>22056</v>
      </c>
      <c r="H255" s="3" t="s">
        <v>22057</v>
      </c>
      <c r="I255" s="3" t="s">
        <v>22058</v>
      </c>
      <c r="J255" s="5" t="str">
        <f>IFERROR(__xludf.DUMMYFUNCTION("GOOGLETRANSLATE(I255,""zh_HANT"",""zh_HANS"")"),"游魂")</f>
        <v>游魂</v>
      </c>
    </row>
    <row r="256">
      <c r="A256" s="5" t="str">
        <f t="shared" si="1"/>
        <v>NAME_ABILITY_GORILLATACTICS</v>
      </c>
      <c r="B256" s="3" t="s">
        <v>22059</v>
      </c>
      <c r="C256" s="3" t="s">
        <v>22060</v>
      </c>
      <c r="D256" s="3" t="s">
        <v>22061</v>
      </c>
      <c r="E256" s="3" t="s">
        <v>22062</v>
      </c>
      <c r="F256" s="3" t="s">
        <v>22063</v>
      </c>
      <c r="G256" s="3" t="s">
        <v>22064</v>
      </c>
      <c r="H256" s="3" t="s">
        <v>22065</v>
      </c>
      <c r="I256" s="3" t="s">
        <v>22066</v>
      </c>
      <c r="J256" s="5" t="str">
        <f>I256</f>
        <v>一猩一意</v>
      </c>
    </row>
    <row r="257">
      <c r="A257" s="5" t="str">
        <f t="shared" si="1"/>
        <v>NAME_ABILITY_NEUTRALIZINGGAS</v>
      </c>
      <c r="B257" s="3" t="s">
        <v>22067</v>
      </c>
      <c r="C257" s="3" t="s">
        <v>22068</v>
      </c>
      <c r="D257" s="3" t="s">
        <v>22069</v>
      </c>
      <c r="E257" s="3" t="s">
        <v>22070</v>
      </c>
      <c r="F257" s="3" t="s">
        <v>22071</v>
      </c>
      <c r="G257" s="3" t="s">
        <v>22072</v>
      </c>
      <c r="H257" s="3" t="s">
        <v>22073</v>
      </c>
      <c r="I257" s="3" t="s">
        <v>22074</v>
      </c>
      <c r="J257" s="5" t="str">
        <f>IFERROR(__xludf.DUMMYFUNCTION("GOOGLETRANSLATE(I257,""zh_HANT"",""zh_HANS"")"),"化学变化气体")</f>
        <v>化学变化气体</v>
      </c>
    </row>
    <row r="258">
      <c r="A258" s="5" t="str">
        <f t="shared" si="1"/>
        <v>NAME_ABILITY_PASTELVEIL</v>
      </c>
      <c r="B258" s="3" t="s">
        <v>22075</v>
      </c>
      <c r="C258" s="3" t="s">
        <v>22076</v>
      </c>
      <c r="D258" s="3" t="s">
        <v>22077</v>
      </c>
      <c r="E258" s="3" t="s">
        <v>22078</v>
      </c>
      <c r="F258" s="3" t="s">
        <v>22079</v>
      </c>
      <c r="G258" s="3" t="s">
        <v>22080</v>
      </c>
      <c r="H258" s="3" t="s">
        <v>22081</v>
      </c>
      <c r="I258" s="3" t="s">
        <v>22082</v>
      </c>
      <c r="J258" s="5" t="str">
        <f>IFERROR(__xludf.DUMMYFUNCTION("GOOGLETRANSLATE(I258,""zh_HANT"",""zh_HANS"")"),"粉彩护幕")</f>
        <v>粉彩护幕</v>
      </c>
    </row>
    <row r="259">
      <c r="A259" s="5" t="str">
        <f t="shared" si="1"/>
        <v>NAME_ABILITY_HUNDERSWITCH</v>
      </c>
      <c r="B259" s="3" t="s">
        <v>22083</v>
      </c>
      <c r="C259" s="3" t="s">
        <v>22084</v>
      </c>
      <c r="D259" s="3" t="s">
        <v>22085</v>
      </c>
      <c r="E259" s="3" t="s">
        <v>22086</v>
      </c>
      <c r="F259" s="3" t="s">
        <v>22087</v>
      </c>
      <c r="G259" s="3" t="s">
        <v>22088</v>
      </c>
      <c r="H259" s="3" t="s">
        <v>22089</v>
      </c>
      <c r="I259" s="3" t="s">
        <v>22090</v>
      </c>
      <c r="J259" s="5" t="str">
        <f>IFERROR(__xludf.DUMMYFUNCTION("GOOGLETRANSLATE(I259,""zh_HANT"",""zh_HANS"")"),"饱了又饿")</f>
        <v>饱了又饿</v>
      </c>
    </row>
    <row r="260">
      <c r="A260" s="5" t="str">
        <f t="shared" si="1"/>
        <v>NAME_ABILITY_QUICKDRAW</v>
      </c>
      <c r="B260" s="3" t="s">
        <v>22091</v>
      </c>
      <c r="C260" s="3" t="s">
        <v>22092</v>
      </c>
      <c r="D260" s="3" t="s">
        <v>22093</v>
      </c>
      <c r="E260" s="3" t="s">
        <v>22094</v>
      </c>
      <c r="F260" s="3" t="s">
        <v>22095</v>
      </c>
      <c r="G260" s="3" t="s">
        <v>22096</v>
      </c>
      <c r="H260" s="3" t="s">
        <v>22097</v>
      </c>
      <c r="I260" s="3" t="s">
        <v>22098</v>
      </c>
      <c r="J260" s="5" t="str">
        <f>IFERROR(__xludf.DUMMYFUNCTION("GOOGLETRANSLATE(I260,""zh_HANT"",""zh_HANS"")"),"速击")</f>
        <v>速击</v>
      </c>
    </row>
    <row r="261">
      <c r="A261" s="5" t="str">
        <f t="shared" si="1"/>
        <v>NAME_ABILITY_UNSEENFIST</v>
      </c>
      <c r="B261" s="3" t="s">
        <v>22099</v>
      </c>
      <c r="C261" s="3" t="s">
        <v>22100</v>
      </c>
      <c r="D261" s="3" t="s">
        <v>22101</v>
      </c>
      <c r="E261" s="3" t="s">
        <v>22102</v>
      </c>
      <c r="F261" s="3" t="s">
        <v>22103</v>
      </c>
      <c r="G261" s="3" t="s">
        <v>22104</v>
      </c>
      <c r="H261" s="3" t="s">
        <v>22105</v>
      </c>
      <c r="I261" s="3" t="s">
        <v>22106</v>
      </c>
      <c r="J261" s="5" t="str">
        <f>IFERROR(__xludf.DUMMYFUNCTION("GOOGLETRANSLATE(I261,""zh_HANT"",""zh_HANS"")"),"无形拳")</f>
        <v>无形拳</v>
      </c>
    </row>
    <row r="262">
      <c r="A262" s="5" t="str">
        <f t="shared" si="1"/>
        <v>NAME_ABILITY_CURIOUSMEDICINE</v>
      </c>
      <c r="B262" s="3" t="s">
        <v>22107</v>
      </c>
      <c r="C262" s="3" t="s">
        <v>22108</v>
      </c>
      <c r="D262" s="3" t="s">
        <v>22109</v>
      </c>
      <c r="E262" s="3" t="s">
        <v>22110</v>
      </c>
      <c r="F262" s="3" t="s">
        <v>22111</v>
      </c>
      <c r="G262" s="3" t="s">
        <v>22112</v>
      </c>
      <c r="H262" s="3" t="s">
        <v>22113</v>
      </c>
      <c r="I262" s="3" t="s">
        <v>22114</v>
      </c>
      <c r="J262" s="5" t="str">
        <f>IFERROR(__xludf.DUMMYFUNCTION("GOOGLETRANSLATE(I262,""zh_HANT"",""zh_HANS"")"),"怪药")</f>
        <v>怪药</v>
      </c>
    </row>
    <row r="263">
      <c r="A263" s="5" t="str">
        <f t="shared" si="1"/>
        <v>NAME_ABILITY_TRANSISTOR</v>
      </c>
      <c r="B263" s="3" t="s">
        <v>22115</v>
      </c>
      <c r="C263" s="3" t="s">
        <v>22116</v>
      </c>
      <c r="D263" s="3" t="str">
        <f>B263</f>
        <v>Transistor</v>
      </c>
      <c r="E263" s="5" t="str">
        <f>B263</f>
        <v>Transistor</v>
      </c>
      <c r="F263" s="5" t="str">
        <f>B263</f>
        <v>Transistor</v>
      </c>
      <c r="G263" s="5" t="str">
        <f>B263</f>
        <v>Transistor</v>
      </c>
      <c r="H263" s="3" t="s">
        <v>22117</v>
      </c>
      <c r="I263" s="3" t="s">
        <v>22118</v>
      </c>
      <c r="J263" s="5" t="str">
        <f>IFERROR(__xludf.DUMMYFUNCTION("GOOGLETRANSLATE(I263,""zh_HANT"",""zh_HANS"")"),"晶体管")</f>
        <v>晶体管</v>
      </c>
    </row>
    <row r="264">
      <c r="A264" s="5" t="str">
        <f>CONCATENATE("NAME_ABILITY_", SUBSTITUTE(SUBSTITUTE(UPPER(B264), " ", ""), "'", ""))</f>
        <v>NAME_ABILITY_DRAGONSMAW</v>
      </c>
      <c r="B264" s="3" t="s">
        <v>22119</v>
      </c>
      <c r="C264" s="3" t="s">
        <v>22120</v>
      </c>
      <c r="D264" s="3" t="s">
        <v>22121</v>
      </c>
      <c r="E264" s="3" t="s">
        <v>22122</v>
      </c>
      <c r="F264" s="3" t="s">
        <v>22123</v>
      </c>
      <c r="G264" s="3" t="s">
        <v>22124</v>
      </c>
      <c r="H264" s="3" t="s">
        <v>22125</v>
      </c>
      <c r="I264" s="3" t="s">
        <v>22126</v>
      </c>
      <c r="J264" s="5" t="str">
        <f>IFERROR(__xludf.DUMMYFUNCTION("GOOGLETRANSLATE(I264,""zh_HANT"",""zh_HANS"")"),"龙颚")</f>
        <v>龙颚</v>
      </c>
    </row>
    <row r="265">
      <c r="A265" s="5" t="str">
        <f t="shared" ref="A265:A299" si="19">CONCATENATE("NAME_ABILITY_", SUBSTITUTE(UPPER(B265), " ", ""))</f>
        <v>NAME_ABILITY_CHILLINGNEIGH</v>
      </c>
      <c r="B265" s="3" t="s">
        <v>22127</v>
      </c>
      <c r="C265" s="3" t="s">
        <v>22128</v>
      </c>
      <c r="D265" s="3" t="s">
        <v>22129</v>
      </c>
      <c r="E265" s="3" t="s">
        <v>22130</v>
      </c>
      <c r="F265" s="3" t="s">
        <v>22131</v>
      </c>
      <c r="G265" s="3" t="s">
        <v>22132</v>
      </c>
      <c r="H265" s="3" t="s">
        <v>22133</v>
      </c>
      <c r="I265" s="3" t="s">
        <v>22134</v>
      </c>
      <c r="J265" s="5" t="str">
        <f>IFERROR(__xludf.DUMMYFUNCTION("GOOGLETRANSLATE(I265,""zh_HANT"",""zh_HANS"")"),"苍白嘶鸣")</f>
        <v>苍白嘶鸣</v>
      </c>
    </row>
    <row r="266">
      <c r="A266" s="5" t="str">
        <f t="shared" si="19"/>
        <v>NAME_ABILITY_GRIMNEIGH</v>
      </c>
      <c r="B266" s="3" t="s">
        <v>22135</v>
      </c>
      <c r="C266" s="3" t="s">
        <v>22136</v>
      </c>
      <c r="D266" s="3" t="s">
        <v>22137</v>
      </c>
      <c r="E266" s="3" t="s">
        <v>22138</v>
      </c>
      <c r="F266" s="3" t="s">
        <v>22139</v>
      </c>
      <c r="G266" s="3" t="s">
        <v>22140</v>
      </c>
      <c r="H266" s="3" t="s">
        <v>22141</v>
      </c>
      <c r="I266" s="3" t="s">
        <v>22142</v>
      </c>
      <c r="J266" s="5" t="str">
        <f>IFERROR(__xludf.DUMMYFUNCTION("GOOGLETRANSLATE(I266,""zh_HANT"",""zh_HANS"")"),"漆黑嘶鸣")</f>
        <v>漆黑嘶鸣</v>
      </c>
    </row>
    <row r="267">
      <c r="A267" s="5" t="str">
        <f t="shared" si="19"/>
        <v>NAME_ABILITY_ASONE</v>
      </c>
      <c r="B267" s="3" t="s">
        <v>22143</v>
      </c>
      <c r="C267" s="3" t="s">
        <v>22144</v>
      </c>
      <c r="D267" s="3" t="s">
        <v>22145</v>
      </c>
      <c r="E267" s="3" t="s">
        <v>22146</v>
      </c>
      <c r="F267" s="3" t="s">
        <v>22147</v>
      </c>
      <c r="G267" s="3" t="s">
        <v>22148</v>
      </c>
      <c r="H267" s="3" t="s">
        <v>22149</v>
      </c>
      <c r="I267" s="3" t="s">
        <v>22150</v>
      </c>
      <c r="J267" s="5" t="str">
        <f>IFERROR(__xludf.DUMMYFUNCTION("GOOGLETRANSLATE(I267,""zh_HANT"",""zh_HANS"")"),"人马一体")</f>
        <v>人马一体</v>
      </c>
    </row>
    <row r="268">
      <c r="A268" s="5" t="str">
        <f t="shared" si="19"/>
        <v>NAME_ABILITY_LINGERINGAROMA</v>
      </c>
      <c r="B268" s="3" t="s">
        <v>22151</v>
      </c>
      <c r="C268" s="3" t="s">
        <v>22152</v>
      </c>
      <c r="D268" s="3" t="s">
        <v>22153</v>
      </c>
      <c r="E268" s="3" t="s">
        <v>22154</v>
      </c>
      <c r="F268" s="3" t="s">
        <v>22155</v>
      </c>
      <c r="G268" s="3" t="s">
        <v>22156</v>
      </c>
      <c r="H268" s="3" t="s">
        <v>22157</v>
      </c>
      <c r="I268" s="5" t="str">
        <f>IFERROR(__xludf.DUMMYFUNCTION("GOOGLETRANSLATE(J268,""zh_HANS"",""zh_HANT"")"),"甩不掉的氣味")</f>
        <v>甩不掉的氣味</v>
      </c>
      <c r="J268" s="3" t="s">
        <v>22158</v>
      </c>
    </row>
    <row r="269">
      <c r="A269" s="5" t="str">
        <f t="shared" si="19"/>
        <v>NAME_ABILITY_SEEDSOWER</v>
      </c>
      <c r="B269" s="3" t="s">
        <v>22159</v>
      </c>
      <c r="C269" s="3" t="s">
        <v>22160</v>
      </c>
      <c r="D269" s="3" t="s">
        <v>22161</v>
      </c>
      <c r="E269" s="3" t="s">
        <v>22162</v>
      </c>
      <c r="F269" s="3" t="s">
        <v>22163</v>
      </c>
      <c r="G269" s="3" t="s">
        <v>22164</v>
      </c>
      <c r="H269" s="3" t="s">
        <v>22165</v>
      </c>
      <c r="I269" s="5" t="str">
        <f>IFERROR(__xludf.DUMMYFUNCTION("GOOGLETRANSLATE(J269,""zh_HANS"",""zh_HANT"")"),"掉出種子")</f>
        <v>掉出種子</v>
      </c>
      <c r="J269" s="3" t="s">
        <v>22166</v>
      </c>
    </row>
    <row r="270">
      <c r="A270" s="5" t="str">
        <f t="shared" si="19"/>
        <v>NAME_ABILITY_THERMALEXCHANGE</v>
      </c>
      <c r="B270" s="3" t="s">
        <v>22167</v>
      </c>
      <c r="C270" s="3" t="s">
        <v>22168</v>
      </c>
      <c r="D270" s="3" t="s">
        <v>22169</v>
      </c>
      <c r="E270" s="3" t="s">
        <v>22170</v>
      </c>
      <c r="F270" s="3" t="s">
        <v>22171</v>
      </c>
      <c r="G270" s="3" t="s">
        <v>22172</v>
      </c>
      <c r="H270" s="3" t="s">
        <v>22173</v>
      </c>
      <c r="I270" s="5" t="str">
        <f>IFERROR(__xludf.DUMMYFUNCTION("GOOGLETRANSLATE(J270,""zh_HANS"",""zh_HANT"")"),"熱交換")</f>
        <v>熱交換</v>
      </c>
      <c r="J270" s="3" t="s">
        <v>22174</v>
      </c>
    </row>
    <row r="271">
      <c r="A271" s="5" t="str">
        <f t="shared" si="19"/>
        <v>NAME_ABILITY_ANGERSHELL</v>
      </c>
      <c r="B271" s="3" t="s">
        <v>22175</v>
      </c>
      <c r="C271" s="3" t="s">
        <v>22176</v>
      </c>
      <c r="D271" s="3" t="s">
        <v>22177</v>
      </c>
      <c r="E271" s="3" t="s">
        <v>22178</v>
      </c>
      <c r="F271" s="3" t="s">
        <v>22179</v>
      </c>
      <c r="G271" s="3" t="s">
        <v>22180</v>
      </c>
      <c r="H271" s="3" t="s">
        <v>22181</v>
      </c>
      <c r="I271" s="5" t="str">
        <f>IFERROR(__xludf.DUMMYFUNCTION("GOOGLETRANSLATE(J271,""zh_HANS"",""zh_HANT"")"),"憤怒甲殼")</f>
        <v>憤怒甲殼</v>
      </c>
      <c r="J271" s="3" t="s">
        <v>22182</v>
      </c>
    </row>
    <row r="272">
      <c r="A272" s="5" t="str">
        <f t="shared" si="19"/>
        <v>NAME_ABILITY_PURIFYINGSALT</v>
      </c>
      <c r="B272" s="3" t="s">
        <v>22183</v>
      </c>
      <c r="C272" s="3" t="s">
        <v>22184</v>
      </c>
      <c r="D272" s="3" t="s">
        <v>22185</v>
      </c>
      <c r="E272" s="3" t="s">
        <v>22186</v>
      </c>
      <c r="F272" s="3" t="s">
        <v>22187</v>
      </c>
      <c r="G272" s="3" t="s">
        <v>22188</v>
      </c>
      <c r="H272" s="3" t="s">
        <v>22189</v>
      </c>
      <c r="I272" s="5" t="str">
        <f>IFERROR(__xludf.DUMMYFUNCTION("GOOGLETRANSLATE(J272,""zh_HANS"",""zh_HANT"")"),"潔淨之鹽")</f>
        <v>潔淨之鹽</v>
      </c>
      <c r="J272" s="3" t="s">
        <v>22190</v>
      </c>
    </row>
    <row r="273">
      <c r="A273" s="5" t="str">
        <f t="shared" si="19"/>
        <v>NAME_ABILITY_WELL-BAKEDBODY</v>
      </c>
      <c r="B273" s="3" t="s">
        <v>22191</v>
      </c>
      <c r="C273" s="3" t="s">
        <v>22192</v>
      </c>
      <c r="D273" s="3" t="s">
        <v>22193</v>
      </c>
      <c r="E273" s="3" t="s">
        <v>22194</v>
      </c>
      <c r="F273" s="3" t="s">
        <v>22195</v>
      </c>
      <c r="G273" s="3" t="s">
        <v>22196</v>
      </c>
      <c r="H273" s="3" t="s">
        <v>22197</v>
      </c>
      <c r="I273" s="5" t="str">
        <f>IFERROR(__xludf.DUMMYFUNCTION("GOOGLETRANSLATE(J273,""zh_HANS"",""zh_HANT"")"),"焦香之軀")</f>
        <v>焦香之軀</v>
      </c>
      <c r="J273" s="3" t="s">
        <v>22198</v>
      </c>
    </row>
    <row r="274">
      <c r="A274" s="5" t="str">
        <f t="shared" si="19"/>
        <v>NAME_ABILITY_WINDRIDER</v>
      </c>
      <c r="B274" s="3" t="s">
        <v>22199</v>
      </c>
      <c r="C274" s="3" t="s">
        <v>22200</v>
      </c>
      <c r="D274" s="3" t="s">
        <v>22201</v>
      </c>
      <c r="E274" s="3" t="s">
        <v>22202</v>
      </c>
      <c r="F274" s="3" t="s">
        <v>22203</v>
      </c>
      <c r="G274" s="3" t="s">
        <v>22204</v>
      </c>
      <c r="H274" s="3" t="s">
        <v>22205</v>
      </c>
      <c r="I274" s="5" t="str">
        <f>IFERROR(__xludf.DUMMYFUNCTION("GOOGLETRANSLATE(J274,""zh_HANS"",""zh_HANT"")"),"乘風")</f>
        <v>乘風</v>
      </c>
      <c r="J274" s="3" t="s">
        <v>22206</v>
      </c>
    </row>
    <row r="275">
      <c r="A275" s="5" t="str">
        <f t="shared" si="19"/>
        <v>NAME_ABILITY_GUARDDOG</v>
      </c>
      <c r="B275" s="3" t="s">
        <v>22207</v>
      </c>
      <c r="C275" s="3" t="s">
        <v>22208</v>
      </c>
      <c r="D275" s="3" t="s">
        <v>22209</v>
      </c>
      <c r="E275" s="3" t="s">
        <v>22210</v>
      </c>
      <c r="F275" s="3" t="s">
        <v>22211</v>
      </c>
      <c r="G275" s="3" t="s">
        <v>22212</v>
      </c>
      <c r="H275" s="3" t="s">
        <v>22213</v>
      </c>
      <c r="I275" s="5" t="str">
        <f>IFERROR(__xludf.DUMMYFUNCTION("GOOGLETRANSLATE(J275,""zh_HANS"",""zh_HANT"")"),"看門犬")</f>
        <v>看門犬</v>
      </c>
      <c r="J275" s="3" t="s">
        <v>22214</v>
      </c>
    </row>
    <row r="276">
      <c r="A276" s="5" t="str">
        <f t="shared" si="19"/>
        <v>NAME_ABILITY_ROCKYPAYLOAD</v>
      </c>
      <c r="B276" s="3" t="s">
        <v>22215</v>
      </c>
      <c r="C276" s="3" t="s">
        <v>22216</v>
      </c>
      <c r="D276" s="3" t="s">
        <v>22217</v>
      </c>
      <c r="E276" s="3" t="s">
        <v>22218</v>
      </c>
      <c r="F276" s="3" t="s">
        <v>22219</v>
      </c>
      <c r="G276" s="3" t="s">
        <v>22220</v>
      </c>
      <c r="H276" s="3" t="s">
        <v>22221</v>
      </c>
      <c r="I276" s="3" t="s">
        <v>22222</v>
      </c>
      <c r="J276" s="5" t="str">
        <f>I276</f>
        <v>搬岩</v>
      </c>
    </row>
    <row r="277">
      <c r="A277" s="5" t="str">
        <f t="shared" si="19"/>
        <v>NAME_ABILITY_WINDPOWER</v>
      </c>
      <c r="B277" s="3" t="s">
        <v>22223</v>
      </c>
      <c r="C277" s="3" t="s">
        <v>22224</v>
      </c>
      <c r="D277" s="3" t="s">
        <v>22225</v>
      </c>
      <c r="E277" s="3" t="s">
        <v>22226</v>
      </c>
      <c r="F277" s="3" t="s">
        <v>22227</v>
      </c>
      <c r="G277" s="3" t="s">
        <v>22228</v>
      </c>
      <c r="H277" s="3" t="s">
        <v>22229</v>
      </c>
      <c r="I277" s="5" t="str">
        <f>IFERROR(__xludf.DUMMYFUNCTION("GOOGLETRANSLATE(J277,""zh_HANS"",""zh_HANT"")"),"風力發電")</f>
        <v>風力發電</v>
      </c>
      <c r="J277" s="3" t="s">
        <v>22230</v>
      </c>
    </row>
    <row r="278">
      <c r="A278" s="5" t="str">
        <f t="shared" si="19"/>
        <v>NAME_ABILITY_ZEROTOHERO</v>
      </c>
      <c r="B278" s="3" t="s">
        <v>22231</v>
      </c>
      <c r="C278" s="3" t="s">
        <v>22232</v>
      </c>
      <c r="D278" s="3" t="s">
        <v>22233</v>
      </c>
      <c r="E278" s="3" t="s">
        <v>22234</v>
      </c>
      <c r="F278" s="3" t="s">
        <v>22235</v>
      </c>
      <c r="G278" s="3" t="s">
        <v>22236</v>
      </c>
      <c r="H278" s="3" t="s">
        <v>22237</v>
      </c>
      <c r="I278" s="5" t="str">
        <f>IFERROR(__xludf.DUMMYFUNCTION("GOOGLETRANSLATE(J278,""zh_HANS"",""zh_HANT"")"),"全能變身")</f>
        <v>全能變身</v>
      </c>
      <c r="J278" s="3" t="s">
        <v>22238</v>
      </c>
    </row>
    <row r="279">
      <c r="A279" s="5" t="str">
        <f t="shared" si="19"/>
        <v>NAME_ABILITY_COMMANDER</v>
      </c>
      <c r="B279" s="3" t="s">
        <v>22239</v>
      </c>
      <c r="C279" s="3" t="s">
        <v>22240</v>
      </c>
      <c r="D279" s="3" t="s">
        <v>22241</v>
      </c>
      <c r="E279" s="3" t="s">
        <v>22242</v>
      </c>
      <c r="F279" s="3" t="s">
        <v>22243</v>
      </c>
      <c r="G279" s="3" t="s">
        <v>22244</v>
      </c>
      <c r="H279" s="3" t="s">
        <v>22245</v>
      </c>
      <c r="I279" s="5" t="str">
        <f>IFERROR(__xludf.DUMMYFUNCTION("GOOGLETRANSLATE(J279,""zh_HANS"",""zh_HANT"")"),"發號施令")</f>
        <v>發號施令</v>
      </c>
      <c r="J279" s="3" t="s">
        <v>22246</v>
      </c>
    </row>
    <row r="280">
      <c r="A280" s="5" t="str">
        <f t="shared" si="19"/>
        <v>NAME_ABILITY_ELECTROMORPHOSIS</v>
      </c>
      <c r="B280" s="3" t="s">
        <v>22247</v>
      </c>
      <c r="C280" s="3" t="s">
        <v>22248</v>
      </c>
      <c r="D280" s="3" t="s">
        <v>22249</v>
      </c>
      <c r="E280" s="3" t="s">
        <v>22250</v>
      </c>
      <c r="F280" s="3" t="s">
        <v>22251</v>
      </c>
      <c r="G280" s="3" t="s">
        <v>22252</v>
      </c>
      <c r="H280" s="3" t="s">
        <v>22253</v>
      </c>
      <c r="I280" s="5" t="str">
        <f>IFERROR(__xludf.DUMMYFUNCTION("GOOGLETRANSLATE(J280,""zh_HANS"",""zh_HANT"")"),"電力轉換")</f>
        <v>電力轉換</v>
      </c>
      <c r="J280" s="3" t="s">
        <v>22254</v>
      </c>
    </row>
    <row r="281">
      <c r="A281" s="5" t="str">
        <f t="shared" si="19"/>
        <v>NAME_ABILITY_PROTOSYNTHESIS</v>
      </c>
      <c r="B281" s="3" t="s">
        <v>22255</v>
      </c>
      <c r="C281" s="3" t="s">
        <v>22256</v>
      </c>
      <c r="D281" s="3" t="s">
        <v>22257</v>
      </c>
      <c r="E281" s="3" t="s">
        <v>22258</v>
      </c>
      <c r="F281" s="3" t="s">
        <v>22259</v>
      </c>
      <c r="G281" s="3" t="s">
        <v>22260</v>
      </c>
      <c r="H281" s="3" t="s">
        <v>22261</v>
      </c>
      <c r="I281" s="3" t="s">
        <v>22262</v>
      </c>
      <c r="J281" s="5" t="str">
        <f t="shared" ref="J281:J282" si="20">I281</f>
        <v>古代活性</v>
      </c>
    </row>
    <row r="282">
      <c r="A282" s="5" t="str">
        <f t="shared" si="19"/>
        <v>NAME_ABILITY_QUARKDRIVE</v>
      </c>
      <c r="B282" s="3" t="s">
        <v>22263</v>
      </c>
      <c r="C282" s="3" t="s">
        <v>22264</v>
      </c>
      <c r="D282" s="3" t="s">
        <v>22265</v>
      </c>
      <c r="E282" s="3" t="s">
        <v>22266</v>
      </c>
      <c r="F282" s="3" t="s">
        <v>22267</v>
      </c>
      <c r="G282" s="3" t="s">
        <v>22268</v>
      </c>
      <c r="H282" s="3" t="s">
        <v>22269</v>
      </c>
      <c r="I282" s="3" t="s">
        <v>22270</v>
      </c>
      <c r="J282" s="5" t="str">
        <f t="shared" si="20"/>
        <v>夸克充能</v>
      </c>
    </row>
    <row r="283">
      <c r="A283" s="5" t="str">
        <f t="shared" si="19"/>
        <v>NAME_ABILITY_GOODASGOLD</v>
      </c>
      <c r="B283" s="3" t="s">
        <v>22271</v>
      </c>
      <c r="C283" s="3" t="s">
        <v>22272</v>
      </c>
      <c r="D283" s="3" t="s">
        <v>22273</v>
      </c>
      <c r="E283" s="3" t="s">
        <v>22274</v>
      </c>
      <c r="F283" s="3" t="s">
        <v>22275</v>
      </c>
      <c r="G283" s="3" t="s">
        <v>22276</v>
      </c>
      <c r="H283" s="3" t="s">
        <v>22277</v>
      </c>
      <c r="I283" s="5" t="str">
        <f>IFERROR(__xludf.DUMMYFUNCTION("GOOGLETRANSLATE(J283,""zh_HANS"",""zh_HANT"")"),"黃金之軀")</f>
        <v>黃金之軀</v>
      </c>
      <c r="J283" s="3" t="s">
        <v>22278</v>
      </c>
    </row>
    <row r="284">
      <c r="A284" s="5" t="str">
        <f t="shared" si="19"/>
        <v>NAME_ABILITY_VESSELOFRUIN</v>
      </c>
      <c r="B284" s="3" t="s">
        <v>22279</v>
      </c>
      <c r="C284" s="3" t="s">
        <v>22280</v>
      </c>
      <c r="D284" s="3" t="s">
        <v>22281</v>
      </c>
      <c r="E284" s="3" t="s">
        <v>22282</v>
      </c>
      <c r="F284" s="3" t="s">
        <v>22283</v>
      </c>
      <c r="G284" s="3" t="s">
        <v>22284</v>
      </c>
      <c r="H284" s="3" t="s">
        <v>22285</v>
      </c>
      <c r="I284" s="5" t="str">
        <f>IFERROR(__xludf.DUMMYFUNCTION("GOOGLETRANSLATE(J284,""zh_HANS"",""zh_HANT"")"),"災禍之鼎")</f>
        <v>災禍之鼎</v>
      </c>
      <c r="J284" s="3" t="s">
        <v>22286</v>
      </c>
    </row>
    <row r="285">
      <c r="A285" s="5" t="str">
        <f t="shared" si="19"/>
        <v>NAME_ABILITY_SWORDOFRUIN</v>
      </c>
      <c r="B285" s="3" t="s">
        <v>22287</v>
      </c>
      <c r="C285" s="3" t="s">
        <v>22288</v>
      </c>
      <c r="D285" s="3" t="s">
        <v>22289</v>
      </c>
      <c r="E285" s="3" t="s">
        <v>22290</v>
      </c>
      <c r="F285" s="3" t="s">
        <v>22291</v>
      </c>
      <c r="G285" s="3" t="s">
        <v>22292</v>
      </c>
      <c r="H285" s="3" t="s">
        <v>22293</v>
      </c>
      <c r="I285" s="5" t="str">
        <f>IFERROR(__xludf.DUMMYFUNCTION("GOOGLETRANSLATE(J285,""zh_HANS"",""zh_HANT"")"),"災禍之劍")</f>
        <v>災禍之劍</v>
      </c>
      <c r="J285" s="3" t="s">
        <v>22294</v>
      </c>
    </row>
    <row r="286">
      <c r="A286" s="5" t="str">
        <f t="shared" si="19"/>
        <v>NAME_ABILITY_TABLETSOFRUIN</v>
      </c>
      <c r="B286" s="3" t="s">
        <v>22295</v>
      </c>
      <c r="C286" s="3" t="s">
        <v>22296</v>
      </c>
      <c r="D286" s="3" t="s">
        <v>22297</v>
      </c>
      <c r="E286" s="3" t="s">
        <v>22298</v>
      </c>
      <c r="F286" s="3" t="s">
        <v>22299</v>
      </c>
      <c r="G286" s="3" t="s">
        <v>22300</v>
      </c>
      <c r="H286" s="3" t="s">
        <v>22301</v>
      </c>
      <c r="I286" s="5" t="str">
        <f>IFERROR(__xludf.DUMMYFUNCTION("GOOGLETRANSLATE(J286,""zh_HANS"",""zh_HANT"")"),"災禍之簡")</f>
        <v>災禍之簡</v>
      </c>
      <c r="J286" s="3" t="s">
        <v>22302</v>
      </c>
    </row>
    <row r="287">
      <c r="A287" s="5" t="str">
        <f t="shared" si="19"/>
        <v>NAME_ABILITY_BEADSOFRUIN</v>
      </c>
      <c r="B287" s="3" t="s">
        <v>22303</v>
      </c>
      <c r="C287" s="3" t="s">
        <v>22304</v>
      </c>
      <c r="D287" s="3" t="s">
        <v>22305</v>
      </c>
      <c r="E287" s="3" t="s">
        <v>22306</v>
      </c>
      <c r="F287" s="3" t="s">
        <v>22307</v>
      </c>
      <c r="G287" s="3" t="s">
        <v>22308</v>
      </c>
      <c r="H287" s="3" t="s">
        <v>22309</v>
      </c>
      <c r="I287" s="5" t="str">
        <f>IFERROR(__xludf.DUMMYFUNCTION("GOOGLETRANSLATE(J287,""zh_HANS"",""zh_HANT"")"),"災禍之玉")</f>
        <v>災禍之玉</v>
      </c>
      <c r="J287" s="3" t="s">
        <v>22310</v>
      </c>
    </row>
    <row r="288">
      <c r="A288" s="5" t="str">
        <f t="shared" si="19"/>
        <v>NAME_ABILITY_ORICHALCUMPULSE</v>
      </c>
      <c r="B288" s="3" t="s">
        <v>22311</v>
      </c>
      <c r="C288" s="3" t="s">
        <v>22312</v>
      </c>
      <c r="D288" s="3" t="s">
        <v>22313</v>
      </c>
      <c r="E288" s="3" t="s">
        <v>22314</v>
      </c>
      <c r="F288" s="3" t="s">
        <v>22315</v>
      </c>
      <c r="G288" s="3" t="s">
        <v>22316</v>
      </c>
      <c r="H288" s="3" t="s">
        <v>22317</v>
      </c>
      <c r="I288" s="5" t="str">
        <f>IFERROR(__xludf.DUMMYFUNCTION("GOOGLETRANSLATE(J288,""zh_HANS"",""zh_HANT"")"),"緋紅脈動")</f>
        <v>緋紅脈動</v>
      </c>
      <c r="J288" s="3" t="s">
        <v>22318</v>
      </c>
    </row>
    <row r="289">
      <c r="A289" s="5" t="str">
        <f t="shared" si="19"/>
        <v>NAME_ABILITY_HADRONENGINE</v>
      </c>
      <c r="B289" s="3" t="s">
        <v>22319</v>
      </c>
      <c r="C289" s="3" t="s">
        <v>22320</v>
      </c>
      <c r="D289" s="3" t="s">
        <v>22321</v>
      </c>
      <c r="E289" s="3" t="s">
        <v>22322</v>
      </c>
      <c r="F289" s="3" t="s">
        <v>22323</v>
      </c>
      <c r="G289" s="3" t="s">
        <v>22324</v>
      </c>
      <c r="H289" s="3" t="s">
        <v>22325</v>
      </c>
      <c r="I289" s="5" t="str">
        <f>IFERROR(__xludf.DUMMYFUNCTION("GOOGLETRANSLATE(J289,""zh_HANS"",""zh_HANT"")"),"強子引擎")</f>
        <v>強子引擎</v>
      </c>
      <c r="J289" s="3" t="s">
        <v>22326</v>
      </c>
    </row>
    <row r="290">
      <c r="A290" s="5" t="str">
        <f t="shared" si="19"/>
        <v>NAME_ABILITY_OPPORTUNIST</v>
      </c>
      <c r="B290" s="3" t="s">
        <v>22327</v>
      </c>
      <c r="C290" s="3" t="s">
        <v>22328</v>
      </c>
      <c r="D290" s="3" t="str">
        <f>CONCATENATE(B290,"e")</f>
        <v>Opportuniste</v>
      </c>
      <c r="E290" s="3" t="s">
        <v>22329</v>
      </c>
      <c r="F290" s="3" t="s">
        <v>22330</v>
      </c>
      <c r="G290" s="3" t="s">
        <v>22331</v>
      </c>
      <c r="H290" s="3" t="s">
        <v>22332</v>
      </c>
      <c r="I290" s="5" t="str">
        <f>IFERROR(__xludf.DUMMYFUNCTION("GOOGLETRANSLATE(J290,""zh_HANS"",""zh_HANT"")"),"跟風")</f>
        <v>跟風</v>
      </c>
      <c r="J290" s="3" t="s">
        <v>22333</v>
      </c>
    </row>
    <row r="291">
      <c r="A291" s="5" t="str">
        <f t="shared" si="19"/>
        <v>NAME_ABILITY_CUDCHEW</v>
      </c>
      <c r="B291" s="3" t="s">
        <v>22334</v>
      </c>
      <c r="C291" s="3" t="s">
        <v>22335</v>
      </c>
      <c r="D291" s="3" t="s">
        <v>22336</v>
      </c>
      <c r="E291" s="3" t="s">
        <v>22337</v>
      </c>
      <c r="F291" s="3" t="s">
        <v>22338</v>
      </c>
      <c r="G291" s="3" t="str">
        <f>CONCATENATE(D291,"e")</f>
        <v>Ruminante</v>
      </c>
      <c r="H291" s="3" t="s">
        <v>22339</v>
      </c>
      <c r="I291" s="5" t="str">
        <f>IFERROR(__xludf.DUMMYFUNCTION("GOOGLETRANSLATE(J291,""zh_HANS"",""zh_HANT"")"),"反芻")</f>
        <v>反芻</v>
      </c>
      <c r="J291" s="3" t="s">
        <v>22340</v>
      </c>
    </row>
    <row r="292">
      <c r="A292" s="5" t="str">
        <f t="shared" si="19"/>
        <v>NAME_ABILITY_SHARPNESS</v>
      </c>
      <c r="B292" s="3" t="s">
        <v>22341</v>
      </c>
      <c r="C292" s="3" t="s">
        <v>22342</v>
      </c>
      <c r="D292" s="3" t="s">
        <v>22343</v>
      </c>
      <c r="E292" s="3" t="s">
        <v>22344</v>
      </c>
      <c r="F292" s="3" t="s">
        <v>22345</v>
      </c>
      <c r="G292" s="3" t="s">
        <v>22346</v>
      </c>
      <c r="H292" s="3" t="s">
        <v>22347</v>
      </c>
      <c r="I292" s="5" t="str">
        <f>IFERROR(__xludf.DUMMYFUNCTION("GOOGLETRANSLATE(J292,""zh_HANS"",""zh_HANT"")"),"鋒銳")</f>
        <v>鋒銳</v>
      </c>
      <c r="J292" s="3" t="s">
        <v>22348</v>
      </c>
    </row>
    <row r="293">
      <c r="A293" s="5" t="str">
        <f t="shared" si="19"/>
        <v>NAME_ABILITY_SUPREMEOVERLORD</v>
      </c>
      <c r="B293" s="3" t="s">
        <v>22349</v>
      </c>
      <c r="C293" s="3" t="s">
        <v>22350</v>
      </c>
      <c r="D293" s="3" t="s">
        <v>22351</v>
      </c>
      <c r="E293" s="3" t="s">
        <v>22352</v>
      </c>
      <c r="F293" s="3" t="s">
        <v>22353</v>
      </c>
      <c r="G293" s="3" t="s">
        <v>22354</v>
      </c>
      <c r="H293" s="3" t="s">
        <v>22355</v>
      </c>
      <c r="I293" s="5" t="str">
        <f>IFERROR(__xludf.DUMMYFUNCTION("GOOGLETRANSLATE(J293,""zh_HANS"",""zh_HANT"")"),"大將")</f>
        <v>大將</v>
      </c>
      <c r="J293" s="3" t="s">
        <v>22356</v>
      </c>
    </row>
    <row r="294">
      <c r="A294" s="5" t="str">
        <f t="shared" si="19"/>
        <v>NAME_ABILITY_COSTAR</v>
      </c>
      <c r="B294" s="3" t="s">
        <v>22357</v>
      </c>
      <c r="C294" s="3" t="s">
        <v>22358</v>
      </c>
      <c r="D294" s="3" t="s">
        <v>22359</v>
      </c>
      <c r="E294" s="3" t="s">
        <v>22360</v>
      </c>
      <c r="F294" s="3" t="s">
        <v>22361</v>
      </c>
      <c r="G294" s="3" t="s">
        <v>22362</v>
      </c>
      <c r="H294" s="3" t="s">
        <v>22363</v>
      </c>
      <c r="I294" s="3" t="s">
        <v>22364</v>
      </c>
      <c r="J294" s="5" t="str">
        <f>I294</f>
        <v>同台共演</v>
      </c>
    </row>
    <row r="295">
      <c r="A295" s="5" t="str">
        <f t="shared" si="19"/>
        <v>NAME_ABILITY_TOXICDEBRIS</v>
      </c>
      <c r="B295" s="3" t="s">
        <v>22365</v>
      </c>
      <c r="C295" s="3" t="s">
        <v>22366</v>
      </c>
      <c r="D295" s="3" t="s">
        <v>22367</v>
      </c>
      <c r="E295" s="3" t="s">
        <v>22368</v>
      </c>
      <c r="F295" s="3" t="s">
        <v>22369</v>
      </c>
      <c r="G295" s="3" t="s">
        <v>22370</v>
      </c>
      <c r="H295" s="3" t="s">
        <v>22371</v>
      </c>
      <c r="I295" s="5" t="str">
        <f>IFERROR(__xludf.DUMMYFUNCTION("GOOGLETRANSLATE(J295,""zh_HANS"",""zh_HANT"")"),"毒滿地")</f>
        <v>毒滿地</v>
      </c>
      <c r="J295" s="3" t="s">
        <v>22372</v>
      </c>
    </row>
    <row r="296">
      <c r="A296" s="5" t="str">
        <f t="shared" si="19"/>
        <v>NAME_ABILITY_ARMORTAIL</v>
      </c>
      <c r="B296" s="3" t="s">
        <v>22373</v>
      </c>
      <c r="C296" s="3" t="s">
        <v>22374</v>
      </c>
      <c r="D296" s="3" t="s">
        <v>22375</v>
      </c>
      <c r="E296" s="3" t="s">
        <v>22376</v>
      </c>
      <c r="F296" s="3" t="s">
        <v>22377</v>
      </c>
      <c r="G296" s="3" t="s">
        <v>22378</v>
      </c>
      <c r="H296" s="3" t="s">
        <v>22379</v>
      </c>
      <c r="I296" s="3" t="s">
        <v>22380</v>
      </c>
      <c r="J296" s="5" t="str">
        <f t="shared" ref="J296:J297" si="21">I296</f>
        <v>尾甲</v>
      </c>
    </row>
    <row r="297">
      <c r="A297" s="5" t="str">
        <f t="shared" si="19"/>
        <v>NAME_ABILITY_EARTHEATER</v>
      </c>
      <c r="B297" s="3" t="s">
        <v>22381</v>
      </c>
      <c r="C297" s="3" t="s">
        <v>22382</v>
      </c>
      <c r="D297" s="3" t="s">
        <v>22383</v>
      </c>
      <c r="E297" s="3" t="s">
        <v>22384</v>
      </c>
      <c r="F297" s="3" t="s">
        <v>22385</v>
      </c>
      <c r="G297" s="3" t="s">
        <v>22386</v>
      </c>
      <c r="H297" s="3" t="s">
        <v>22387</v>
      </c>
      <c r="I297" s="3" t="s">
        <v>22388</v>
      </c>
      <c r="J297" s="5" t="str">
        <f t="shared" si="21"/>
        <v>食土</v>
      </c>
    </row>
    <row r="298">
      <c r="A298" s="5" t="str">
        <f t="shared" si="19"/>
        <v>NAME_ABILITY_MYCELIUMMIGHT</v>
      </c>
      <c r="B298" s="3" t="s">
        <v>22389</v>
      </c>
      <c r="C298" s="3" t="s">
        <v>22390</v>
      </c>
      <c r="D298" s="3" t="s">
        <v>22391</v>
      </c>
      <c r="E298" s="3" t="s">
        <v>22392</v>
      </c>
      <c r="F298" s="3" t="s">
        <v>22393</v>
      </c>
      <c r="G298" s="3" t="s">
        <v>22394</v>
      </c>
      <c r="H298" s="3" t="s">
        <v>22395</v>
      </c>
      <c r="I298" s="5" t="str">
        <f>IFERROR(__xludf.DUMMYFUNCTION("GOOGLETRANSLATE(J298,""zh_HANS"",""zh_HANT"")"),"菌絲之力")</f>
        <v>菌絲之力</v>
      </c>
      <c r="J298" s="3" t="s">
        <v>22396</v>
      </c>
    </row>
    <row r="299">
      <c r="A299" s="5" t="str">
        <f t="shared" si="19"/>
        <v>NAME_ABILITY_HOSPITALITY</v>
      </c>
      <c r="B299" s="3" t="s">
        <v>22397</v>
      </c>
      <c r="C299" s="3" t="s">
        <v>22398</v>
      </c>
      <c r="D299" s="3" t="s">
        <v>22399</v>
      </c>
      <c r="E299" s="3" t="s">
        <v>22400</v>
      </c>
      <c r="F299" s="3" t="s">
        <v>22401</v>
      </c>
      <c r="G299" s="3" t="s">
        <v>22402</v>
      </c>
      <c r="H299" s="3" t="s">
        <v>22403</v>
      </c>
      <c r="I299" s="3" t="s">
        <v>22404</v>
      </c>
      <c r="J299" s="3" t="str">
        <f t="shared" ref="J299:J300" si="22">I299</f>
        <v>款待</v>
      </c>
    </row>
    <row r="300">
      <c r="A300" s="5" t="str">
        <f>CONCATENATE("NAME_ABILITY_", SUBSTITUTE(SUBSTITUTE(UPPER(B300), " ", ""), "'", ""))</f>
        <v>NAME_ABILITY_MINDSEYE</v>
      </c>
      <c r="B300" s="3" t="s">
        <v>22405</v>
      </c>
      <c r="C300" s="3" t="s">
        <v>22406</v>
      </c>
      <c r="D300" s="3" t="s">
        <v>22407</v>
      </c>
      <c r="E300" s="3" t="s">
        <v>22408</v>
      </c>
      <c r="F300" s="3" t="s">
        <v>22409</v>
      </c>
      <c r="G300" s="3" t="s">
        <v>22410</v>
      </c>
      <c r="H300" s="3" t="s">
        <v>22411</v>
      </c>
      <c r="I300" s="3" t="s">
        <v>22412</v>
      </c>
      <c r="J300" s="3" t="str">
        <f t="shared" si="22"/>
        <v>心眼</v>
      </c>
    </row>
    <row r="301">
      <c r="A301" s="5" t="str">
        <f t="shared" ref="A301:A307" si="23">CONCATENATE("NAME_ABILITY_", SUBSTITUTE(UPPER(B301), " ", ""))</f>
        <v>NAME_ABILITY_EMBODYASPECT</v>
      </c>
      <c r="B301" s="3" t="s">
        <v>22413</v>
      </c>
      <c r="C301" s="3" t="s">
        <v>22414</v>
      </c>
      <c r="D301" s="3" t="s">
        <v>22415</v>
      </c>
      <c r="E301" s="3" t="s">
        <v>22416</v>
      </c>
      <c r="F301" s="3" t="s">
        <v>22417</v>
      </c>
      <c r="G301" s="3" t="s">
        <v>22418</v>
      </c>
      <c r="H301" s="3" t="s">
        <v>22419</v>
      </c>
      <c r="I301" s="5" t="str">
        <f>IFERROR(__xludf.DUMMYFUNCTION("GOOGLETRANSLATE(J301,""zh_HANS"",""zh_HANT"")"),"面影輝映")</f>
        <v>面影輝映</v>
      </c>
      <c r="J301" s="3" t="s">
        <v>22420</v>
      </c>
    </row>
    <row r="302">
      <c r="A302" s="5" t="str">
        <f t="shared" si="23"/>
        <v>NAME_ABILITY_TOXICCHAIN</v>
      </c>
      <c r="B302" s="3" t="s">
        <v>22421</v>
      </c>
      <c r="C302" s="3" t="s">
        <v>22422</v>
      </c>
      <c r="D302" s="3" t="s">
        <v>22423</v>
      </c>
      <c r="E302" s="3" t="s">
        <v>22424</v>
      </c>
      <c r="F302" s="3" t="s">
        <v>22425</v>
      </c>
      <c r="G302" s="3" t="s">
        <v>22426</v>
      </c>
      <c r="H302" s="3" t="s">
        <v>22427</v>
      </c>
      <c r="I302" s="5" t="str">
        <f>IFERROR(__xludf.DUMMYFUNCTION("GOOGLETRANSLATE(J302,""zh_HANS"",""zh_HANT"")"),"毒鎖鏈")</f>
        <v>毒鎖鏈</v>
      </c>
      <c r="J302" s="3" t="s">
        <v>22428</v>
      </c>
    </row>
    <row r="303">
      <c r="A303" s="5" t="str">
        <f t="shared" si="23"/>
        <v>NAME_ABILITY_SUPERSWEETSYRUP</v>
      </c>
      <c r="B303" s="3" t="s">
        <v>22429</v>
      </c>
      <c r="C303" s="3" t="s">
        <v>22430</v>
      </c>
      <c r="D303" s="3" t="s">
        <v>22431</v>
      </c>
      <c r="E303" s="3" t="s">
        <v>22432</v>
      </c>
      <c r="F303" s="3" t="s">
        <v>22433</v>
      </c>
      <c r="G303" s="3" t="s">
        <v>22434</v>
      </c>
      <c r="H303" s="3" t="s">
        <v>22435</v>
      </c>
      <c r="I303" s="3" t="s">
        <v>22436</v>
      </c>
      <c r="J303" s="3" t="str">
        <f>I303</f>
        <v>甘露之蜜</v>
      </c>
    </row>
    <row r="304">
      <c r="A304" s="5" t="str">
        <f t="shared" si="23"/>
        <v>NAME_ABILITY_TERASHIFT</v>
      </c>
      <c r="B304" s="3" t="s">
        <v>22437</v>
      </c>
      <c r="C304" s="3" t="s">
        <v>22438</v>
      </c>
      <c r="D304" s="3" t="s">
        <v>22439</v>
      </c>
      <c r="E304" s="3" t="s">
        <v>22440</v>
      </c>
      <c r="F304" s="3" t="s">
        <v>22441</v>
      </c>
      <c r="G304" s="3" t="s">
        <v>22442</v>
      </c>
      <c r="H304" s="3" t="s">
        <v>22443</v>
      </c>
      <c r="I304" s="5" t="str">
        <f>IFERROR(__xludf.DUMMYFUNCTION("GOOGLETRANSLATE(J304,""zh_HANS"",""zh_HANT"")"),"太晶變形")</f>
        <v>太晶變形</v>
      </c>
      <c r="J304" s="3" t="s">
        <v>22444</v>
      </c>
    </row>
    <row r="305">
      <c r="A305" s="5" t="str">
        <f t="shared" si="23"/>
        <v>NAME_ABILITY_TERASHELL</v>
      </c>
      <c r="B305" s="3" t="s">
        <v>22445</v>
      </c>
      <c r="C305" s="3" t="s">
        <v>22446</v>
      </c>
      <c r="D305" s="3" t="s">
        <v>22447</v>
      </c>
      <c r="E305" s="3" t="s">
        <v>22448</v>
      </c>
      <c r="F305" s="3" t="s">
        <v>22449</v>
      </c>
      <c r="G305" s="3" t="s">
        <v>22450</v>
      </c>
      <c r="H305" s="3" t="s">
        <v>22451</v>
      </c>
      <c r="I305" s="5" t="str">
        <f>IFERROR(__xludf.DUMMYFUNCTION("GOOGLETRANSLATE(J305,""zh_HANS"",""zh_HANT"")"),"太晶甲殼")</f>
        <v>太晶甲殼</v>
      </c>
      <c r="J305" s="3" t="s">
        <v>22452</v>
      </c>
    </row>
    <row r="306">
      <c r="A306" s="5" t="str">
        <f t="shared" si="23"/>
        <v>NAME_ABILITY_TERAFORMZERO</v>
      </c>
      <c r="B306" s="3" t="s">
        <v>22453</v>
      </c>
      <c r="C306" s="3" t="s">
        <v>22454</v>
      </c>
      <c r="D306" s="3" t="s">
        <v>22455</v>
      </c>
      <c r="E306" s="3" t="s">
        <v>22456</v>
      </c>
      <c r="F306" s="3" t="s">
        <v>22457</v>
      </c>
      <c r="G306" s="3" t="s">
        <v>22458</v>
      </c>
      <c r="H306" s="3" t="s">
        <v>22459</v>
      </c>
      <c r="I306" s="5" t="str">
        <f>IFERROR(__xludf.DUMMYFUNCTION("GOOGLETRANSLATE(J306,""zh_HANS"",""zh_HANT"")"),"歸零化境")</f>
        <v>歸零化境</v>
      </c>
      <c r="J306" s="3" t="s">
        <v>22460</v>
      </c>
    </row>
    <row r="307">
      <c r="A307" s="5" t="str">
        <f t="shared" si="23"/>
        <v>NAME_ABILITY_POISONPUPPETEER</v>
      </c>
      <c r="B307" s="3" t="s">
        <v>22461</v>
      </c>
      <c r="C307" s="3" t="s">
        <v>22462</v>
      </c>
      <c r="D307" s="3" t="s">
        <v>22463</v>
      </c>
      <c r="E307" s="3" t="s">
        <v>22464</v>
      </c>
      <c r="F307" s="3" t="s">
        <v>22465</v>
      </c>
      <c r="G307" s="3" t="s">
        <v>22466</v>
      </c>
      <c r="H307" s="3" t="s">
        <v>22467</v>
      </c>
      <c r="I307" s="3" t="s">
        <v>22468</v>
      </c>
      <c r="J307" s="3" t="str">
        <f>I307</f>
        <v>毒傀儡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25"/>
    <col customWidth="1" min="8" max="8" width="9.75"/>
    <col customWidth="1" min="9" max="9" width="8.88"/>
    <col customWidth="1" min="10" max="10" width="8.75"/>
  </cols>
  <sheetData>
    <row r="1">
      <c r="A1" s="19" t="str">
        <f>Pokemon!A1</f>
        <v>keys</v>
      </c>
      <c r="B1" s="20" t="str">
        <f>Pokemon!B1</f>
        <v>en</v>
      </c>
      <c r="C1" s="20" t="str">
        <f>Pokemon!C1</f>
        <v>ja</v>
      </c>
      <c r="D1" s="20" t="str">
        <f>Pokemon!D1</f>
        <v>fr</v>
      </c>
      <c r="E1" s="20" t="str">
        <f>Pokemon!E1</f>
        <v>de</v>
      </c>
      <c r="F1" s="20" t="str">
        <f>Pokemon!F1</f>
        <v>es</v>
      </c>
      <c r="G1" s="20" t="str">
        <f>Pokemon!G1</f>
        <v>it</v>
      </c>
      <c r="H1" s="20" t="str">
        <f>Pokemon!H1</f>
        <v>ko</v>
      </c>
      <c r="I1" s="20" t="str">
        <f>Pokemon!I1</f>
        <v>zh_HK</v>
      </c>
      <c r="J1" s="20" t="str">
        <f>Pokemon!J1</f>
        <v>zh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tr">
        <f t="shared" ref="A2:A26" si="1">CONCATENATE("NAME_NATURE_", UPPER(B2))</f>
        <v>NAME_NATURE_ADAMANT</v>
      </c>
      <c r="B2" s="14" t="s">
        <v>22469</v>
      </c>
      <c r="C2" s="23" t="s">
        <v>22470</v>
      </c>
      <c r="D2" s="14" t="s">
        <v>22471</v>
      </c>
      <c r="E2" s="14" t="s">
        <v>22472</v>
      </c>
      <c r="F2" s="14" t="s">
        <v>22473</v>
      </c>
      <c r="G2" s="14" t="s">
        <v>22474</v>
      </c>
      <c r="H2" s="14" t="s">
        <v>22475</v>
      </c>
      <c r="I2" s="14" t="s">
        <v>22476</v>
      </c>
      <c r="J2" s="21" t="str">
        <f>IFERROR(__xludf.DUMMYFUNCTION("GOOGLETRANSLATE(I2,""zh_HANT"",""zh_HANS"")"),"固执")</f>
        <v>固执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2" t="str">
        <f t="shared" si="1"/>
        <v>NAME_NATURE_BASHFUL</v>
      </c>
      <c r="B3" s="14" t="s">
        <v>22477</v>
      </c>
      <c r="C3" s="23" t="s">
        <v>22478</v>
      </c>
      <c r="D3" s="14" t="s">
        <v>22479</v>
      </c>
      <c r="E3" s="14" t="s">
        <v>22480</v>
      </c>
      <c r="F3" s="14" t="s">
        <v>22481</v>
      </c>
      <c r="G3" s="14" t="s">
        <v>22482</v>
      </c>
      <c r="H3" s="14" t="s">
        <v>22483</v>
      </c>
      <c r="I3" s="14" t="s">
        <v>22484</v>
      </c>
      <c r="J3" s="21" t="str">
        <f>I3</f>
        <v>害羞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2" t="str">
        <f t="shared" si="1"/>
        <v>NAME_NATURE_BOLD</v>
      </c>
      <c r="B4" s="14" t="s">
        <v>22485</v>
      </c>
      <c r="C4" s="23" t="s">
        <v>22486</v>
      </c>
      <c r="D4" s="14" t="s">
        <v>22487</v>
      </c>
      <c r="E4" s="14" t="s">
        <v>22488</v>
      </c>
      <c r="F4" s="14" t="s">
        <v>22489</v>
      </c>
      <c r="G4" s="14" t="s">
        <v>22490</v>
      </c>
      <c r="H4" s="14" t="s">
        <v>22491</v>
      </c>
      <c r="I4" s="14" t="s">
        <v>22492</v>
      </c>
      <c r="J4" s="21" t="str">
        <f>IFERROR(__xludf.DUMMYFUNCTION("GOOGLETRANSLATE(I4,""zh_HANT"",""zh_HANS"")"),"大胆")</f>
        <v>大胆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2" t="str">
        <f t="shared" si="1"/>
        <v>NAME_NATURE_BRAVE</v>
      </c>
      <c r="B5" s="14" t="s">
        <v>22493</v>
      </c>
      <c r="C5" s="23" t="s">
        <v>22494</v>
      </c>
      <c r="D5" s="21" t="str">
        <f>B5</f>
        <v>Brave</v>
      </c>
      <c r="E5" s="14" t="s">
        <v>22495</v>
      </c>
      <c r="F5" s="14" t="s">
        <v>21015</v>
      </c>
      <c r="G5" s="14" t="s">
        <v>22496</v>
      </c>
      <c r="H5" s="14" t="s">
        <v>22497</v>
      </c>
      <c r="I5" s="14" t="s">
        <v>22498</v>
      </c>
      <c r="J5" s="21" t="str">
        <f>I5</f>
        <v>勇敢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2" t="str">
        <f t="shared" si="1"/>
        <v>NAME_NATURE_CALM</v>
      </c>
      <c r="B6" s="14" t="s">
        <v>22499</v>
      </c>
      <c r="C6" s="23" t="s">
        <v>22500</v>
      </c>
      <c r="D6" s="14" t="s">
        <v>22501</v>
      </c>
      <c r="E6" s="3" t="s">
        <v>22502</v>
      </c>
      <c r="F6" s="14" t="s">
        <v>22503</v>
      </c>
      <c r="G6" s="14" t="s">
        <v>22504</v>
      </c>
      <c r="H6" s="14" t="s">
        <v>22505</v>
      </c>
      <c r="I6" s="14" t="s">
        <v>22506</v>
      </c>
      <c r="J6" s="21" t="str">
        <f>IFERROR(__xludf.DUMMYFUNCTION("GOOGLETRANSLATE(I6,""zh_HANT"",""zh_HANS"")"),"温和")</f>
        <v>温和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2" t="str">
        <f t="shared" si="1"/>
        <v>NAME_NATURE_CAREFUL</v>
      </c>
      <c r="B7" s="14" t="s">
        <v>22507</v>
      </c>
      <c r="C7" s="23" t="s">
        <v>22508</v>
      </c>
      <c r="D7" s="14" t="s">
        <v>22509</v>
      </c>
      <c r="E7" s="14" t="s">
        <v>22510</v>
      </c>
      <c r="F7" s="14" t="s">
        <v>22511</v>
      </c>
      <c r="G7" s="14" t="s">
        <v>22511</v>
      </c>
      <c r="H7" s="14" t="s">
        <v>22512</v>
      </c>
      <c r="I7" s="14" t="s">
        <v>22513</v>
      </c>
      <c r="J7" s="21" t="str">
        <f t="shared" ref="J7:J8" si="2">I7</f>
        <v>慎重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2" t="str">
        <f t="shared" si="1"/>
        <v>NAME_NATURE_DOCILE</v>
      </c>
      <c r="B8" s="14" t="s">
        <v>22514</v>
      </c>
      <c r="C8" s="23" t="s">
        <v>22515</v>
      </c>
      <c r="D8" s="21" t="str">
        <f>B8</f>
        <v>Docile</v>
      </c>
      <c r="E8" s="14" t="s">
        <v>22516</v>
      </c>
      <c r="F8" s="14" t="s">
        <v>22517</v>
      </c>
      <c r="G8" s="14" t="s">
        <v>22514</v>
      </c>
      <c r="H8" s="14" t="s">
        <v>22518</v>
      </c>
      <c r="I8" s="14" t="s">
        <v>22519</v>
      </c>
      <c r="J8" s="21" t="str">
        <f t="shared" si="2"/>
        <v>坦率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2" t="str">
        <f t="shared" si="1"/>
        <v>NAME_NATURE_GENTLE</v>
      </c>
      <c r="B9" s="14" t="s">
        <v>22520</v>
      </c>
      <c r="C9" s="23" t="s">
        <v>22521</v>
      </c>
      <c r="D9" s="14" t="s">
        <v>22522</v>
      </c>
      <c r="E9" s="14" t="s">
        <v>22523</v>
      </c>
      <c r="F9" s="14" t="s">
        <v>22524</v>
      </c>
      <c r="G9" s="14" t="s">
        <v>22525</v>
      </c>
      <c r="H9" s="14" t="s">
        <v>22526</v>
      </c>
      <c r="I9" s="14" t="s">
        <v>22527</v>
      </c>
      <c r="J9" s="21" t="str">
        <f>IFERROR(__xludf.DUMMYFUNCTION("GOOGLETRANSLATE(I9,""zh_HANT"",""zh_HANS"")"),"温顺")</f>
        <v>温顺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2" t="str">
        <f t="shared" si="1"/>
        <v>NAME_NATURE_HARDY</v>
      </c>
      <c r="B10" s="14" t="s">
        <v>22528</v>
      </c>
      <c r="C10" s="23" t="s">
        <v>22529</v>
      </c>
      <c r="D10" s="14" t="s">
        <v>22530</v>
      </c>
      <c r="E10" s="14" t="s">
        <v>22531</v>
      </c>
      <c r="F10" s="14" t="s">
        <v>22532</v>
      </c>
      <c r="G10" s="14" t="s">
        <v>22533</v>
      </c>
      <c r="H10" s="14" t="s">
        <v>22534</v>
      </c>
      <c r="I10" s="14" t="s">
        <v>22535</v>
      </c>
      <c r="J10" s="21" t="str">
        <f>IFERROR(__xludf.DUMMYFUNCTION("GOOGLETRANSLATE(I10,""zh_HANT"",""zh_HANS"")"),"勤奋")</f>
        <v>勤奋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2" t="str">
        <f t="shared" si="1"/>
        <v>NAME_NATURE_HASTY</v>
      </c>
      <c r="B11" s="14" t="s">
        <v>22536</v>
      </c>
      <c r="C11" s="23" t="s">
        <v>22537</v>
      </c>
      <c r="D11" s="14" t="s">
        <v>22538</v>
      </c>
      <c r="E11" s="14" t="s">
        <v>22539</v>
      </c>
      <c r="F11" s="14" t="s">
        <v>22540</v>
      </c>
      <c r="G11" s="14" t="s">
        <v>22541</v>
      </c>
      <c r="H11" s="14" t="s">
        <v>22542</v>
      </c>
      <c r="I11" s="14" t="s">
        <v>22543</v>
      </c>
      <c r="J11" s="21" t="str">
        <f>I11</f>
        <v>急躁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2" t="str">
        <f t="shared" si="1"/>
        <v>NAME_NATURE_IMPISH</v>
      </c>
      <c r="B12" s="14" t="s">
        <v>22544</v>
      </c>
      <c r="C12" s="23" t="s">
        <v>22545</v>
      </c>
      <c r="D12" s="14" t="s">
        <v>8677</v>
      </c>
      <c r="E12" s="14" t="s">
        <v>22546</v>
      </c>
      <c r="F12" s="14" t="s">
        <v>22547</v>
      </c>
      <c r="G12" s="14" t="s">
        <v>22548</v>
      </c>
      <c r="H12" s="14" t="s">
        <v>22549</v>
      </c>
      <c r="I12" s="14" t="s">
        <v>22550</v>
      </c>
      <c r="J12" s="21" t="str">
        <f>IFERROR(__xludf.DUMMYFUNCTION("GOOGLETRANSLATE(I12,""zh_HANT"",""zh_HANS"")"),"淘气")</f>
        <v>淘气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2" t="str">
        <f t="shared" si="1"/>
        <v>NAME_NATURE_JOLLY</v>
      </c>
      <c r="B13" s="14" t="s">
        <v>22551</v>
      </c>
      <c r="C13" s="23" t="s">
        <v>22552</v>
      </c>
      <c r="D13" s="14" t="s">
        <v>22553</v>
      </c>
      <c r="E13" s="14" t="s">
        <v>22554</v>
      </c>
      <c r="F13" s="14" t="s">
        <v>22555</v>
      </c>
      <c r="G13" s="14" t="s">
        <v>22556</v>
      </c>
      <c r="H13" s="14" t="s">
        <v>9216</v>
      </c>
      <c r="I13" s="14" t="s">
        <v>22557</v>
      </c>
      <c r="J13" s="21" t="str">
        <f>I13</f>
        <v>爽朗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2" t="str">
        <f t="shared" si="1"/>
        <v>NAME_NATURE_LAX</v>
      </c>
      <c r="B14" s="14" t="s">
        <v>22558</v>
      </c>
      <c r="C14" s="23" t="s">
        <v>8660</v>
      </c>
      <c r="D14" s="14" t="s">
        <v>22559</v>
      </c>
      <c r="E14" s="14" t="s">
        <v>22560</v>
      </c>
      <c r="F14" s="14" t="s">
        <v>22561</v>
      </c>
      <c r="G14" s="14" t="s">
        <v>22562</v>
      </c>
      <c r="H14" s="14" t="s">
        <v>22563</v>
      </c>
      <c r="I14" s="14" t="s">
        <v>8666</v>
      </c>
      <c r="J14" s="21" t="str">
        <f>IFERROR(__xludf.DUMMYFUNCTION("GOOGLETRANSLATE(I14,""zh_HANT"",""zh_HANS"")"),"乐天")</f>
        <v>乐天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2" t="str">
        <f t="shared" si="1"/>
        <v>NAME_NATURE_LONELY</v>
      </c>
      <c r="B15" s="14" t="s">
        <v>22564</v>
      </c>
      <c r="C15" s="23" t="s">
        <v>22565</v>
      </c>
      <c r="D15" s="14" t="s">
        <v>22566</v>
      </c>
      <c r="E15" s="21" t="str">
        <f>D15</f>
        <v>Solo</v>
      </c>
      <c r="F15" s="14" t="s">
        <v>22567</v>
      </c>
      <c r="G15" s="14" t="s">
        <v>22568</v>
      </c>
      <c r="H15" s="14" t="s">
        <v>22569</v>
      </c>
      <c r="I15" s="14" t="s">
        <v>22570</v>
      </c>
      <c r="J15" s="21" t="str">
        <f t="shared" ref="J15:J16" si="3">I15</f>
        <v>怕寂寞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2" t="str">
        <f t="shared" si="1"/>
        <v>NAME_NATURE_MILD</v>
      </c>
      <c r="B16" s="14" t="s">
        <v>22571</v>
      </c>
      <c r="C16" s="23" t="s">
        <v>22572</v>
      </c>
      <c r="D16" s="14" t="s">
        <v>22573</v>
      </c>
      <c r="E16" s="21" t="str">
        <f>B16</f>
        <v>Mild</v>
      </c>
      <c r="F16" s="14" t="s">
        <v>22574</v>
      </c>
      <c r="G16" s="14" t="s">
        <v>22575</v>
      </c>
      <c r="H16" s="14" t="s">
        <v>22576</v>
      </c>
      <c r="I16" s="14" t="s">
        <v>22577</v>
      </c>
      <c r="J16" s="21" t="str">
        <f t="shared" si="3"/>
        <v>慢吞吞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2" t="str">
        <f t="shared" si="1"/>
        <v>NAME_NATURE_MODEST</v>
      </c>
      <c r="B17" s="14" t="s">
        <v>22578</v>
      </c>
      <c r="C17" s="23" t="s">
        <v>22579</v>
      </c>
      <c r="D17" s="14" t="s">
        <v>22580</v>
      </c>
      <c r="E17" s="14" t="s">
        <v>22581</v>
      </c>
      <c r="F17" s="14" t="s">
        <v>22582</v>
      </c>
      <c r="G17" s="14" t="s">
        <v>22582</v>
      </c>
      <c r="H17" s="14" t="s">
        <v>22583</v>
      </c>
      <c r="I17" s="14" t="s">
        <v>22584</v>
      </c>
      <c r="J17" s="21" t="str">
        <f>IFERROR(__xludf.DUMMYFUNCTION("GOOGLETRANSLATE(I17,""zh_HANT"",""zh_HANS"")"),"内敛")</f>
        <v>内敛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2" t="str">
        <f t="shared" si="1"/>
        <v>NAME_NATURE_NAIVE</v>
      </c>
      <c r="B18" s="14" t="s">
        <v>22585</v>
      </c>
      <c r="C18" s="23" t="s">
        <v>22586</v>
      </c>
      <c r="D18" s="14" t="s">
        <v>22587</v>
      </c>
      <c r="E18" s="14" t="s">
        <v>22588</v>
      </c>
      <c r="F18" s="14" t="s">
        <v>22589</v>
      </c>
      <c r="G18" s="14" t="s">
        <v>22589</v>
      </c>
      <c r="H18" s="14" t="s">
        <v>22590</v>
      </c>
      <c r="I18" s="14" t="s">
        <v>22591</v>
      </c>
      <c r="J18" s="21" t="str">
        <f>I18</f>
        <v>天真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2" t="str">
        <f t="shared" si="1"/>
        <v>NAME_NATURE_NAUGHTY</v>
      </c>
      <c r="B19" s="14" t="s">
        <v>22592</v>
      </c>
      <c r="C19" s="23" t="s">
        <v>9408</v>
      </c>
      <c r="D19" s="14" t="s">
        <v>22593</v>
      </c>
      <c r="E19" s="14" t="s">
        <v>22594</v>
      </c>
      <c r="F19" s="14" t="s">
        <v>22595</v>
      </c>
      <c r="G19" s="14" t="s">
        <v>22596</v>
      </c>
      <c r="H19" s="14" t="s">
        <v>9413</v>
      </c>
      <c r="I19" s="14" t="s">
        <v>9414</v>
      </c>
      <c r="J19" s="21" t="str">
        <f>IFERROR(__xludf.DUMMYFUNCTION("GOOGLETRANSLATE(I19,""zh_HANT"",""zh_HANS"")"),"顽皮")</f>
        <v>顽皮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2" t="str">
        <f t="shared" si="1"/>
        <v>NAME_NATURE_QUIET</v>
      </c>
      <c r="B20" s="14" t="s">
        <v>22597</v>
      </c>
      <c r="C20" s="23" t="s">
        <v>22598</v>
      </c>
      <c r="D20" s="14" t="s">
        <v>22599</v>
      </c>
      <c r="E20" s="14" t="s">
        <v>22600</v>
      </c>
      <c r="F20" s="14" t="s">
        <v>22601</v>
      </c>
      <c r="G20" s="14" t="s">
        <v>22602</v>
      </c>
      <c r="H20" s="14" t="s">
        <v>22603</v>
      </c>
      <c r="I20" s="14" t="s">
        <v>22604</v>
      </c>
      <c r="J20" s="21" t="str">
        <f>IFERROR(__xludf.DUMMYFUNCTION("GOOGLETRANSLATE(I20,""zh_HANT"",""zh_HANS"")"),"冷静")</f>
        <v>冷静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2" t="str">
        <f t="shared" si="1"/>
        <v>NAME_NATURE_QUIRKY</v>
      </c>
      <c r="B21" s="14" t="s">
        <v>22605</v>
      </c>
      <c r="C21" s="23" t="s">
        <v>22606</v>
      </c>
      <c r="D21" s="14" t="s">
        <v>22607</v>
      </c>
      <c r="E21" s="14" t="s">
        <v>22608</v>
      </c>
      <c r="F21" s="14" t="s">
        <v>22609</v>
      </c>
      <c r="G21" s="14" t="s">
        <v>22610</v>
      </c>
      <c r="H21" s="14" t="s">
        <v>22611</v>
      </c>
      <c r="I21" s="14" t="s">
        <v>22612</v>
      </c>
      <c r="J21" s="21" t="str">
        <f>I21</f>
        <v>浮躁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2" t="str">
        <f t="shared" si="1"/>
        <v>NAME_NATURE_RASH</v>
      </c>
      <c r="B22" s="14" t="s">
        <v>22613</v>
      </c>
      <c r="C22" s="23" t="s">
        <v>22614</v>
      </c>
      <c r="D22" s="14" t="s">
        <v>22615</v>
      </c>
      <c r="E22" s="14" t="s">
        <v>22616</v>
      </c>
      <c r="F22" s="14" t="s">
        <v>22617</v>
      </c>
      <c r="G22" s="14" t="s">
        <v>22618</v>
      </c>
      <c r="H22" s="14" t="s">
        <v>22619</v>
      </c>
      <c r="I22" s="14" t="s">
        <v>22620</v>
      </c>
      <c r="J22" s="21" t="str">
        <f>IFERROR(__xludf.DUMMYFUNCTION("GOOGLETRANSLATE(I22,""zh_HANT"",""zh_HANS"")"),"马虎")</f>
        <v>马虎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2" t="str">
        <f t="shared" si="1"/>
        <v>NAME_NATURE_RELAXED</v>
      </c>
      <c r="B23" s="14" t="s">
        <v>22621</v>
      </c>
      <c r="C23" s="23" t="s">
        <v>22622</v>
      </c>
      <c r="D23" s="14" t="s">
        <v>22623</v>
      </c>
      <c r="E23" s="14" t="s">
        <v>22624</v>
      </c>
      <c r="F23" s="14" t="s">
        <v>22625</v>
      </c>
      <c r="G23" s="14" t="s">
        <v>22626</v>
      </c>
      <c r="H23" s="14" t="s">
        <v>22627</v>
      </c>
      <c r="I23" s="14" t="s">
        <v>22628</v>
      </c>
      <c r="J23" s="21" t="str">
        <f>IFERROR(__xludf.DUMMYFUNCTION("GOOGLETRANSLATE(I23,""zh_HANT"",""zh_HANS"")"),"悠闲")</f>
        <v>悠闲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2" t="str">
        <f t="shared" si="1"/>
        <v>NAME_NATURE_SASSY</v>
      </c>
      <c r="B24" s="14" t="s">
        <v>22629</v>
      </c>
      <c r="C24" s="23" t="s">
        <v>22630</v>
      </c>
      <c r="D24" s="14" t="s">
        <v>22631</v>
      </c>
      <c r="E24" s="14" t="s">
        <v>22632</v>
      </c>
      <c r="F24" s="14" t="s">
        <v>22633</v>
      </c>
      <c r="G24" s="14" t="s">
        <v>22634</v>
      </c>
      <c r="H24" s="14" t="s">
        <v>22635</v>
      </c>
      <c r="I24" s="14" t="s">
        <v>22636</v>
      </c>
      <c r="J24" s="21" t="str">
        <f>I24</f>
        <v>自大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2" t="str">
        <f t="shared" si="1"/>
        <v>NAME_NATURE_SERIOUS</v>
      </c>
      <c r="B25" s="14" t="s">
        <v>22637</v>
      </c>
      <c r="C25" s="23" t="s">
        <v>22638</v>
      </c>
      <c r="D25" s="14" t="s">
        <v>22639</v>
      </c>
      <c r="E25" s="14" t="s">
        <v>22640</v>
      </c>
      <c r="F25" s="14" t="s">
        <v>22641</v>
      </c>
      <c r="G25" s="14" t="s">
        <v>22641</v>
      </c>
      <c r="H25" s="14" t="s">
        <v>22642</v>
      </c>
      <c r="I25" s="14" t="s">
        <v>22643</v>
      </c>
      <c r="J25" s="21" t="str">
        <f>IFERROR(__xludf.DUMMYFUNCTION("GOOGLETRANSLATE(I25,""zh_HANT"",""zh_HANS"")"),"认真")</f>
        <v>认真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2" t="str">
        <f t="shared" si="1"/>
        <v>NAME_NATURE_TIMID</v>
      </c>
      <c r="B26" s="14" t="s">
        <v>22644</v>
      </c>
      <c r="C26" s="23" t="s">
        <v>22645</v>
      </c>
      <c r="D26" s="14" t="s">
        <v>22646</v>
      </c>
      <c r="E26" s="14" t="s">
        <v>22647</v>
      </c>
      <c r="F26" s="14" t="s">
        <v>22648</v>
      </c>
      <c r="G26" s="14" t="s">
        <v>22649</v>
      </c>
      <c r="H26" s="14" t="s">
        <v>22650</v>
      </c>
      <c r="I26" s="14" t="s">
        <v>22651</v>
      </c>
      <c r="J26" s="21" t="str">
        <f>IFERROR(__xludf.DUMMYFUNCTION("GOOGLETRANSLATE(I26,""zh_HANT"",""zh_HANS"")"),"胆小")</f>
        <v>胆小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5"/>
    <col customWidth="1" min="2" max="2" width="17.25"/>
    <col customWidth="1" min="3" max="3" width="16.63"/>
    <col customWidth="1" min="7" max="7" width="19.63"/>
  </cols>
  <sheetData>
    <row r="1">
      <c r="A1" s="2" t="str">
        <f>Pokemon!A1</f>
        <v>keys</v>
      </c>
      <c r="B1" s="2" t="str">
        <f>Pokemon!B1</f>
        <v>en</v>
      </c>
      <c r="C1" s="2" t="str">
        <f>Pokemon!C1</f>
        <v>ja</v>
      </c>
      <c r="D1" s="2" t="str">
        <f>Pokemon!D1</f>
        <v>fr</v>
      </c>
      <c r="E1" s="2" t="str">
        <f>Pokemon!E1</f>
        <v>de</v>
      </c>
      <c r="F1" s="2" t="str">
        <f>Pokemon!F1</f>
        <v>es</v>
      </c>
      <c r="G1" s="2" t="str">
        <f>Pokemon!G1</f>
        <v>it</v>
      </c>
      <c r="H1" s="2" t="str">
        <f>Pokemon!H1</f>
        <v>ko</v>
      </c>
      <c r="I1" s="2" t="str">
        <f>Pokemon!I1</f>
        <v>zh_HK</v>
      </c>
      <c r="J1" s="2" t="str">
        <f>Pokemon!J1</f>
        <v>zh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4" t="s">
        <v>22652</v>
      </c>
      <c r="B2" s="24" t="s">
        <v>22653</v>
      </c>
      <c r="C2" s="24" t="s">
        <v>22654</v>
      </c>
      <c r="D2" s="24" t="s">
        <v>22655</v>
      </c>
      <c r="E2" s="25" t="s">
        <v>22656</v>
      </c>
      <c r="F2" s="25" t="s">
        <v>22657</v>
      </c>
      <c r="G2" s="24" t="s">
        <v>22658</v>
      </c>
      <c r="H2" s="24" t="s">
        <v>22659</v>
      </c>
      <c r="I2" s="24" t="s">
        <v>22660</v>
      </c>
      <c r="J2" s="26" t="str">
        <f>IFERROR(__xludf.DUMMYFUNCTION("GOOGLETRANSLATE(I2,""zh_HANT"",""zh_HANS"")"),"非常喜欢吃东西")</f>
        <v>非常喜欢吃东西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4" t="s">
        <v>22661</v>
      </c>
      <c r="B3" s="24" t="s">
        <v>22662</v>
      </c>
      <c r="C3" s="24" t="s">
        <v>22663</v>
      </c>
      <c r="D3" s="24" t="s">
        <v>22664</v>
      </c>
      <c r="E3" s="25" t="s">
        <v>22665</v>
      </c>
      <c r="F3" s="25" t="s">
        <v>22666</v>
      </c>
      <c r="G3" s="24" t="s">
        <v>22667</v>
      </c>
      <c r="H3" s="24" t="s">
        <v>22668</v>
      </c>
      <c r="I3" s="24" t="s">
        <v>22669</v>
      </c>
      <c r="J3" s="26" t="str">
        <f>IFERROR(__xludf.DUMMYFUNCTION("GOOGLETRANSLATE(I3,""zh_HANT"",""zh_HANS"")"),"经常睡午觉")</f>
        <v>经常睡午觉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4" t="s">
        <v>22670</v>
      </c>
      <c r="B4" s="24" t="s">
        <v>22671</v>
      </c>
      <c r="C4" s="24" t="s">
        <v>22672</v>
      </c>
      <c r="D4" s="24" t="s">
        <v>22673</v>
      </c>
      <c r="E4" s="25" t="s">
        <v>22674</v>
      </c>
      <c r="F4" s="25" t="s">
        <v>22675</v>
      </c>
      <c r="G4" s="24" t="s">
        <v>22676</v>
      </c>
      <c r="H4" s="24" t="s">
        <v>22677</v>
      </c>
      <c r="I4" s="24" t="s">
        <v>22678</v>
      </c>
      <c r="J4" s="26" t="str">
        <f>I4</f>
        <v>常常打瞌睡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4" t="s">
        <v>22679</v>
      </c>
      <c r="B5" s="24" t="s">
        <v>22680</v>
      </c>
      <c r="C5" s="24" t="s">
        <v>22681</v>
      </c>
      <c r="D5" s="24" t="s">
        <v>22682</v>
      </c>
      <c r="E5" s="25" t="s">
        <v>22683</v>
      </c>
      <c r="F5" s="25" t="s">
        <v>22684</v>
      </c>
      <c r="G5" s="24" t="s">
        <v>22685</v>
      </c>
      <c r="H5" s="24" t="s">
        <v>22686</v>
      </c>
      <c r="I5" s="24" t="s">
        <v>22687</v>
      </c>
      <c r="J5" s="26" t="str">
        <f>IFERROR(__xludf.DUMMYFUNCTION("GOOGLETRANSLATE(I5,""zh_HANT"",""zh_HANS"")"),"经常乱扔东西")</f>
        <v>经常乱扔东西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4" t="s">
        <v>22688</v>
      </c>
      <c r="B6" s="24" t="s">
        <v>22689</v>
      </c>
      <c r="C6" s="24" t="s">
        <v>22690</v>
      </c>
      <c r="D6" s="24" t="s">
        <v>22691</v>
      </c>
      <c r="E6" s="25" t="s">
        <v>22692</v>
      </c>
      <c r="F6" s="25" t="s">
        <v>22693</v>
      </c>
      <c r="G6" s="24" t="s">
        <v>22694</v>
      </c>
      <c r="H6" s="24" t="s">
        <v>22695</v>
      </c>
      <c r="I6" s="24" t="s">
        <v>22696</v>
      </c>
      <c r="J6" s="26" t="str">
        <f>IFERROR(__xludf.DUMMYFUNCTION("GOOGLETRANSLATE(I6,""zh_HANT"",""zh_HANS"")"),"喜欢悠然自在")</f>
        <v>喜欢悠然自在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4" t="s">
        <v>22697</v>
      </c>
      <c r="B7" s="24" t="s">
        <v>22698</v>
      </c>
      <c r="C7" s="24" t="s">
        <v>22699</v>
      </c>
      <c r="D7" s="24" t="s">
        <v>22700</v>
      </c>
      <c r="E7" s="25" t="s">
        <v>22701</v>
      </c>
      <c r="F7" s="25" t="s">
        <v>22702</v>
      </c>
      <c r="G7" s="24" t="s">
        <v>22703</v>
      </c>
      <c r="H7" s="24" t="s">
        <v>22704</v>
      </c>
      <c r="I7" s="24" t="s">
        <v>22705</v>
      </c>
      <c r="J7" s="26" t="str">
        <f>IFERROR(__xludf.DUMMYFUNCTION("GOOGLETRANSLATE(I7,""zh_HANT"",""zh_HANS"")"),"以力气大为傲")</f>
        <v>以力气大为傲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4" t="s">
        <v>22706</v>
      </c>
      <c r="B8" s="24" t="s">
        <v>22707</v>
      </c>
      <c r="C8" s="24" t="s">
        <v>22708</v>
      </c>
      <c r="D8" s="24" t="s">
        <v>22709</v>
      </c>
      <c r="E8" s="25" t="s">
        <v>22710</v>
      </c>
      <c r="F8" s="25" t="s">
        <v>22711</v>
      </c>
      <c r="G8" s="24" t="s">
        <v>22712</v>
      </c>
      <c r="H8" s="24" t="s">
        <v>22713</v>
      </c>
      <c r="I8" s="24" t="s">
        <v>22714</v>
      </c>
      <c r="J8" s="26" t="str">
        <f>IFERROR(__xludf.DUMMYFUNCTION("GOOGLETRANSLATE(I8,""zh_HANT"",""zh_HANS"")"),"喜欢胡闹")</f>
        <v>喜欢胡闹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4" t="s">
        <v>22715</v>
      </c>
      <c r="B9" s="24" t="s">
        <v>22716</v>
      </c>
      <c r="C9" s="24" t="s">
        <v>22717</v>
      </c>
      <c r="D9" s="24" t="s">
        <v>22718</v>
      </c>
      <c r="E9" s="25" t="s">
        <v>22719</v>
      </c>
      <c r="F9" s="25" t="s">
        <v>22720</v>
      </c>
      <c r="G9" s="24" t="s">
        <v>22721</v>
      </c>
      <c r="H9" s="24" t="s">
        <v>22722</v>
      </c>
      <c r="I9" s="24" t="s">
        <v>22723</v>
      </c>
      <c r="J9" s="26" t="str">
        <f>IFERROR(__xludf.DUMMYFUNCTION("GOOGLETRANSLATE(I9,""zh_HANT"",""zh_HANS"")"),"有点容易生气")</f>
        <v>有点容易生气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4" t="s">
        <v>22724</v>
      </c>
      <c r="B10" s="24" t="s">
        <v>22725</v>
      </c>
      <c r="C10" s="24" t="s">
        <v>22726</v>
      </c>
      <c r="D10" s="24" t="s">
        <v>22727</v>
      </c>
      <c r="E10" s="25" t="s">
        <v>22728</v>
      </c>
      <c r="F10" s="25" t="s">
        <v>22729</v>
      </c>
      <c r="G10" s="24" t="s">
        <v>22730</v>
      </c>
      <c r="H10" s="24" t="s">
        <v>22731</v>
      </c>
      <c r="I10" s="24" t="s">
        <v>22732</v>
      </c>
      <c r="J10" s="26" t="str">
        <f>IFERROR(__xludf.DUMMYFUNCTION("GOOGLETRANSLATE(I10,""zh_HANT"",""zh_HANS"")"),"喜欢打架")</f>
        <v>喜欢打架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4" t="s">
        <v>22733</v>
      </c>
      <c r="B11" s="24" t="s">
        <v>22734</v>
      </c>
      <c r="C11" s="24" t="s">
        <v>22735</v>
      </c>
      <c r="D11" s="24" t="s">
        <v>22736</v>
      </c>
      <c r="E11" s="25" t="s">
        <v>22737</v>
      </c>
      <c r="F11" s="25" t="s">
        <v>22738</v>
      </c>
      <c r="G11" s="24" t="s">
        <v>22739</v>
      </c>
      <c r="H11" s="24" t="s">
        <v>22740</v>
      </c>
      <c r="I11" s="24" t="s">
        <v>22741</v>
      </c>
      <c r="J11" s="26" t="str">
        <f>IFERROR(__xludf.DUMMYFUNCTION("GOOGLETRANSLATE(I11,""zh_HANT"",""zh_HANS"")"),"血气方刚")</f>
        <v>血气方刚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4" t="s">
        <v>22742</v>
      </c>
      <c r="B12" s="24" t="s">
        <v>22743</v>
      </c>
      <c r="C12" s="24" t="s">
        <v>22744</v>
      </c>
      <c r="D12" s="24" t="s">
        <v>22745</v>
      </c>
      <c r="E12" s="25" t="s">
        <v>22746</v>
      </c>
      <c r="F12" s="25" t="s">
        <v>22747</v>
      </c>
      <c r="G12" s="24" t="s">
        <v>22748</v>
      </c>
      <c r="H12" s="24" t="s">
        <v>22749</v>
      </c>
      <c r="I12" s="24" t="s">
        <v>22750</v>
      </c>
      <c r="J12" s="26" t="str">
        <f>IFERROR(__xludf.DUMMYFUNCTION("GOOGLETRANSLATE(I12,""zh_HANT"",""zh_HANS"")"),"身体强壮")</f>
        <v>身体强壮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4" t="s">
        <v>22751</v>
      </c>
      <c r="B13" s="24" t="s">
        <v>22752</v>
      </c>
      <c r="C13" s="24" t="s">
        <v>22753</v>
      </c>
      <c r="D13" s="24" t="s">
        <v>22754</v>
      </c>
      <c r="E13" s="25" t="s">
        <v>22755</v>
      </c>
      <c r="F13" s="25" t="s">
        <v>22756</v>
      </c>
      <c r="G13" s="24" t="s">
        <v>22757</v>
      </c>
      <c r="H13" s="24" t="s">
        <v>22758</v>
      </c>
      <c r="I13" s="24" t="s">
        <v>22759</v>
      </c>
      <c r="J13" s="26" t="str">
        <f>IFERROR(__xludf.DUMMYFUNCTION("GOOGLETRANSLATE(I13,""zh_HANT"",""zh_HANS"")"),"抗打能力强")</f>
        <v>抗打能力强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4" t="s">
        <v>22760</v>
      </c>
      <c r="B14" s="24" t="s">
        <v>22761</v>
      </c>
      <c r="C14" s="24" t="s">
        <v>22762</v>
      </c>
      <c r="D14" s="24" t="s">
        <v>22763</v>
      </c>
      <c r="E14" s="25" t="s">
        <v>22764</v>
      </c>
      <c r="F14" s="25" t="s">
        <v>22765</v>
      </c>
      <c r="G14" s="24" t="s">
        <v>22766</v>
      </c>
      <c r="H14" s="24" t="s">
        <v>22767</v>
      </c>
      <c r="I14" s="24" t="s">
        <v>22768</v>
      </c>
      <c r="J14" s="26" t="str">
        <f>IFERROR(__xludf.DUMMYFUNCTION("GOOGLETRANSLATE(I14,""zh_HANT"",""zh_HANS"")"),"顽强不屈")</f>
        <v>顽强不屈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4" t="s">
        <v>22769</v>
      </c>
      <c r="B15" s="24" t="s">
        <v>22770</v>
      </c>
      <c r="C15" s="24" t="s">
        <v>22771</v>
      </c>
      <c r="D15" s="24" t="s">
        <v>22772</v>
      </c>
      <c r="E15" s="25" t="s">
        <v>22773</v>
      </c>
      <c r="F15" s="25" t="s">
        <v>22774</v>
      </c>
      <c r="G15" s="24" t="s">
        <v>22775</v>
      </c>
      <c r="H15" s="24" t="s">
        <v>22776</v>
      </c>
      <c r="I15" s="24" t="s">
        <v>22777</v>
      </c>
      <c r="J15" s="26" t="str">
        <f>IFERROR(__xludf.DUMMYFUNCTION("GOOGLETRANSLATE(I15,""zh_HANT"",""zh_HANS"")"),"能吃苦耐劳")</f>
        <v>能吃苦耐劳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4" t="s">
        <v>22778</v>
      </c>
      <c r="B16" s="24" t="s">
        <v>22779</v>
      </c>
      <c r="C16" s="24" t="s">
        <v>22780</v>
      </c>
      <c r="D16" s="24" t="s">
        <v>22781</v>
      </c>
      <c r="E16" s="25" t="s">
        <v>22782</v>
      </c>
      <c r="F16" s="25" t="s">
        <v>22783</v>
      </c>
      <c r="G16" s="24" t="s">
        <v>22784</v>
      </c>
      <c r="H16" s="24" t="s">
        <v>22785</v>
      </c>
      <c r="I16" s="24" t="s">
        <v>22786</v>
      </c>
      <c r="J16" s="26" t="str">
        <f>IFERROR(__xludf.DUMMYFUNCTION("GOOGLETRANSLATE(I16,""zh_HANT"",""zh_HANS"")"),"善于忍耐")</f>
        <v>善于忍耐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4" t="s">
        <v>22787</v>
      </c>
      <c r="B17" s="24" t="s">
        <v>22788</v>
      </c>
      <c r="C17" s="24" t="s">
        <v>22789</v>
      </c>
      <c r="D17" s="24" t="s">
        <v>22790</v>
      </c>
      <c r="E17" s="25" t="s">
        <v>22791</v>
      </c>
      <c r="F17" s="25" t="s">
        <v>22792</v>
      </c>
      <c r="G17" s="24" t="s">
        <v>22793</v>
      </c>
      <c r="H17" s="24" t="s">
        <v>22794</v>
      </c>
      <c r="I17" s="24" t="s">
        <v>22795</v>
      </c>
      <c r="J17" s="26" t="str">
        <f>IFERROR(__xludf.DUMMYFUNCTION("GOOGLETRANSLATE(I17,""zh_HANT"",""zh_HANS"")"),"好奇心强")</f>
        <v>好奇心强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4" t="s">
        <v>22796</v>
      </c>
      <c r="B18" s="24" t="s">
        <v>22797</v>
      </c>
      <c r="C18" s="24" t="s">
        <v>22798</v>
      </c>
      <c r="D18" s="24" t="s">
        <v>22799</v>
      </c>
      <c r="E18" s="25" t="s">
        <v>22800</v>
      </c>
      <c r="F18" s="25" t="s">
        <v>22801</v>
      </c>
      <c r="G18" s="24" t="s">
        <v>22802</v>
      </c>
      <c r="H18" s="24" t="s">
        <v>22803</v>
      </c>
      <c r="I18" s="24" t="s">
        <v>22804</v>
      </c>
      <c r="J18" s="26" t="str">
        <f>IFERROR(__xludf.DUMMYFUNCTION("GOOGLETRANSLATE(I18,""zh_HANT"",""zh_HANS"")"),"喜欢恶作剧")</f>
        <v>喜欢恶作剧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4" t="s">
        <v>22805</v>
      </c>
      <c r="B19" s="24" t="s">
        <v>22806</v>
      </c>
      <c r="C19" s="24" t="s">
        <v>22807</v>
      </c>
      <c r="D19" s="24" t="s">
        <v>22808</v>
      </c>
      <c r="E19" s="25" t="s">
        <v>22809</v>
      </c>
      <c r="F19" s="25" t="s">
        <v>22810</v>
      </c>
      <c r="G19" s="24" t="s">
        <v>22811</v>
      </c>
      <c r="H19" s="24" t="s">
        <v>22812</v>
      </c>
      <c r="I19" s="24" t="s">
        <v>22813</v>
      </c>
      <c r="J19" s="26" t="str">
        <f>IFERROR(__xludf.DUMMYFUNCTION("GOOGLETRANSLATE(I19,""zh_HANT"",""zh_HANS"")"),"做事万无一失")</f>
        <v>做事万无一失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4" t="s">
        <v>22814</v>
      </c>
      <c r="B20" s="24" t="s">
        <v>22815</v>
      </c>
      <c r="C20" s="24" t="s">
        <v>22816</v>
      </c>
      <c r="D20" s="24" t="s">
        <v>22817</v>
      </c>
      <c r="E20" s="25" t="s">
        <v>22818</v>
      </c>
      <c r="F20" s="25" t="s">
        <v>22819</v>
      </c>
      <c r="G20" s="24" t="s">
        <v>22820</v>
      </c>
      <c r="H20" s="24" t="s">
        <v>22821</v>
      </c>
      <c r="I20" s="24" t="s">
        <v>22822</v>
      </c>
      <c r="J20" s="26" t="str">
        <f>IFERROR(__xludf.DUMMYFUNCTION("GOOGLETRANSLATE(I20,""zh_HANT"",""zh_HANS"")"),"经常思考")</f>
        <v>经常思考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4" t="s">
        <v>22823</v>
      </c>
      <c r="B21" s="24" t="s">
        <v>22824</v>
      </c>
      <c r="C21" s="24" t="s">
        <v>22825</v>
      </c>
      <c r="D21" s="24" t="s">
        <v>22826</v>
      </c>
      <c r="E21" s="25" t="s">
        <v>22827</v>
      </c>
      <c r="F21" s="25" t="s">
        <v>22828</v>
      </c>
      <c r="G21" s="24" t="s">
        <v>22829</v>
      </c>
      <c r="H21" s="24" t="s">
        <v>22830</v>
      </c>
      <c r="I21" s="24" t="s">
        <v>22831</v>
      </c>
      <c r="J21" s="26" t="str">
        <f>IFERROR(__xludf.DUMMYFUNCTION("GOOGLETRANSLATE(I21,""zh_HANT"",""zh_HANS"")"),"一丝不苟")</f>
        <v>一丝不苟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4" t="s">
        <v>22832</v>
      </c>
      <c r="B22" s="24" t="s">
        <v>22833</v>
      </c>
      <c r="C22" s="24" t="s">
        <v>22834</v>
      </c>
      <c r="D22" s="24" t="s">
        <v>22835</v>
      </c>
      <c r="E22" s="25" t="s">
        <v>22836</v>
      </c>
      <c r="F22" s="25" t="s">
        <v>22837</v>
      </c>
      <c r="G22" s="24" t="s">
        <v>22838</v>
      </c>
      <c r="H22" s="24" t="s">
        <v>22839</v>
      </c>
      <c r="I22" s="24" t="s">
        <v>22840</v>
      </c>
      <c r="J22" s="26" t="str">
        <f>IFERROR(__xludf.DUMMYFUNCTION("GOOGLETRANSLATE(I22,""zh_HANT"",""zh_HANS"")"),"性格强势")</f>
        <v>性格强势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4" t="s">
        <v>22841</v>
      </c>
      <c r="B23" s="24" t="s">
        <v>22842</v>
      </c>
      <c r="C23" s="24" t="s">
        <v>22843</v>
      </c>
      <c r="D23" s="24" t="s">
        <v>22844</v>
      </c>
      <c r="E23" s="25" t="s">
        <v>22845</v>
      </c>
      <c r="F23" s="25" t="s">
        <v>22846</v>
      </c>
      <c r="G23" s="24" t="s">
        <v>22847</v>
      </c>
      <c r="H23" s="24" t="s">
        <v>22848</v>
      </c>
      <c r="I23" s="24" t="s">
        <v>22849</v>
      </c>
      <c r="J23" s="26" t="str">
        <f>IFERROR(__xludf.DUMMYFUNCTION("GOOGLETRANSLATE(I23,""zh_HANT"",""zh_HANS"")"),"有一点点爱慕虚荣")</f>
        <v>有一点点爱慕虚荣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4" t="s">
        <v>22850</v>
      </c>
      <c r="B24" s="24" t="s">
        <v>22851</v>
      </c>
      <c r="C24" s="24" t="s">
        <v>22852</v>
      </c>
      <c r="D24" s="24" t="s">
        <v>22853</v>
      </c>
      <c r="E24" s="25" t="s">
        <v>22854</v>
      </c>
      <c r="F24" s="25" t="s">
        <v>22855</v>
      </c>
      <c r="G24" s="24" t="s">
        <v>22856</v>
      </c>
      <c r="H24" s="24" t="s">
        <v>22857</v>
      </c>
      <c r="I24" s="24" t="s">
        <v>22858</v>
      </c>
      <c r="J24" s="26" t="str">
        <f>IFERROR(__xludf.DUMMYFUNCTION("GOOGLETRANSLATE(I24,""zh_HANT"",""zh_HANS"")"),"争强好胜")</f>
        <v>争强好胜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4" t="s">
        <v>22859</v>
      </c>
      <c r="B25" s="24" t="s">
        <v>22860</v>
      </c>
      <c r="C25" s="24" t="s">
        <v>22861</v>
      </c>
      <c r="D25" s="24" t="s">
        <v>22862</v>
      </c>
      <c r="E25" s="25" t="s">
        <v>22863</v>
      </c>
      <c r="F25" s="25" t="s">
        <v>22864</v>
      </c>
      <c r="G25" s="24" t="s">
        <v>22865</v>
      </c>
      <c r="H25" s="24" t="s">
        <v>22866</v>
      </c>
      <c r="I25" s="24" t="s">
        <v>21077</v>
      </c>
      <c r="J25" s="26" t="str">
        <f>IFERROR(__xludf.DUMMYFUNCTION("GOOGLETRANSLATE(I25,""zh_HANT"",""zh_HANS"")"),"不服输")</f>
        <v>不服输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4" t="s">
        <v>22867</v>
      </c>
      <c r="B26" s="24" t="s">
        <v>22868</v>
      </c>
      <c r="C26" s="24" t="s">
        <v>22869</v>
      </c>
      <c r="D26" s="24" t="s">
        <v>22870</v>
      </c>
      <c r="E26" s="25" t="s">
        <v>22871</v>
      </c>
      <c r="F26" s="25" t="s">
        <v>22872</v>
      </c>
      <c r="G26" s="24" t="s">
        <v>22873</v>
      </c>
      <c r="H26" s="24" t="s">
        <v>22874</v>
      </c>
      <c r="I26" s="24" t="s">
        <v>22875</v>
      </c>
      <c r="J26" s="26" t="str">
        <f>IFERROR(__xludf.DUMMYFUNCTION("GOOGLETRANSLATE(I26,""zh_HANT"",""zh_HANS"")"),"有一点点固执")</f>
        <v>有一点点固执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4" t="s">
        <v>22876</v>
      </c>
      <c r="B27" s="24" t="s">
        <v>22877</v>
      </c>
      <c r="C27" s="24" t="s">
        <v>22878</v>
      </c>
      <c r="D27" s="24" t="s">
        <v>22879</v>
      </c>
      <c r="E27" s="25" t="s">
        <v>22880</v>
      </c>
      <c r="F27" s="25" t="s">
        <v>22881</v>
      </c>
      <c r="G27" s="24" t="s">
        <v>22882</v>
      </c>
      <c r="H27" s="24" t="s">
        <v>22883</v>
      </c>
      <c r="I27" s="24" t="s">
        <v>22884</v>
      </c>
      <c r="J27" s="26" t="str">
        <f>IFERROR(__xludf.DUMMYFUNCTION("GOOGLETRANSLATE(I27,""zh_HANT"",""zh_HANS"")"),"喜欢比谁跑得快")</f>
        <v>喜欢比谁跑得快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4" t="s">
        <v>22885</v>
      </c>
      <c r="B28" s="24" t="s">
        <v>22886</v>
      </c>
      <c r="C28" s="24" t="s">
        <v>22887</v>
      </c>
      <c r="D28" s="24" t="s">
        <v>22888</v>
      </c>
      <c r="E28" s="25" t="s">
        <v>22889</v>
      </c>
      <c r="F28" s="25" t="s">
        <v>22890</v>
      </c>
      <c r="G28" s="24" t="s">
        <v>22891</v>
      </c>
      <c r="H28" s="24" t="s">
        <v>22892</v>
      </c>
      <c r="I28" s="24" t="s">
        <v>22893</v>
      </c>
      <c r="J28" s="26" t="str">
        <f>IFERROR(__xludf.DUMMYFUNCTION("GOOGLETRANSLATE(I28,""zh_HANT"",""zh_HANS"")"),"对声音敏感")</f>
        <v>对声音敏感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4" t="s">
        <v>22894</v>
      </c>
      <c r="B29" s="24" t="s">
        <v>22895</v>
      </c>
      <c r="C29" s="24" t="s">
        <v>22896</v>
      </c>
      <c r="D29" s="24" t="s">
        <v>22897</v>
      </c>
      <c r="E29" s="25" t="s">
        <v>22898</v>
      </c>
      <c r="F29" s="25" t="s">
        <v>22899</v>
      </c>
      <c r="G29" s="24" t="s">
        <v>22900</v>
      </c>
      <c r="H29" s="24" t="s">
        <v>22901</v>
      </c>
      <c r="I29" s="24" t="s">
        <v>22902</v>
      </c>
      <c r="J29" s="26" t="str">
        <f>I29</f>
        <v>冒冒失失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4" t="s">
        <v>22903</v>
      </c>
      <c r="B30" s="24" t="s">
        <v>22904</v>
      </c>
      <c r="C30" s="24" t="s">
        <v>22905</v>
      </c>
      <c r="D30" s="24" t="s">
        <v>22906</v>
      </c>
      <c r="E30" s="25" t="s">
        <v>22907</v>
      </c>
      <c r="F30" s="25" t="s">
        <v>22908</v>
      </c>
      <c r="G30" s="24" t="s">
        <v>22909</v>
      </c>
      <c r="H30" s="24" t="s">
        <v>22883</v>
      </c>
      <c r="I30" s="24" t="s">
        <v>22910</v>
      </c>
      <c r="J30" s="26" t="str">
        <f>IFERROR(__xludf.DUMMYFUNCTION("GOOGLETRANSLATE(I30,""zh_HANT"",""zh_HANS"")"),"有点容易得意忘形")</f>
        <v>有点容易得意忘形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4" t="s">
        <v>22911</v>
      </c>
      <c r="B31" s="24" t="s">
        <v>22912</v>
      </c>
      <c r="C31" s="24" t="s">
        <v>22913</v>
      </c>
      <c r="D31" s="24" t="s">
        <v>22914</v>
      </c>
      <c r="E31" s="25" t="s">
        <v>22915</v>
      </c>
      <c r="F31" s="25" t="s">
        <v>22916</v>
      </c>
      <c r="G31" s="24" t="s">
        <v>22917</v>
      </c>
      <c r="H31" s="24" t="s">
        <v>22918</v>
      </c>
      <c r="I31" s="24" t="s">
        <v>22919</v>
      </c>
      <c r="J31" s="26" t="str">
        <f>I31</f>
        <v>逃得快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2.5"/>
    <col customWidth="1" min="2" max="2" width="17.88"/>
    <col customWidth="1" min="3" max="3" width="16.13"/>
    <col customWidth="1" min="4" max="4" width="17.5"/>
    <col customWidth="1" min="5" max="5" width="16.38"/>
    <col customWidth="1" min="6" max="6" width="16.63"/>
    <col customWidth="1" min="7" max="7" width="16.25"/>
    <col customWidth="1" min="8" max="10" width="14.63"/>
  </cols>
  <sheetData>
    <row r="1">
      <c r="A1" s="2" t="str">
        <f>Pokemon!A1</f>
        <v>keys</v>
      </c>
      <c r="B1" s="2" t="str">
        <f>Pokemon!B1</f>
        <v>en</v>
      </c>
      <c r="C1" s="2" t="str">
        <f>Pokemon!C1</f>
        <v>ja</v>
      </c>
      <c r="D1" s="2" t="str">
        <f>Pokemon!D1</f>
        <v>fr</v>
      </c>
      <c r="E1" s="2" t="str">
        <f>Pokemon!E1</f>
        <v>de</v>
      </c>
      <c r="F1" s="2" t="str">
        <f>Pokemon!F1</f>
        <v>es</v>
      </c>
      <c r="G1" s="2" t="str">
        <f>Pokemon!G1</f>
        <v>it</v>
      </c>
      <c r="H1" s="2" t="str">
        <f>Pokemon!H1</f>
        <v>ko</v>
      </c>
      <c r="I1" s="2" t="str">
        <f>Pokemon!I1</f>
        <v>zh_HK</v>
      </c>
      <c r="J1" s="2" t="str">
        <f>Pokemon!J1</f>
        <v>zh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 t="shared" ref="A2:A53" si="1">CONCATENATE("NAME_ITEM_", SUBSTITUTE(UPPER(B2), " ", ""))</f>
        <v>NAME_ITEM_POTION</v>
      </c>
      <c r="B2" s="3" t="s">
        <v>22920</v>
      </c>
      <c r="C2" s="3" t="s">
        <v>22921</v>
      </c>
      <c r="D2" s="5" t="str">
        <f t="shared" ref="D2:D3" si="2">B2</f>
        <v>Potion</v>
      </c>
      <c r="E2" s="3" t="s">
        <v>22922</v>
      </c>
      <c r="F2" s="3" t="s">
        <v>22923</v>
      </c>
      <c r="G2" s="3" t="s">
        <v>22924</v>
      </c>
      <c r="H2" s="3" t="s">
        <v>22925</v>
      </c>
      <c r="I2" s="3" t="s">
        <v>22926</v>
      </c>
      <c r="J2" s="5" t="str">
        <f>IFERROR(__xludf.DUMMYFUNCTION("GOOGLETRANSLATE(I2,""zh_HANT"",""zh_HANS"")"),"伤药")</f>
        <v>伤药</v>
      </c>
    </row>
    <row r="3">
      <c r="A3" s="5" t="str">
        <f t="shared" si="1"/>
        <v>NAME_ITEM_ANTIDOTE</v>
      </c>
      <c r="B3" s="3" t="s">
        <v>22927</v>
      </c>
      <c r="C3" s="3" t="s">
        <v>22928</v>
      </c>
      <c r="D3" s="5" t="str">
        <f t="shared" si="2"/>
        <v>Antidote</v>
      </c>
      <c r="E3" s="3" t="s">
        <v>22929</v>
      </c>
      <c r="F3" s="3" t="s">
        <v>20785</v>
      </c>
      <c r="G3" s="3" t="s">
        <v>22930</v>
      </c>
      <c r="H3" s="3" t="s">
        <v>22931</v>
      </c>
      <c r="I3" s="3" t="s">
        <v>22932</v>
      </c>
      <c r="J3" s="5" t="str">
        <f>IFERROR(__xludf.DUMMYFUNCTION("GOOGLETRANSLATE(I3,""zh_HANT"",""zh_HANS"")"),"解毒药")</f>
        <v>解毒药</v>
      </c>
    </row>
    <row r="4">
      <c r="A4" s="5" t="str">
        <f t="shared" si="1"/>
        <v>NAME_ITEM_BURNHEAL</v>
      </c>
      <c r="B4" s="3" t="s">
        <v>22933</v>
      </c>
      <c r="C4" s="3" t="s">
        <v>22934</v>
      </c>
      <c r="D4" s="3" t="s">
        <v>22935</v>
      </c>
      <c r="E4" s="3" t="s">
        <v>22936</v>
      </c>
      <c r="F4" s="3" t="s">
        <v>22937</v>
      </c>
      <c r="G4" s="3" t="s">
        <v>22938</v>
      </c>
      <c r="H4" s="3" t="s">
        <v>22939</v>
      </c>
      <c r="I4" s="3" t="s">
        <v>22940</v>
      </c>
      <c r="J4" s="5" t="str">
        <f>IFERROR(__xludf.DUMMYFUNCTION("GOOGLETRANSLATE(I4,""zh_HANT"",""zh_HANS"")"),"灼伤药")</f>
        <v>灼伤药</v>
      </c>
    </row>
    <row r="5">
      <c r="A5" s="5" t="str">
        <f t="shared" si="1"/>
        <v>NAME_ITEM_ICEHEAL</v>
      </c>
      <c r="B5" s="3" t="s">
        <v>22941</v>
      </c>
      <c r="C5" s="3" t="s">
        <v>22942</v>
      </c>
      <c r="D5" s="3" t="s">
        <v>22943</v>
      </c>
      <c r="E5" s="3" t="s">
        <v>22944</v>
      </c>
      <c r="F5" s="3" t="s">
        <v>22945</v>
      </c>
      <c r="G5" s="3" t="s">
        <v>22946</v>
      </c>
      <c r="H5" s="3" t="s">
        <v>22947</v>
      </c>
      <c r="I5" s="3" t="s">
        <v>22948</v>
      </c>
      <c r="J5" s="5" t="str">
        <f>IFERROR(__xludf.DUMMYFUNCTION("GOOGLETRANSLATE(I5,""zh_HANT"",""zh_HANS"")"),"解冻药")</f>
        <v>解冻药</v>
      </c>
    </row>
    <row r="6">
      <c r="A6" s="5" t="str">
        <f t="shared" si="1"/>
        <v>NAME_ITEM_AWAKENING</v>
      </c>
      <c r="B6" s="3" t="s">
        <v>22949</v>
      </c>
      <c r="C6" s="3" t="s">
        <v>22950</v>
      </c>
      <c r="D6" s="3" t="s">
        <v>22951</v>
      </c>
      <c r="E6" s="3" t="s">
        <v>22952</v>
      </c>
      <c r="F6" s="3" t="s">
        <v>22953</v>
      </c>
      <c r="G6" s="3" t="s">
        <v>22954</v>
      </c>
      <c r="H6" s="3" t="s">
        <v>22955</v>
      </c>
      <c r="I6" s="3" t="s">
        <v>22956</v>
      </c>
      <c r="J6" s="5" t="str">
        <f>IFERROR(__xludf.DUMMYFUNCTION("GOOGLETRANSLATE(I6,""zh_HANT"",""zh_HANS"")"),"解眠药")</f>
        <v>解眠药</v>
      </c>
    </row>
    <row r="7">
      <c r="A7" s="5" t="str">
        <f t="shared" si="1"/>
        <v>NAME_ITEM_PARALYZEHEAL</v>
      </c>
      <c r="B7" s="3" t="s">
        <v>22957</v>
      </c>
      <c r="C7" s="3" t="s">
        <v>22958</v>
      </c>
      <c r="D7" s="3" t="s">
        <v>22959</v>
      </c>
      <c r="E7" s="3" t="s">
        <v>22960</v>
      </c>
      <c r="F7" s="3" t="s">
        <v>22961</v>
      </c>
      <c r="G7" s="3" t="s">
        <v>22962</v>
      </c>
      <c r="H7" s="3" t="s">
        <v>22963</v>
      </c>
      <c r="I7" s="3" t="s">
        <v>22964</v>
      </c>
      <c r="J7" s="5" t="str">
        <f>IFERROR(__xludf.DUMMYFUNCTION("GOOGLETRANSLATE(I7,""zh_HANT"",""zh_HANS"")"),"解麻药")</f>
        <v>解麻药</v>
      </c>
    </row>
    <row r="8">
      <c r="A8" s="5" t="str">
        <f t="shared" si="1"/>
        <v>NAME_ITEM_FULLRESTORE</v>
      </c>
      <c r="B8" s="3" t="s">
        <v>22965</v>
      </c>
      <c r="C8" s="3" t="s">
        <v>22966</v>
      </c>
      <c r="D8" s="3" t="s">
        <v>22967</v>
      </c>
      <c r="E8" s="3" t="s">
        <v>22968</v>
      </c>
      <c r="F8" s="3" t="s">
        <v>22969</v>
      </c>
      <c r="G8" s="3" t="s">
        <v>22970</v>
      </c>
      <c r="H8" s="3" t="s">
        <v>22971</v>
      </c>
      <c r="I8" s="3" t="s">
        <v>22972</v>
      </c>
      <c r="J8" s="5" t="str">
        <f>IFERROR(__xludf.DUMMYFUNCTION("GOOGLETRANSLATE(I8,""zh_HANT"",""zh_HANS"")"),"全复药")</f>
        <v>全复药</v>
      </c>
    </row>
    <row r="9">
      <c r="A9" s="5" t="str">
        <f t="shared" si="1"/>
        <v>NAME_ITEM_MAXPOTION</v>
      </c>
      <c r="B9" s="3" t="s">
        <v>22973</v>
      </c>
      <c r="C9" s="3" t="s">
        <v>22974</v>
      </c>
      <c r="D9" s="3" t="s">
        <v>22975</v>
      </c>
      <c r="E9" s="3" t="s">
        <v>22976</v>
      </c>
      <c r="F9" s="3" t="s">
        <v>22977</v>
      </c>
      <c r="G9" s="5" t="str">
        <f>CONCATENATE(G2," Max")</f>
        <v>Pozione Max</v>
      </c>
      <c r="H9" s="3" t="s">
        <v>22978</v>
      </c>
      <c r="I9" s="3" t="s">
        <v>22979</v>
      </c>
      <c r="J9" s="5" t="str">
        <f>IFERROR(__xludf.DUMMYFUNCTION("GOOGLETRANSLATE(I9,""zh_HANT"",""zh_HANS"")"),"全满药")</f>
        <v>全满药</v>
      </c>
    </row>
    <row r="10">
      <c r="A10" s="5" t="str">
        <f t="shared" si="1"/>
        <v>NAME_ITEM_HYPERPOTION</v>
      </c>
      <c r="B10" s="3" t="s">
        <v>22980</v>
      </c>
      <c r="C10" s="5" t="str">
        <f>CONCATENATE("すごい",C2)</f>
        <v>すごいキズぐすり</v>
      </c>
      <c r="D10" s="5" t="str">
        <f t="shared" ref="D10:D11" si="3">B10</f>
        <v>Hyper Potion</v>
      </c>
      <c r="E10" s="3" t="s">
        <v>22981</v>
      </c>
      <c r="F10" s="3" t="s">
        <v>22982</v>
      </c>
      <c r="G10" s="3" t="s">
        <v>22983</v>
      </c>
      <c r="H10" s="3" t="s">
        <v>22984</v>
      </c>
      <c r="I10" s="3" t="s">
        <v>22985</v>
      </c>
      <c r="J10" s="5" t="str">
        <f>IFERROR(__xludf.DUMMYFUNCTION("GOOGLETRANSLATE(I10,""zh_HANT"",""zh_HANS"")"),"厉害伤药")</f>
        <v>厉害伤药</v>
      </c>
    </row>
    <row r="11">
      <c r="A11" s="5" t="str">
        <f t="shared" si="1"/>
        <v>NAME_ITEM_SUPERPOTION</v>
      </c>
      <c r="B11" s="3" t="s">
        <v>22986</v>
      </c>
      <c r="C11" s="5" t="str">
        <f>CONCATENATE("いい",C2)</f>
        <v>いいキズぐすり</v>
      </c>
      <c r="D11" s="5" t="str">
        <f t="shared" si="3"/>
        <v>Super Potion</v>
      </c>
      <c r="E11" s="3" t="s">
        <v>22987</v>
      </c>
      <c r="F11" s="3" t="s">
        <v>22988</v>
      </c>
      <c r="G11" s="3" t="s">
        <v>22989</v>
      </c>
      <c r="H11" s="3" t="s">
        <v>22990</v>
      </c>
      <c r="I11" s="3" t="s">
        <v>22991</v>
      </c>
      <c r="J11" s="5" t="str">
        <f>IFERROR(__xludf.DUMMYFUNCTION("GOOGLETRANSLATE(I11,""zh_HANT"",""zh_HANS"")"),"好伤药")</f>
        <v>好伤药</v>
      </c>
    </row>
    <row r="12">
      <c r="A12" s="5" t="str">
        <f t="shared" si="1"/>
        <v>NAME_ITEM_FULLHEAL</v>
      </c>
      <c r="B12" s="3" t="s">
        <v>22992</v>
      </c>
      <c r="C12" s="3" t="s">
        <v>22993</v>
      </c>
      <c r="D12" s="3" t="s">
        <v>22994</v>
      </c>
      <c r="E12" s="3" t="s">
        <v>22995</v>
      </c>
      <c r="F12" s="3" t="s">
        <v>22996</v>
      </c>
      <c r="G12" s="3" t="s">
        <v>22997</v>
      </c>
      <c r="H12" s="3" t="s">
        <v>22998</v>
      </c>
      <c r="I12" s="3" t="s">
        <v>22999</v>
      </c>
      <c r="J12" s="5" t="str">
        <f>IFERROR(__xludf.DUMMYFUNCTION("GOOGLETRANSLATE(I12,""zh_HANT"",""zh_HANS"")"),"万灵药")</f>
        <v>万灵药</v>
      </c>
    </row>
    <row r="13">
      <c r="A13" s="5" t="str">
        <f t="shared" si="1"/>
        <v>NAME_ITEM_REVIVE</v>
      </c>
      <c r="B13" s="3" t="s">
        <v>23000</v>
      </c>
      <c r="C13" s="3" t="s">
        <v>23001</v>
      </c>
      <c r="D13" s="3" t="s">
        <v>23002</v>
      </c>
      <c r="E13" s="3" t="s">
        <v>23003</v>
      </c>
      <c r="F13" s="3" t="s">
        <v>23004</v>
      </c>
      <c r="G13" s="3" t="s">
        <v>23005</v>
      </c>
      <c r="H13" s="3" t="s">
        <v>23006</v>
      </c>
      <c r="I13" s="3" t="s">
        <v>23007</v>
      </c>
      <c r="J13" s="5" t="str">
        <f>I13</f>
        <v>活力碎片</v>
      </c>
    </row>
    <row r="14">
      <c r="A14" s="5" t="str">
        <f t="shared" si="1"/>
        <v>NAME_ITEM_MAXREVIVE</v>
      </c>
      <c r="B14" s="3" t="s">
        <v>23008</v>
      </c>
      <c r="C14" s="3" t="s">
        <v>23009</v>
      </c>
      <c r="D14" s="3" t="s">
        <v>23010</v>
      </c>
      <c r="E14" s="5" t="str">
        <f>CONCATENATE("Top-",E13)</f>
        <v>Top-Beleber</v>
      </c>
      <c r="F14" s="3" t="s">
        <v>23011</v>
      </c>
      <c r="G14" s="3" t="s">
        <v>23012</v>
      </c>
      <c r="H14" s="3" t="s">
        <v>23013</v>
      </c>
      <c r="I14" s="3" t="s">
        <v>23014</v>
      </c>
      <c r="J14" s="5" t="str">
        <f>IFERROR(__xludf.DUMMYFUNCTION("GOOGLETRANSLATE(I14,""zh_HANT"",""zh_HANS"")"),"活力块")</f>
        <v>活力块</v>
      </c>
    </row>
    <row r="15">
      <c r="A15" s="5" t="str">
        <f t="shared" si="1"/>
        <v>NAME_ITEM_FRESHWATER</v>
      </c>
      <c r="B15" s="3" t="s">
        <v>23015</v>
      </c>
      <c r="C15" s="3" t="s">
        <v>23016</v>
      </c>
      <c r="D15" s="3" t="s">
        <v>23017</v>
      </c>
      <c r="E15" s="3" t="s">
        <v>23018</v>
      </c>
      <c r="F15" s="3" t="s">
        <v>23019</v>
      </c>
      <c r="G15" s="3" t="s">
        <v>23020</v>
      </c>
      <c r="H15" s="3" t="s">
        <v>23021</v>
      </c>
      <c r="I15" s="3" t="s">
        <v>23022</v>
      </c>
      <c r="J15" s="5" t="str">
        <f>I15</f>
        <v>美味之水</v>
      </c>
    </row>
    <row r="16">
      <c r="A16" s="5" t="str">
        <f t="shared" si="1"/>
        <v>NAME_ITEM_SODAPOP</v>
      </c>
      <c r="B16" s="3" t="s">
        <v>23023</v>
      </c>
      <c r="C16" s="3" t="s">
        <v>23024</v>
      </c>
      <c r="D16" s="3" t="s">
        <v>23025</v>
      </c>
      <c r="E16" s="3" t="s">
        <v>23026</v>
      </c>
      <c r="F16" s="3" t="s">
        <v>23027</v>
      </c>
      <c r="G16" s="3" t="s">
        <v>23028</v>
      </c>
      <c r="H16" s="3" t="s">
        <v>23029</v>
      </c>
      <c r="I16" s="3" t="s">
        <v>23030</v>
      </c>
      <c r="J16" s="5" t="str">
        <f>IFERROR(__xludf.DUMMYFUNCTION("GOOGLETRANSLATE(I16,""zh_HANT"",""zh_HANS"")"),"劲爽汽水")</f>
        <v>劲爽汽水</v>
      </c>
    </row>
    <row r="17">
      <c r="A17" s="5" t="str">
        <f t="shared" si="1"/>
        <v>NAME_ITEM_LEMONADE</v>
      </c>
      <c r="B17" s="3" t="s">
        <v>23031</v>
      </c>
      <c r="C17" s="3" t="s">
        <v>23032</v>
      </c>
      <c r="D17" s="3" t="s">
        <v>23033</v>
      </c>
      <c r="E17" s="3" t="str">
        <f>D17</f>
        <v>Limonade</v>
      </c>
      <c r="F17" s="3" t="s">
        <v>23034</v>
      </c>
      <c r="G17" s="3" t="s">
        <v>23035</v>
      </c>
      <c r="H17" s="3" t="s">
        <v>23036</v>
      </c>
      <c r="I17" s="3" t="s">
        <v>23037</v>
      </c>
      <c r="J17" s="5" t="str">
        <f>I17</f>
        <v>果汁牛奶</v>
      </c>
    </row>
    <row r="18">
      <c r="A18" s="5" t="str">
        <f t="shared" si="1"/>
        <v>NAME_ITEM_ETHER</v>
      </c>
      <c r="B18" s="3" t="s">
        <v>23038</v>
      </c>
      <c r="C18" s="3" t="s">
        <v>23039</v>
      </c>
      <c r="D18" s="3" t="s">
        <v>23040</v>
      </c>
      <c r="E18" s="3" t="s">
        <v>23041</v>
      </c>
      <c r="F18" s="3" t="s">
        <v>23042</v>
      </c>
      <c r="G18" s="3" t="s">
        <v>23043</v>
      </c>
      <c r="H18" s="3" t="s">
        <v>23044</v>
      </c>
      <c r="I18" s="3" t="s">
        <v>23045</v>
      </c>
      <c r="J18" s="5" t="str">
        <f>IFERROR(__xludf.DUMMYFUNCTION("GOOGLETRANSLATE(I18,""zh_HANT"",""zh_HANS"")"),"ＰＰ单项小补剂")</f>
        <v>ＰＰ单项小补剂</v>
      </c>
    </row>
    <row r="19">
      <c r="A19" s="5" t="str">
        <f t="shared" si="1"/>
        <v>NAME_ITEM_MAXETHER</v>
      </c>
      <c r="B19" s="3" t="s">
        <v>23046</v>
      </c>
      <c r="C19" s="3" t="s">
        <v>23047</v>
      </c>
      <c r="D19" s="3" t="s">
        <v>23048</v>
      </c>
      <c r="E19" s="5" t="str">
        <f>CONCATENATE("Top-",E18)</f>
        <v>Top-Äther</v>
      </c>
      <c r="F19" s="3" t="s">
        <v>23049</v>
      </c>
      <c r="G19" s="3" t="str">
        <f>CONCATENATE(G18," Max")</f>
        <v>Etere Max</v>
      </c>
      <c r="H19" s="3" t="s">
        <v>23050</v>
      </c>
      <c r="I19" s="3" t="s">
        <v>23051</v>
      </c>
      <c r="J19" s="5" t="str">
        <f>IFERROR(__xludf.DUMMYFUNCTION("GOOGLETRANSLATE(I19,""zh_HANT"",""zh_HANS"")"),"ＰＰ单项全补剂")</f>
        <v>ＰＰ单项全补剂</v>
      </c>
    </row>
    <row r="20">
      <c r="A20" s="5" t="str">
        <f t="shared" si="1"/>
        <v>NAME_ITEM_ELIXIR</v>
      </c>
      <c r="B20" s="3" t="s">
        <v>23052</v>
      </c>
      <c r="C20" s="3" t="s">
        <v>23053</v>
      </c>
      <c r="D20" s="3" t="s">
        <v>23054</v>
      </c>
      <c r="E20" s="3" t="s">
        <v>23055</v>
      </c>
      <c r="F20" s="3" t="s">
        <v>23052</v>
      </c>
      <c r="G20" s="3" t="s">
        <v>23056</v>
      </c>
      <c r="H20" s="3" t="s">
        <v>23057</v>
      </c>
      <c r="I20" s="3" t="s">
        <v>23058</v>
      </c>
      <c r="J20" s="5" t="str">
        <f>IFERROR(__xludf.DUMMYFUNCTION("GOOGLETRANSLATE(I20,""zh_HANT"",""zh_HANS"")"),"ＰＰ多项小补剂")</f>
        <v>ＰＰ多项小补剂</v>
      </c>
    </row>
    <row r="21">
      <c r="A21" s="5" t="str">
        <f t="shared" si="1"/>
        <v>NAME_ITEM_MAXELIXIR</v>
      </c>
      <c r="B21" s="3" t="s">
        <v>23059</v>
      </c>
      <c r="C21" s="3" t="s">
        <v>23060</v>
      </c>
      <c r="D21" s="3" t="str">
        <f>CONCATENATE(D20," Max")</f>
        <v>Élixir Max</v>
      </c>
      <c r="E21" s="5" t="str">
        <f>CONCATENATE("Top-",E20)</f>
        <v>Top-Elixier</v>
      </c>
      <c r="F21" s="3" t="s">
        <v>23061</v>
      </c>
      <c r="G21" s="3" t="str">
        <f>CONCATENATE(G20," Max")</f>
        <v>Elisir Max</v>
      </c>
      <c r="H21" s="3" t="s">
        <v>23062</v>
      </c>
      <c r="I21" s="3" t="s">
        <v>23063</v>
      </c>
      <c r="J21" s="5" t="str">
        <f>IFERROR(__xludf.DUMMYFUNCTION("GOOGLETRANSLATE(I21,""zh_HANT"",""zh_HANS"")"),"ＰＰ多项全补剂")</f>
        <v>ＰＰ多项全补剂</v>
      </c>
    </row>
    <row r="22">
      <c r="A22" s="5" t="str">
        <f t="shared" si="1"/>
        <v>NAME_ITEM_HPUP</v>
      </c>
      <c r="B22" s="3" t="s">
        <v>23064</v>
      </c>
      <c r="C22" s="3" t="s">
        <v>23065</v>
      </c>
      <c r="D22" s="3" t="s">
        <v>23066</v>
      </c>
      <c r="E22" s="3" t="s">
        <v>23067</v>
      </c>
      <c r="F22" s="3" t="s">
        <v>23068</v>
      </c>
      <c r="G22" s="3" t="s">
        <v>23069</v>
      </c>
      <c r="H22" s="3" t="s">
        <v>23070</v>
      </c>
      <c r="I22" s="3" t="s">
        <v>23071</v>
      </c>
      <c r="J22" s="5" t="str">
        <f>IFERROR(__xludf.DUMMYFUNCTION("GOOGLETRANSLATE(I22,""zh_HANT"",""zh_HANS"")"),"ＨＰ增强剂")</f>
        <v>ＨＰ增强剂</v>
      </c>
    </row>
    <row r="23">
      <c r="A23" s="5" t="str">
        <f t="shared" si="1"/>
        <v>NAME_ITEM_PROTEIN</v>
      </c>
      <c r="B23" s="3" t="s">
        <v>23072</v>
      </c>
      <c r="C23" s="3" t="s">
        <v>23073</v>
      </c>
      <c r="D23" s="3" t="s">
        <v>23074</v>
      </c>
      <c r="E23" s="5" t="str">
        <f>B23</f>
        <v>Protein</v>
      </c>
      <c r="F23" s="3" t="s">
        <v>23075</v>
      </c>
      <c r="G23" s="3" t="s">
        <v>23076</v>
      </c>
      <c r="H23" s="3" t="s">
        <v>23077</v>
      </c>
      <c r="I23" s="3" t="s">
        <v>23078</v>
      </c>
      <c r="J23" s="5" t="str">
        <f>IFERROR(__xludf.DUMMYFUNCTION("GOOGLETRANSLATE(I23,""zh_HANT"",""zh_HANS"")"),"攻击增强剂")</f>
        <v>攻击增强剂</v>
      </c>
    </row>
    <row r="24">
      <c r="A24" s="5" t="str">
        <f t="shared" si="1"/>
        <v>NAME_ITEM_IRON</v>
      </c>
      <c r="B24" s="3" t="s">
        <v>9333</v>
      </c>
      <c r="C24" s="3" t="s">
        <v>23079</v>
      </c>
      <c r="D24" s="3" t="s">
        <v>9335</v>
      </c>
      <c r="E24" s="3" t="s">
        <v>9336</v>
      </c>
      <c r="F24" s="3" t="s">
        <v>9337</v>
      </c>
      <c r="G24" s="3" t="s">
        <v>9338</v>
      </c>
      <c r="H24" s="3" t="s">
        <v>23080</v>
      </c>
      <c r="I24" s="3" t="s">
        <v>23081</v>
      </c>
      <c r="J24" s="5" t="str">
        <f>IFERROR(__xludf.DUMMYFUNCTION("GOOGLETRANSLATE(I24,""zh_HANT"",""zh_HANS"")"),"防御增强剂")</f>
        <v>防御增强剂</v>
      </c>
    </row>
    <row r="25">
      <c r="A25" s="5" t="str">
        <f t="shared" si="1"/>
        <v>NAME_ITEM_CARBOS</v>
      </c>
      <c r="B25" s="3" t="s">
        <v>23082</v>
      </c>
      <c r="C25" s="3" t="s">
        <v>23083</v>
      </c>
      <c r="D25" s="3" t="str">
        <f>CONCATENATE(E25,"e")</f>
        <v>Carbone</v>
      </c>
      <c r="E25" s="3" t="s">
        <v>23084</v>
      </c>
      <c r="F25" s="3" t="s">
        <v>23085</v>
      </c>
      <c r="G25" s="5" t="str">
        <f t="shared" ref="G25:G26" si="4">F25</f>
        <v>Carburante</v>
      </c>
      <c r="H25" s="3" t="s">
        <v>23086</v>
      </c>
      <c r="I25" s="3" t="s">
        <v>23087</v>
      </c>
      <c r="J25" s="5" t="str">
        <f>IFERROR(__xludf.DUMMYFUNCTION("GOOGLETRANSLATE(I25,""zh_HANT"",""zh_HANS"")"),"速度增强剂")</f>
        <v>速度增强剂</v>
      </c>
    </row>
    <row r="26">
      <c r="A26" s="5" t="str">
        <f t="shared" si="1"/>
        <v>NAME_ITEM_CALCIUM</v>
      </c>
      <c r="B26" s="3" t="s">
        <v>23088</v>
      </c>
      <c r="C26" s="3" t="s">
        <v>23089</v>
      </c>
      <c r="D26" s="3" t="str">
        <f>B26</f>
        <v>Calcium</v>
      </c>
      <c r="E26" s="3" t="s">
        <v>23090</v>
      </c>
      <c r="F26" s="3" t="s">
        <v>23091</v>
      </c>
      <c r="G26" s="5" t="str">
        <f t="shared" si="4"/>
        <v>Calcio</v>
      </c>
      <c r="H26" s="3" t="s">
        <v>23092</v>
      </c>
      <c r="I26" s="3" t="s">
        <v>23093</v>
      </c>
      <c r="J26" s="5" t="str">
        <f>IFERROR(__xludf.DUMMYFUNCTION("GOOGLETRANSLATE(I26,""zh_HANT"",""zh_HANS"")"),"特攻增强剂")</f>
        <v>特攻增强剂</v>
      </c>
    </row>
    <row r="27">
      <c r="A27" s="5" t="str">
        <f t="shared" si="1"/>
        <v>NAME_ITEM_RARECANDY</v>
      </c>
      <c r="B27" s="3" t="s">
        <v>23094</v>
      </c>
      <c r="C27" s="3" t="s">
        <v>23095</v>
      </c>
      <c r="D27" s="3" t="s">
        <v>23096</v>
      </c>
      <c r="E27" s="3" t="s">
        <v>23097</v>
      </c>
      <c r="F27" s="3" t="s">
        <v>23098</v>
      </c>
      <c r="G27" s="3" t="s">
        <v>23099</v>
      </c>
      <c r="H27" s="3" t="s">
        <v>23100</v>
      </c>
      <c r="I27" s="3" t="s">
        <v>23101</v>
      </c>
      <c r="J27" s="5" t="str">
        <f>I27</f>
        <v>神奇糖果</v>
      </c>
    </row>
    <row r="28">
      <c r="A28" s="5" t="str">
        <f t="shared" si="1"/>
        <v>NAME_ITEM_PPUP</v>
      </c>
      <c r="B28" s="3" t="s">
        <v>23102</v>
      </c>
      <c r="C28" s="3" t="s">
        <v>23103</v>
      </c>
      <c r="D28" s="3" t="s">
        <v>23104</v>
      </c>
      <c r="E28" s="3" t="s">
        <v>23105</v>
      </c>
      <c r="F28" s="3" t="s">
        <v>23106</v>
      </c>
      <c r="G28" s="3" t="s">
        <v>23107</v>
      </c>
      <c r="H28" s="3" t="s">
        <v>23108</v>
      </c>
      <c r="I28" s="3" t="s">
        <v>23109</v>
      </c>
      <c r="J28" s="5" t="str">
        <f>IFERROR(__xludf.DUMMYFUNCTION("GOOGLETRANSLATE(I28,""zh_HANT"",""zh_HANS"")"),"ＰＰ提升剂")</f>
        <v>ＰＰ提升剂</v>
      </c>
    </row>
    <row r="29">
      <c r="A29" s="5" t="str">
        <f t="shared" si="1"/>
        <v>NAME_ITEM_MOOMOOMILK</v>
      </c>
      <c r="B29" s="3" t="s">
        <v>23110</v>
      </c>
      <c r="C29" s="3" t="s">
        <v>23111</v>
      </c>
      <c r="D29" s="3" t="s">
        <v>23112</v>
      </c>
      <c r="E29" s="3" t="s">
        <v>23113</v>
      </c>
      <c r="F29" s="3" t="s">
        <v>23114</v>
      </c>
      <c r="G29" s="3" t="s">
        <v>23115</v>
      </c>
      <c r="H29" s="3" t="s">
        <v>23116</v>
      </c>
      <c r="I29" s="3" t="s">
        <v>23117</v>
      </c>
      <c r="J29" s="5" t="str">
        <f>IFERROR(__xludf.DUMMYFUNCTION("GOOGLETRANSLATE(I29,""zh_HANT"",""zh_HANS"")"),"哞哞鲜奶")</f>
        <v>哞哞鲜奶</v>
      </c>
    </row>
    <row r="30">
      <c r="A30" s="5" t="str">
        <f t="shared" si="1"/>
        <v>NAME_ITEM_ENERGYPOWDER</v>
      </c>
      <c r="B30" s="3" t="s">
        <v>23118</v>
      </c>
      <c r="C30" s="3" t="s">
        <v>23119</v>
      </c>
      <c r="D30" s="3" t="s">
        <v>23120</v>
      </c>
      <c r="E30" s="3" t="s">
        <v>23121</v>
      </c>
      <c r="F30" s="3" t="s">
        <v>23122</v>
      </c>
      <c r="G30" s="3" t="s">
        <v>23123</v>
      </c>
      <c r="H30" s="3" t="s">
        <v>23124</v>
      </c>
      <c r="I30" s="3" t="s">
        <v>23125</v>
      </c>
      <c r="J30" s="5" t="str">
        <f>IFERROR(__xludf.DUMMYFUNCTION("GOOGLETRANSLATE(I30,""zh_HANT"",""zh_HANS"")"),"元气粉")</f>
        <v>元气粉</v>
      </c>
    </row>
    <row r="31">
      <c r="A31" s="5" t="str">
        <f t="shared" si="1"/>
        <v>NAME_ITEM_ENERGYROOT</v>
      </c>
      <c r="B31" s="3" t="s">
        <v>23126</v>
      </c>
      <c r="C31" s="3" t="s">
        <v>23127</v>
      </c>
      <c r="D31" s="3" t="s">
        <v>23128</v>
      </c>
      <c r="E31" s="3" t="s">
        <v>23129</v>
      </c>
      <c r="F31" s="3" t="s">
        <v>23130</v>
      </c>
      <c r="G31" s="3" t="s">
        <v>23131</v>
      </c>
      <c r="H31" s="3" t="s">
        <v>23132</v>
      </c>
      <c r="I31" s="3" t="s">
        <v>23133</v>
      </c>
      <c r="J31" s="5" t="str">
        <f>IFERROR(__xludf.DUMMYFUNCTION("GOOGLETRANSLATE(I31,""zh_HANT"",""zh_HANS"")"),"元气根")</f>
        <v>元气根</v>
      </c>
    </row>
    <row r="32">
      <c r="A32" s="5" t="str">
        <f t="shared" si="1"/>
        <v>NAME_ITEM_HEALPOWDER</v>
      </c>
      <c r="B32" s="3" t="s">
        <v>23134</v>
      </c>
      <c r="C32" s="3" t="s">
        <v>23135</v>
      </c>
      <c r="D32" s="3" t="s">
        <v>23136</v>
      </c>
      <c r="E32" s="3" t="s">
        <v>23137</v>
      </c>
      <c r="F32" s="3" t="s">
        <v>23138</v>
      </c>
      <c r="G32" s="3" t="s">
        <v>23139</v>
      </c>
      <c r="H32" s="3" t="s">
        <v>23140</v>
      </c>
      <c r="I32" s="3" t="s">
        <v>23141</v>
      </c>
      <c r="J32" s="5" t="str">
        <f>IFERROR(__xludf.DUMMYFUNCTION("GOOGLETRANSLATE(I32,""zh_HANT"",""zh_HANS"")"),"万能粉")</f>
        <v>万能粉</v>
      </c>
    </row>
    <row r="33">
      <c r="A33" s="5" t="str">
        <f t="shared" si="1"/>
        <v>NAME_ITEM_REVIVALHERB</v>
      </c>
      <c r="B33" s="3" t="s">
        <v>23142</v>
      </c>
      <c r="C33" s="3" t="s">
        <v>23143</v>
      </c>
      <c r="D33" s="3" t="s">
        <v>23144</v>
      </c>
      <c r="E33" s="3" t="s">
        <v>23145</v>
      </c>
      <c r="F33" s="3" t="s">
        <v>23146</v>
      </c>
      <c r="G33" s="3" t="s">
        <v>23147</v>
      </c>
      <c r="H33" s="3" t="s">
        <v>23148</v>
      </c>
      <c r="I33" s="3" t="s">
        <v>23149</v>
      </c>
      <c r="J33" s="5" t="str">
        <f>IFERROR(__xludf.DUMMYFUNCTION("GOOGLETRANSLATE(I33,""zh_HANT"",""zh_HANS"")"),"复活草")</f>
        <v>复活草</v>
      </c>
    </row>
    <row r="34">
      <c r="A34" s="5" t="str">
        <f t="shared" si="1"/>
        <v>NAME_ITEM_BERRYJUICE</v>
      </c>
      <c r="B34" s="3" t="s">
        <v>23150</v>
      </c>
      <c r="C34" s="3" t="s">
        <v>23151</v>
      </c>
      <c r="D34" s="3" t="s">
        <v>23152</v>
      </c>
      <c r="E34" s="3" t="s">
        <v>23153</v>
      </c>
      <c r="F34" s="3" t="s">
        <v>23154</v>
      </c>
      <c r="G34" s="3" t="s">
        <v>23155</v>
      </c>
      <c r="H34" s="3" t="s">
        <v>23156</v>
      </c>
      <c r="I34" s="3" t="s">
        <v>23157</v>
      </c>
      <c r="J34" s="5" t="str">
        <f>IFERROR(__xludf.DUMMYFUNCTION("GOOGLETRANSLATE(I34,""zh_HANT"",""zh_HANS"")"),"树果汁")</f>
        <v>树果汁</v>
      </c>
    </row>
    <row r="35">
      <c r="A35" s="5" t="str">
        <f t="shared" si="1"/>
        <v>NAME_ITEM_SACREDASH</v>
      </c>
      <c r="B35" s="3" t="s">
        <v>23158</v>
      </c>
      <c r="C35" s="3" t="s">
        <v>23159</v>
      </c>
      <c r="D35" s="3" t="s">
        <v>23160</v>
      </c>
      <c r="E35" s="3" t="s">
        <v>23161</v>
      </c>
      <c r="F35" s="6" t="s">
        <v>23162</v>
      </c>
      <c r="G35" s="3" t="s">
        <v>23163</v>
      </c>
      <c r="H35" s="3" t="s">
        <v>23164</v>
      </c>
      <c r="I35" s="3" t="s">
        <v>23165</v>
      </c>
      <c r="J35" s="5" t="str">
        <f>IFERROR(__xludf.DUMMYFUNCTION("GOOGLETRANSLATE(I35,""zh_HANT"",""zh_HANS"")"),"圣灰")</f>
        <v>圣灰</v>
      </c>
    </row>
    <row r="36">
      <c r="A36" s="5" t="str">
        <f t="shared" si="1"/>
        <v>NAME_ITEM_RAGECANDYBAR</v>
      </c>
      <c r="B36" s="3" t="s">
        <v>23166</v>
      </c>
      <c r="C36" s="3" t="s">
        <v>23167</v>
      </c>
      <c r="D36" s="3" t="s">
        <v>23168</v>
      </c>
      <c r="E36" s="3" t="s">
        <v>23169</v>
      </c>
      <c r="F36" s="7" t="s">
        <v>23170</v>
      </c>
      <c r="G36" s="3" t="s">
        <v>23171</v>
      </c>
      <c r="H36" s="3" t="s">
        <v>23172</v>
      </c>
      <c r="I36" s="3" t="s">
        <v>23173</v>
      </c>
      <c r="J36" s="5" t="str">
        <f>IFERROR(__xludf.DUMMYFUNCTION("GOOGLETRANSLATE(I36,""zh_HANT"",""zh_HANS"")"),"愤怒馒头")</f>
        <v>愤怒馒头</v>
      </c>
    </row>
    <row r="37">
      <c r="A37" s="5" t="str">
        <f t="shared" si="1"/>
        <v>NAME_ITEM_LAVACOOKIE</v>
      </c>
      <c r="B37" s="3" t="s">
        <v>23174</v>
      </c>
      <c r="C37" s="3" t="s">
        <v>23175</v>
      </c>
      <c r="D37" s="5" t="str">
        <f>B37</f>
        <v>Lava Cookie</v>
      </c>
      <c r="E37" s="3" t="s">
        <v>23176</v>
      </c>
      <c r="F37" s="3" t="s">
        <v>23177</v>
      </c>
      <c r="G37" s="3" t="s">
        <v>23178</v>
      </c>
      <c r="H37" s="3" t="s">
        <v>23179</v>
      </c>
      <c r="I37" s="3" t="s">
        <v>23180</v>
      </c>
      <c r="J37" s="5" t="str">
        <f>IFERROR(__xludf.DUMMYFUNCTION("GOOGLETRANSLATE(I37,""zh_HANT"",""zh_HANS"")"),"釜炎仙贝")</f>
        <v>釜炎仙贝</v>
      </c>
    </row>
    <row r="38">
      <c r="A38" s="5" t="str">
        <f t="shared" si="1"/>
        <v>NAME_ITEM_ZINC</v>
      </c>
      <c r="B38" s="3" t="s">
        <v>23181</v>
      </c>
      <c r="C38" s="3" t="s">
        <v>23182</v>
      </c>
      <c r="D38" s="3" t="s">
        <v>23181</v>
      </c>
      <c r="E38" s="3" t="s">
        <v>23183</v>
      </c>
      <c r="F38" s="3" t="s">
        <v>23181</v>
      </c>
      <c r="G38" s="5" t="str">
        <f>CONCATENATE(B38,"o")</f>
        <v>Zinco</v>
      </c>
      <c r="H38" s="3" t="s">
        <v>23184</v>
      </c>
      <c r="I38" s="3" t="s">
        <v>23185</v>
      </c>
      <c r="J38" s="5" t="str">
        <f>IFERROR(__xludf.DUMMYFUNCTION("GOOGLETRANSLATE(I38,""zh_HANT"",""zh_HANS"")"),"特防增强剂")</f>
        <v>特防增强剂</v>
      </c>
    </row>
    <row r="39">
      <c r="A39" s="5" t="str">
        <f t="shared" si="1"/>
        <v>NAME_ITEM_PPMAX</v>
      </c>
      <c r="B39" s="3" t="s">
        <v>23186</v>
      </c>
      <c r="C39" s="3" t="s">
        <v>23187</v>
      </c>
      <c r="D39" s="5" t="str">
        <f>B39</f>
        <v>PP Max</v>
      </c>
      <c r="E39" s="3" t="s">
        <v>23188</v>
      </c>
      <c r="F39" s="3" t="s">
        <v>23189</v>
      </c>
      <c r="G39" s="3" t="s">
        <v>23190</v>
      </c>
      <c r="H39" s="3" t="s">
        <v>23191</v>
      </c>
      <c r="I39" s="3" t="s">
        <v>23192</v>
      </c>
      <c r="J39" s="5" t="str">
        <f>IFERROR(__xludf.DUMMYFUNCTION("GOOGLETRANSLATE(I39,""zh_HANT"",""zh_HANS"")"),"ＰＰ极限提升剂")</f>
        <v>ＰＰ极限提升剂</v>
      </c>
    </row>
    <row r="40">
      <c r="A40" s="5" t="str">
        <f t="shared" si="1"/>
        <v>NAME_ITEM_OLDGATEAU</v>
      </c>
      <c r="B40" s="3" t="s">
        <v>23193</v>
      </c>
      <c r="C40" s="3" t="s">
        <v>23194</v>
      </c>
      <c r="D40" s="3" t="s">
        <v>23195</v>
      </c>
      <c r="E40" s="3" t="s">
        <v>23196</v>
      </c>
      <c r="F40" s="7" t="s">
        <v>23197</v>
      </c>
      <c r="G40" s="3" t="s">
        <v>23198</v>
      </c>
      <c r="H40" s="3" t="s">
        <v>23199</v>
      </c>
      <c r="I40" s="3" t="s">
        <v>23200</v>
      </c>
      <c r="J40" s="5" t="str">
        <f>I40</f>
        <v>森之羊羹</v>
      </c>
    </row>
    <row r="41">
      <c r="A41" s="5" t="str">
        <f t="shared" si="1"/>
        <v>NAME_ITEM_SWEETHEART</v>
      </c>
      <c r="B41" s="3" t="s">
        <v>23201</v>
      </c>
      <c r="C41" s="3" t="s">
        <v>23202</v>
      </c>
      <c r="D41" s="3" t="s">
        <v>23203</v>
      </c>
      <c r="E41" s="3" t="s">
        <v>23204</v>
      </c>
      <c r="F41" s="7" t="s">
        <v>23205</v>
      </c>
      <c r="G41" s="3" t="s">
        <v>23206</v>
      </c>
      <c r="H41" s="3" t="s">
        <v>23207</v>
      </c>
      <c r="I41" s="3" t="s">
        <v>23208</v>
      </c>
      <c r="J41" s="5" t="str">
        <f>IFERROR(__xludf.DUMMYFUNCTION("GOOGLETRANSLATE(I41,""zh_HANT"",""zh_HANS"")"),"心形甜点")</f>
        <v>心形甜点</v>
      </c>
    </row>
    <row r="42">
      <c r="A42" s="5" t="str">
        <f t="shared" si="1"/>
        <v>NAME_ITEM_HEALTHFEATHER</v>
      </c>
      <c r="B42" s="3" t="s">
        <v>23209</v>
      </c>
      <c r="C42" s="3" t="s">
        <v>23210</v>
      </c>
      <c r="D42" s="3" t="s">
        <v>23211</v>
      </c>
      <c r="E42" s="3" t="s">
        <v>23212</v>
      </c>
      <c r="F42" s="3" t="s">
        <v>23213</v>
      </c>
      <c r="G42" s="3" t="s">
        <v>23214</v>
      </c>
      <c r="H42" s="3" t="s">
        <v>23215</v>
      </c>
      <c r="I42" s="3" t="s">
        <v>23216</v>
      </c>
      <c r="J42" s="5" t="str">
        <f>IFERROR(__xludf.DUMMYFUNCTION("GOOGLETRANSLATE(I42,""zh_HANT"",""zh_HANS"")"),"体力之羽")</f>
        <v>体力之羽</v>
      </c>
    </row>
    <row r="43">
      <c r="A43" s="5" t="str">
        <f t="shared" si="1"/>
        <v>NAME_ITEM_MUSCLEFEATHER</v>
      </c>
      <c r="B43" s="3" t="s">
        <v>23217</v>
      </c>
      <c r="C43" s="3" t="s">
        <v>23218</v>
      </c>
      <c r="D43" s="3" t="s">
        <v>23219</v>
      </c>
      <c r="E43" s="3" t="s">
        <v>23220</v>
      </c>
      <c r="F43" s="3" t="s">
        <v>23221</v>
      </c>
      <c r="G43" s="3" t="s">
        <v>23222</v>
      </c>
      <c r="H43" s="3" t="s">
        <v>23223</v>
      </c>
      <c r="I43" s="3" t="s">
        <v>23224</v>
      </c>
      <c r="J43" s="5" t="str">
        <f t="shared" ref="J43:J46" si="5">I43</f>
        <v>肌力之羽</v>
      </c>
    </row>
    <row r="44">
      <c r="A44" s="5" t="str">
        <f t="shared" si="1"/>
        <v>NAME_ITEM_RESISTFEATHER</v>
      </c>
      <c r="B44" s="3" t="s">
        <v>23225</v>
      </c>
      <c r="C44" s="3" t="s">
        <v>23226</v>
      </c>
      <c r="D44" s="3" t="s">
        <v>23227</v>
      </c>
      <c r="E44" s="3" t="s">
        <v>23228</v>
      </c>
      <c r="F44" s="3" t="s">
        <v>23229</v>
      </c>
      <c r="G44" s="3" t="s">
        <v>23230</v>
      </c>
      <c r="H44" s="3" t="s">
        <v>23231</v>
      </c>
      <c r="I44" s="3" t="s">
        <v>23232</v>
      </c>
      <c r="J44" s="5" t="str">
        <f t="shared" si="5"/>
        <v>抵抗之羽</v>
      </c>
    </row>
    <row r="45">
      <c r="A45" s="5" t="str">
        <f t="shared" si="1"/>
        <v>NAME_ITEM_GENIUSFEATHER</v>
      </c>
      <c r="B45" s="3" t="s">
        <v>23233</v>
      </c>
      <c r="C45" s="3" t="s">
        <v>23234</v>
      </c>
      <c r="D45" s="3" t="s">
        <v>23235</v>
      </c>
      <c r="E45" s="3" t="s">
        <v>23236</v>
      </c>
      <c r="F45" s="3" t="s">
        <v>23237</v>
      </c>
      <c r="G45" s="3" t="s">
        <v>23238</v>
      </c>
      <c r="H45" s="3" t="s">
        <v>23239</v>
      </c>
      <c r="I45" s="3" t="s">
        <v>23240</v>
      </c>
      <c r="J45" s="5" t="str">
        <f t="shared" si="5"/>
        <v>智力之羽</v>
      </c>
    </row>
    <row r="46">
      <c r="A46" s="5" t="str">
        <f t="shared" si="1"/>
        <v>NAME_ITEM_CLEVERFEATHER</v>
      </c>
      <c r="B46" s="3" t="s">
        <v>23241</v>
      </c>
      <c r="C46" s="3" t="s">
        <v>23242</v>
      </c>
      <c r="D46" s="3" t="s">
        <v>23243</v>
      </c>
      <c r="E46" s="3" t="s">
        <v>23244</v>
      </c>
      <c r="F46" s="3" t="s">
        <v>23245</v>
      </c>
      <c r="G46" s="3" t="s">
        <v>23246</v>
      </c>
      <c r="H46" s="3" t="s">
        <v>23247</v>
      </c>
      <c r="I46" s="3" t="s">
        <v>23248</v>
      </c>
      <c r="J46" s="5" t="str">
        <f t="shared" si="5"/>
        <v>精神之羽</v>
      </c>
    </row>
    <row r="47">
      <c r="A47" s="5" t="str">
        <f t="shared" si="1"/>
        <v>NAME_ITEM_SWIFTFEATHER</v>
      </c>
      <c r="B47" s="3" t="s">
        <v>23249</v>
      </c>
      <c r="C47" s="3" t="s">
        <v>23250</v>
      </c>
      <c r="D47" s="3" t="s">
        <v>23251</v>
      </c>
      <c r="E47" s="3" t="s">
        <v>23252</v>
      </c>
      <c r="F47" s="3" t="s">
        <v>23253</v>
      </c>
      <c r="G47" s="3" t="s">
        <v>23254</v>
      </c>
      <c r="H47" s="3" t="s">
        <v>23255</v>
      </c>
      <c r="I47" s="3" t="s">
        <v>23256</v>
      </c>
      <c r="J47" s="5" t="str">
        <f>IFERROR(__xludf.DUMMYFUNCTION("GOOGLETRANSLATE(I47,""zh_HANT"",""zh_HANS"")"),"瞬发之羽")</f>
        <v>瞬发之羽</v>
      </c>
    </row>
    <row r="48">
      <c r="A48" s="5" t="str">
        <f t="shared" si="1"/>
        <v>NAME_ITEM_CASTELIACONE</v>
      </c>
      <c r="B48" s="3" t="s">
        <v>23257</v>
      </c>
      <c r="C48" s="3" t="s">
        <v>23258</v>
      </c>
      <c r="D48" s="3" t="s">
        <v>23259</v>
      </c>
      <c r="E48" s="3" t="s">
        <v>23260</v>
      </c>
      <c r="F48" s="3" t="s">
        <v>23261</v>
      </c>
      <c r="G48" s="3" t="s">
        <v>23262</v>
      </c>
      <c r="H48" s="3" t="s">
        <v>23263</v>
      </c>
      <c r="I48" s="3" t="s">
        <v>23264</v>
      </c>
      <c r="J48" s="5" t="str">
        <f>IFERROR(__xludf.DUMMYFUNCTION("GOOGLETRANSLATE(I48,""zh_HANT"",""zh_HANS"")"),"飞云冰淇淋")</f>
        <v>飞云冰淇淋</v>
      </c>
    </row>
    <row r="49">
      <c r="A49" s="5" t="str">
        <f t="shared" si="1"/>
        <v>NAME_ITEM_ABILITYCAPSULE</v>
      </c>
      <c r="B49" s="3" t="s">
        <v>23265</v>
      </c>
      <c r="C49" s="3" t="s">
        <v>23266</v>
      </c>
      <c r="D49" s="3" t="s">
        <v>23267</v>
      </c>
      <c r="E49" s="3" t="s">
        <v>23268</v>
      </c>
      <c r="F49" s="3" t="s">
        <v>23269</v>
      </c>
      <c r="G49" s="3" t="s">
        <v>23270</v>
      </c>
      <c r="H49" s="3" t="s">
        <v>23271</v>
      </c>
      <c r="I49" s="3" t="s">
        <v>23272</v>
      </c>
      <c r="J49" s="5" t="str">
        <f>IFERROR(__xludf.DUMMYFUNCTION("GOOGLETRANSLATE(I49,""zh_HANT"",""zh_HANS"")"),"特性胶囊")</f>
        <v>特性胶囊</v>
      </c>
    </row>
    <row r="50">
      <c r="A50" s="5" t="str">
        <f t="shared" si="1"/>
        <v>NAME_ITEM_LUMIOSEGALETTE</v>
      </c>
      <c r="B50" s="3" t="s">
        <v>23273</v>
      </c>
      <c r="C50" s="3" t="s">
        <v>23274</v>
      </c>
      <c r="D50" s="3" t="s">
        <v>23275</v>
      </c>
      <c r="E50" s="3" t="s">
        <v>23276</v>
      </c>
      <c r="F50" s="3" t="s">
        <v>23277</v>
      </c>
      <c r="G50" s="3" t="s">
        <v>23278</v>
      </c>
      <c r="H50" s="3" t="s">
        <v>23279</v>
      </c>
      <c r="I50" s="3" t="s">
        <v>23280</v>
      </c>
      <c r="J50" s="5" t="str">
        <f>IFERROR(__xludf.DUMMYFUNCTION("GOOGLETRANSLATE(I50,""zh_HANT"",""zh_HANS"")"),"密阿雷格雷派饼")</f>
        <v>密阿雷格雷派饼</v>
      </c>
    </row>
    <row r="51">
      <c r="A51" s="5" t="str">
        <f t="shared" si="1"/>
        <v>NAME_ITEM_SHALOURSABLE</v>
      </c>
      <c r="B51" s="3" t="s">
        <v>23281</v>
      </c>
      <c r="C51" s="3" t="s">
        <v>23282</v>
      </c>
      <c r="D51" s="3" t="s">
        <v>23283</v>
      </c>
      <c r="E51" s="3" t="s">
        <v>23284</v>
      </c>
      <c r="F51" s="3" t="s">
        <v>23285</v>
      </c>
      <c r="G51" s="3" t="s">
        <v>23286</v>
      </c>
      <c r="H51" s="3" t="s">
        <v>23287</v>
      </c>
      <c r="I51" s="3" t="s">
        <v>23288</v>
      </c>
      <c r="J51" s="5" t="str">
        <f>IFERROR(__xludf.DUMMYFUNCTION("GOOGLETRANSLATE(I51,""zh_HANT"",""zh_HANS"")"),"娑罗沙布蕾")</f>
        <v>娑罗沙布蕾</v>
      </c>
    </row>
    <row r="52">
      <c r="A52" s="5" t="str">
        <f t="shared" si="1"/>
        <v>NAME_ITEM_BIGMALASADA</v>
      </c>
      <c r="B52" s="3" t="s">
        <v>23289</v>
      </c>
      <c r="C52" s="3" t="s">
        <v>23290</v>
      </c>
      <c r="D52" s="3" t="s">
        <v>23291</v>
      </c>
      <c r="E52" s="3" t="s">
        <v>23292</v>
      </c>
      <c r="F52" s="3" t="str">
        <f>D52</f>
        <v>Malasada Maxi</v>
      </c>
      <c r="G52" s="5" t="str">
        <f>D52</f>
        <v>Malasada Maxi</v>
      </c>
      <c r="H52" s="3" t="s">
        <v>23293</v>
      </c>
      <c r="I52" s="3" t="s">
        <v>23294</v>
      </c>
      <c r="J52" s="5" t="str">
        <f>IFERROR(__xludf.DUMMYFUNCTION("GOOGLETRANSLATE(I52,""zh_HANT"",""zh_HANS"")"),"大马拉萨达")</f>
        <v>大马拉萨达</v>
      </c>
    </row>
    <row r="53">
      <c r="A53" s="5" t="str">
        <f t="shared" si="1"/>
        <v>NAME_ITEM_PEWTERCRUNCHIES</v>
      </c>
      <c r="B53" s="3" t="s">
        <v>23295</v>
      </c>
      <c r="C53" s="3" t="s">
        <v>23296</v>
      </c>
      <c r="D53" s="3" t="s">
        <v>23297</v>
      </c>
      <c r="E53" s="3" t="s">
        <v>23298</v>
      </c>
      <c r="F53" s="3" t="s">
        <v>23299</v>
      </c>
      <c r="G53" s="3" t="s">
        <v>23300</v>
      </c>
      <c r="H53" s="3" t="s">
        <v>23301</v>
      </c>
      <c r="I53" s="3" t="s">
        <v>23302</v>
      </c>
      <c r="J53" s="5" t="str">
        <f>I53</f>
        <v>深灰米果</v>
      </c>
    </row>
    <row r="54">
      <c r="A54" s="5" t="str">
        <f t="shared" ref="A54:A58" si="6">CONCATENATE("NAME_ITEM_", SUBSTITUTE(SUBSTITUTE(UPPER(B54), " ", ""), ".", ""))</f>
        <v>NAME_ITEM_EXPCANDYXS</v>
      </c>
      <c r="B54" s="3" t="s">
        <v>23303</v>
      </c>
      <c r="C54" s="3" t="s">
        <v>23304</v>
      </c>
      <c r="D54" s="3" t="s">
        <v>23305</v>
      </c>
      <c r="E54" s="3" t="s">
        <v>23306</v>
      </c>
      <c r="F54" s="3" t="s">
        <v>23307</v>
      </c>
      <c r="G54" s="3" t="s">
        <v>23308</v>
      </c>
      <c r="H54" s="3" t="s">
        <v>23309</v>
      </c>
      <c r="I54" s="3" t="str">
        <f>IFERROR(__xludf.DUMMYFUNCTION("GOOGLETRANSLATE(J54,""zh_HANS"",""zh_HANT"")"),"經驗糖果ＸＳ")</f>
        <v>經驗糖果ＸＳ</v>
      </c>
      <c r="J54" s="3" t="s">
        <v>23310</v>
      </c>
    </row>
    <row r="55">
      <c r="A55" s="5" t="str">
        <f t="shared" si="6"/>
        <v>NAME_ITEM_EXPCANDYS</v>
      </c>
      <c r="B55" s="3" t="s">
        <v>23311</v>
      </c>
      <c r="C55" s="3" t="s">
        <v>23312</v>
      </c>
      <c r="D55" s="3" t="s">
        <v>23313</v>
      </c>
      <c r="E55" s="3" t="s">
        <v>23314</v>
      </c>
      <c r="F55" s="3" t="s">
        <v>23315</v>
      </c>
      <c r="G55" s="3" t="s">
        <v>23316</v>
      </c>
      <c r="H55" s="3" t="s">
        <v>23317</v>
      </c>
      <c r="I55" s="3" t="str">
        <f>IFERROR(__xludf.DUMMYFUNCTION("GOOGLETRANSLATE(J55,""zh_HANS"",""zh_HANT"")"),"經驗糖果Ｓ")</f>
        <v>經驗糖果Ｓ</v>
      </c>
      <c r="J55" s="3" t="s">
        <v>23318</v>
      </c>
    </row>
    <row r="56">
      <c r="A56" s="5" t="str">
        <f t="shared" si="6"/>
        <v>NAME_ITEM_EXPCANDYM</v>
      </c>
      <c r="B56" s="3" t="s">
        <v>23319</v>
      </c>
      <c r="C56" s="3" t="s">
        <v>23320</v>
      </c>
      <c r="D56" s="3" t="s">
        <v>23321</v>
      </c>
      <c r="E56" s="3" t="s">
        <v>23322</v>
      </c>
      <c r="F56" s="3" t="s">
        <v>23323</v>
      </c>
      <c r="G56" s="3" t="s">
        <v>23324</v>
      </c>
      <c r="H56" s="3" t="s">
        <v>23325</v>
      </c>
      <c r="I56" s="3" t="str">
        <f>IFERROR(__xludf.DUMMYFUNCTION("GOOGLETRANSLATE(J56,""zh_HANS"",""zh_HANT"")"),"經驗糖果Ｍ")</f>
        <v>經驗糖果Ｍ</v>
      </c>
      <c r="J56" s="3" t="s">
        <v>23326</v>
      </c>
    </row>
    <row r="57">
      <c r="A57" s="5" t="str">
        <f t="shared" si="6"/>
        <v>NAME_ITEM_EXPCANDYL</v>
      </c>
      <c r="B57" s="3" t="s">
        <v>23327</v>
      </c>
      <c r="C57" s="3" t="s">
        <v>23328</v>
      </c>
      <c r="D57" s="3" t="s">
        <v>23329</v>
      </c>
      <c r="E57" s="3" t="s">
        <v>23330</v>
      </c>
      <c r="F57" s="3" t="s">
        <v>23331</v>
      </c>
      <c r="G57" s="3" t="s">
        <v>23332</v>
      </c>
      <c r="H57" s="3" t="s">
        <v>23333</v>
      </c>
      <c r="I57" s="3" t="str">
        <f>IFERROR(__xludf.DUMMYFUNCTION("GOOGLETRANSLATE(J57,""zh_HANS"",""zh_HANT"")"),"經驗糖果Ｌ")</f>
        <v>經驗糖果Ｌ</v>
      </c>
      <c r="J57" s="3" t="s">
        <v>23334</v>
      </c>
    </row>
    <row r="58">
      <c r="A58" s="5" t="str">
        <f t="shared" si="6"/>
        <v>NAME_ITEM_EXPCANDYXL</v>
      </c>
      <c r="B58" s="3" t="s">
        <v>23335</v>
      </c>
      <c r="C58" s="3" t="s">
        <v>23336</v>
      </c>
      <c r="D58" s="3" t="s">
        <v>23337</v>
      </c>
      <c r="E58" s="3" t="s">
        <v>23338</v>
      </c>
      <c r="F58" s="3" t="s">
        <v>23339</v>
      </c>
      <c r="G58" s="3" t="s">
        <v>23340</v>
      </c>
      <c r="H58" s="3" t="s">
        <v>23341</v>
      </c>
      <c r="I58" s="3" t="str">
        <f>IFERROR(__xludf.DUMMYFUNCTION("GOOGLETRANSLATE(J58,""zh_HANS"",""zh_HANT"")"),"經驗糖果ＸＬ")</f>
        <v>經驗糖果ＸＬ</v>
      </c>
      <c r="J58" s="3" t="s">
        <v>23342</v>
      </c>
    </row>
    <row r="59">
      <c r="A59" s="5" t="str">
        <f t="shared" ref="A59:A106" si="7">CONCATENATE("NAME_ITEM_", SUBSTITUTE(UPPER(B59), " ", ""))</f>
        <v>NAME_ITEM_DYNAMAXCANDY</v>
      </c>
      <c r="B59" s="3" t="s">
        <v>23343</v>
      </c>
      <c r="C59" s="3" t="s">
        <v>23344</v>
      </c>
      <c r="D59" s="3" t="s">
        <v>23345</v>
      </c>
      <c r="E59" s="3" t="s">
        <v>23346</v>
      </c>
      <c r="F59" s="3" t="s">
        <v>23347</v>
      </c>
      <c r="G59" s="3" t="s">
        <v>23348</v>
      </c>
      <c r="H59" s="3" t="s">
        <v>23349</v>
      </c>
      <c r="I59" s="3" t="str">
        <f>IFERROR(__xludf.DUMMYFUNCTION("GOOGLETRANSLATE(J59,""zh_HANS"",""zh_HANT"")"),"極鉅糖果")</f>
        <v>極鉅糖果</v>
      </c>
      <c r="J59" s="3" t="s">
        <v>23350</v>
      </c>
    </row>
    <row r="60">
      <c r="A60" s="5" t="str">
        <f t="shared" si="7"/>
        <v>NAME_ITEM_ADAMANTMINT</v>
      </c>
      <c r="B60" s="3" t="str">
        <f>CONCATENATE(Natures!B2, " Mint")</f>
        <v>Adamant Mint</v>
      </c>
      <c r="C60" s="3" t="str">
        <f>CONCATENATE(Natures!C2, "ミント")</f>
        <v>いじっぱりミント</v>
      </c>
      <c r="D60" s="3" t="str">
        <f>CONCATENATE("Aromate ",Natures!D2)</f>
        <v>Aromate Rigide</v>
      </c>
      <c r="E60" s="3" t="str">
        <f>CONCATENATE(Natures!E2, "-Minze")</f>
        <v>Hart-Minze</v>
      </c>
      <c r="F60" s="3" t="str">
        <f>CONCATENATE("Menta ",Natures!F2)</f>
        <v>Menta Firme</v>
      </c>
      <c r="G60" s="3" t="str">
        <f>CONCATENATE("Menta ",Natures!G2)</f>
        <v>Menta Decisa</v>
      </c>
      <c r="H60" s="3" t="str">
        <f>CONCATENATE(Natures!H2, "민트")</f>
        <v>고집민트</v>
      </c>
      <c r="I60" s="3" t="str">
        <f>CONCATENATE(Natures!I2, "薄荷")</f>
        <v>固執薄荷</v>
      </c>
      <c r="J60" s="3" t="str">
        <f>CONCATENATE(Natures!J2, "薄荷")</f>
        <v>固执薄荷</v>
      </c>
    </row>
    <row r="61">
      <c r="A61" s="5" t="str">
        <f t="shared" si="7"/>
        <v>NAME_ITEM_BOLDMINT</v>
      </c>
      <c r="B61" s="3" t="str">
        <f>CONCATENATE(Natures!B4, " Mint")</f>
        <v>Bold Mint</v>
      </c>
      <c r="C61" s="3" t="str">
        <f>CONCATENATE(Natures!C4, "ミント")</f>
        <v>ずぶといミント</v>
      </c>
      <c r="D61" s="3" t="str">
        <f>CONCATENATE("Aromate ",Natures!D4)</f>
        <v>Aromate Assuré</v>
      </c>
      <c r="E61" s="3" t="str">
        <f>CONCATENATE(Natures!E4, "-Minze")</f>
        <v>Kühn-Minze</v>
      </c>
      <c r="F61" s="3" t="str">
        <f>CONCATENATE("Menta ",Natures!F4)</f>
        <v>Menta Osada</v>
      </c>
      <c r="G61" s="3" t="str">
        <f>CONCATENATE("Menta ",Natures!G3)</f>
        <v>Menta Ritrosa</v>
      </c>
      <c r="H61" s="3" t="str">
        <f>CONCATENATE(Natures!H4, "민트")</f>
        <v>대담민트</v>
      </c>
      <c r="I61" s="3" t="str">
        <f>CONCATENATE(Natures!I4, "薄荷")</f>
        <v>大膽薄荷</v>
      </c>
      <c r="J61" s="3" t="str">
        <f>CONCATENATE(Natures!J4, "薄荷")</f>
        <v>大胆薄荷</v>
      </c>
    </row>
    <row r="62">
      <c r="A62" s="5" t="str">
        <f t="shared" si="7"/>
        <v>NAME_ITEM_BRAVEMINT</v>
      </c>
      <c r="B62" s="3" t="str">
        <f>CONCATENATE(Natures!B5, " Mint")</f>
        <v>Brave Mint</v>
      </c>
      <c r="C62" s="3" t="str">
        <f>CONCATENATE(Natures!C5, "ミント")</f>
        <v>ゆうかんミント</v>
      </c>
      <c r="D62" s="3" t="str">
        <f>CONCATENATE("Aromate ",Natures!D5)</f>
        <v>Aromate Brave</v>
      </c>
      <c r="E62" s="3" t="str">
        <f>CONCATENATE(Natures!E5, "-Minze")</f>
        <v>Mutig-Minze</v>
      </c>
      <c r="F62" s="3" t="str">
        <f>CONCATENATE("Menta ",Natures!F5)</f>
        <v>Menta Audaz</v>
      </c>
      <c r="G62" s="3" t="str">
        <f>CONCATENATE("Menta ",Natures!G4)</f>
        <v>Menta Sicura</v>
      </c>
      <c r="H62" s="3" t="str">
        <f>CONCATENATE(Natures!H5, "민트")</f>
        <v>용감민트</v>
      </c>
      <c r="I62" s="3" t="str">
        <f>CONCATENATE(Natures!I5, "薄荷")</f>
        <v>勇敢薄荷</v>
      </c>
      <c r="J62" s="3" t="str">
        <f>CONCATENATE(Natures!J5, "薄荷")</f>
        <v>勇敢薄荷</v>
      </c>
    </row>
    <row r="63">
      <c r="A63" s="5" t="str">
        <f t="shared" si="7"/>
        <v>NAME_ITEM_CALMMINT</v>
      </c>
      <c r="B63" s="3" t="str">
        <f>CONCATENATE(Natures!B6, " Mint")</f>
        <v>Calm Mint</v>
      </c>
      <c r="C63" s="3" t="str">
        <f>CONCATENATE(Natures!C6, "ミント")</f>
        <v>おだやかミント</v>
      </c>
      <c r="D63" s="3" t="str">
        <f>CONCATENATE("Aromate ",Natures!D6)</f>
        <v>Aromate Calme</v>
      </c>
      <c r="E63" s="3" t="str">
        <f>CONCATENATE(Natures!E6, "-Minze")</f>
        <v>Still-Minze</v>
      </c>
      <c r="F63" s="3" t="str">
        <f>CONCATENATE("Menta ",Natures!F6)</f>
        <v>Menta Serena</v>
      </c>
      <c r="G63" s="3" t="str">
        <f>CONCATENATE("Menta ",Natures!G5)</f>
        <v>Menta Audace</v>
      </c>
      <c r="H63" s="3" t="str">
        <f>CONCATENATE(Natures!H6, "민트")</f>
        <v>차분민트</v>
      </c>
      <c r="I63" s="3" t="str">
        <f>CONCATENATE(Natures!I6, "薄荷")</f>
        <v>溫和薄荷</v>
      </c>
      <c r="J63" s="3" t="str">
        <f>CONCATENATE(Natures!J6, "薄荷")</f>
        <v>温和薄荷</v>
      </c>
    </row>
    <row r="64">
      <c r="A64" s="5" t="str">
        <f t="shared" si="7"/>
        <v>NAME_ITEM_CAREFULMINT</v>
      </c>
      <c r="B64" s="3" t="str">
        <f>CONCATENATE(Natures!B7, " Mint")</f>
        <v>Careful Mint</v>
      </c>
      <c r="C64" s="3" t="str">
        <f>CONCATENATE(Natures!C7, "ミント")</f>
        <v>しんちょうミント</v>
      </c>
      <c r="D64" s="3" t="str">
        <f>CONCATENATE("Aromate ",Natures!D7)</f>
        <v>Aromate Prudent</v>
      </c>
      <c r="E64" s="3" t="str">
        <f>CONCATENATE(Natures!E7, "-Minze")</f>
        <v>Sacht-Minze</v>
      </c>
      <c r="F64" s="3" t="str">
        <f>CONCATENATE("Menta ",Natures!F7)</f>
        <v>Menta Cauta</v>
      </c>
      <c r="G64" s="3" t="str">
        <f>CONCATENATE("Menta ",Natures!G6)</f>
        <v>Menta Calma</v>
      </c>
      <c r="H64" s="3" t="str">
        <f>CONCATENATE(Natures!H7, "민트")</f>
        <v>신중민트</v>
      </c>
      <c r="I64" s="3" t="str">
        <f>CONCATENATE(Natures!I7, "薄荷")</f>
        <v>慎重薄荷</v>
      </c>
      <c r="J64" s="3" t="str">
        <f>CONCATENATE(Natures!J7, "薄荷")</f>
        <v>慎重薄荷</v>
      </c>
    </row>
    <row r="65">
      <c r="A65" s="5" t="str">
        <f t="shared" si="7"/>
        <v>NAME_ITEM_GENTLEMINT</v>
      </c>
      <c r="B65" s="3" t="str">
        <f>CONCATENATE(Natures!B9, " Mint")</f>
        <v>Gentle Mint</v>
      </c>
      <c r="C65" s="3" t="str">
        <f>CONCATENATE(Natures!C9, "ミント")</f>
        <v>おとなしいミント</v>
      </c>
      <c r="D65" s="3" t="str">
        <f>CONCATENATE("Aromate ",Natures!D9)</f>
        <v>Aromate Gentil</v>
      </c>
      <c r="E65" s="3" t="str">
        <f>CONCATENATE(Natures!E9, "-Minze")</f>
        <v>Zart-Minze</v>
      </c>
      <c r="F65" s="3" t="str">
        <f>CONCATENATE("Menta ",Natures!F9)</f>
        <v>Menta Amable</v>
      </c>
      <c r="G65" s="3" t="str">
        <f>CONCATENATE("Menta ",Natures!G8)</f>
        <v>Menta Docile</v>
      </c>
      <c r="H65" s="3" t="str">
        <f>CONCATENATE(Natures!H9, "민트")</f>
        <v>얌전민트</v>
      </c>
      <c r="I65" s="3" t="str">
        <f>CONCATENATE(Natures!I9, "薄荷")</f>
        <v>溫順薄荷</v>
      </c>
      <c r="J65" s="3" t="str">
        <f>CONCATENATE(Natures!J9, "薄荷")</f>
        <v>温顺薄荷</v>
      </c>
    </row>
    <row r="66">
      <c r="A66" s="5" t="str">
        <f t="shared" si="7"/>
        <v>NAME_ITEM_HASTYMINT</v>
      </c>
      <c r="B66" s="3" t="str">
        <f>CONCATENATE(Natures!B11, " Mint")</f>
        <v>Hasty Mint</v>
      </c>
      <c r="C66" s="3" t="str">
        <f>CONCATENATE(Natures!C11, "ミント")</f>
        <v>せっかちミント</v>
      </c>
      <c r="D66" s="3" t="str">
        <f>CONCATENATE("Aromate ",Natures!D11)</f>
        <v>Aromate Pressé</v>
      </c>
      <c r="E66" s="3" t="str">
        <f>CONCATENATE(Natures!E11, "-Minze")</f>
        <v>Hastig-Minze</v>
      </c>
      <c r="F66" s="3" t="str">
        <f>CONCATENATE("Menta ",Natures!F11)</f>
        <v>Menta Activa</v>
      </c>
      <c r="G66" s="3" t="str">
        <f>CONCATENATE("Menta ",Natures!G10)</f>
        <v>Menta Ardita</v>
      </c>
      <c r="H66" s="3" t="str">
        <f>CONCATENATE(Natures!H11, "민트")</f>
        <v>성급민트</v>
      </c>
      <c r="I66" s="3" t="str">
        <f>CONCATENATE(Natures!I11, "薄荷")</f>
        <v>急躁薄荷</v>
      </c>
      <c r="J66" s="3" t="str">
        <f>CONCATENATE(Natures!J11, "薄荷")</f>
        <v>急躁薄荷</v>
      </c>
    </row>
    <row r="67">
      <c r="A67" s="5" t="str">
        <f t="shared" si="7"/>
        <v>NAME_ITEM_IMPISHMINT</v>
      </c>
      <c r="B67" s="3" t="str">
        <f>CONCATENATE(Natures!B12, " Mint")</f>
        <v>Impish Mint</v>
      </c>
      <c r="C67" s="3" t="str">
        <f>CONCATENATE(Natures!C12, "ミント")</f>
        <v>わんぱくミント</v>
      </c>
      <c r="D67" s="3" t="str">
        <f>CONCATENATE("Aromate ",Natures!D12)</f>
        <v>Aromate Malin</v>
      </c>
      <c r="E67" s="3" t="str">
        <f>CONCATENATE(Natures!E12, "-Minze")</f>
        <v>Pfiffig-Minze</v>
      </c>
      <c r="F67" s="3" t="str">
        <f>CONCATENATE("Menta ",Natures!F12)</f>
        <v>Menta Agitada</v>
      </c>
      <c r="G67" s="3" t="str">
        <f>CONCATENATE("Menta ",Natures!G11)</f>
        <v>Menta Lesta</v>
      </c>
      <c r="H67" s="3" t="str">
        <f>CONCATENATE(Natures!H12, "민트")</f>
        <v>장난꾸러기민트</v>
      </c>
      <c r="I67" s="3" t="str">
        <f>CONCATENATE(Natures!I12, "薄荷")</f>
        <v>淘氣薄荷</v>
      </c>
      <c r="J67" s="3" t="str">
        <f>CONCATENATE(Natures!J12, "薄荷")</f>
        <v>淘气薄荷</v>
      </c>
    </row>
    <row r="68">
      <c r="A68" s="5" t="str">
        <f t="shared" si="7"/>
        <v>NAME_ITEM_JOLLYMINT</v>
      </c>
      <c r="B68" s="3" t="str">
        <f>CONCATENATE(Natures!B13, " Mint")</f>
        <v>Jolly Mint</v>
      </c>
      <c r="C68" s="3" t="str">
        <f>CONCATENATE(Natures!C13, "ミント")</f>
        <v>ようきミント</v>
      </c>
      <c r="D68" s="3" t="str">
        <f>CONCATENATE("Aromate ",Natures!D13)</f>
        <v>Aromate Jovial</v>
      </c>
      <c r="E68" s="3" t="str">
        <f>CONCATENATE(Natures!E13, "-Minze")</f>
        <v>Froh-Minze</v>
      </c>
      <c r="F68" s="3" t="str">
        <f>CONCATENATE("Menta ",Natures!F13)</f>
        <v>Menta Alegre</v>
      </c>
      <c r="G68" s="3" t="str">
        <f>CONCATENATE("Menta ",Natures!G12)</f>
        <v>Menta Scaltra</v>
      </c>
      <c r="H68" s="3" t="str">
        <f>CONCATENATE(Natures!H13, "민트")</f>
        <v>명랑민트</v>
      </c>
      <c r="I68" s="3" t="str">
        <f>CONCATENATE(Natures!I13, "薄荷")</f>
        <v>爽朗薄荷</v>
      </c>
      <c r="J68" s="3" t="str">
        <f>CONCATENATE(Natures!J13, "薄荷")</f>
        <v>爽朗薄荷</v>
      </c>
    </row>
    <row r="69">
      <c r="A69" s="5" t="str">
        <f t="shared" si="7"/>
        <v>NAME_ITEM_LAXMINT</v>
      </c>
      <c r="B69" s="3" t="str">
        <f>CONCATENATE(Natures!B14, " Mint")</f>
        <v>Lax Mint</v>
      </c>
      <c r="C69" s="3" t="str">
        <f>CONCATENATE(Natures!C14, "ミント")</f>
        <v>のうてんきミント</v>
      </c>
      <c r="D69" s="3" t="str">
        <f>CONCATENATE("Aromate ",Natures!D14)</f>
        <v>Aromate Lâche</v>
      </c>
      <c r="E69" s="3" t="str">
        <f>CONCATENATE(Natures!E14, "-Minze")</f>
        <v>Lasch-Minze</v>
      </c>
      <c r="F69" s="3" t="str">
        <f>CONCATENATE("Menta ",Natures!F14)</f>
        <v>Menta Floja</v>
      </c>
      <c r="G69" s="3" t="str">
        <f>CONCATENATE("Menta ",Natures!G13)</f>
        <v>Menta Allegra</v>
      </c>
      <c r="H69" s="3" t="str">
        <f>CONCATENATE(Natures!H14, "민트")</f>
        <v>촐랑민트</v>
      </c>
      <c r="I69" s="3" t="str">
        <f>CONCATENATE(Natures!I14, "薄荷")</f>
        <v>樂天薄荷</v>
      </c>
      <c r="J69" s="3" t="str">
        <f>CONCATENATE(Natures!J14, "薄荷")</f>
        <v>乐天薄荷</v>
      </c>
    </row>
    <row r="70">
      <c r="A70" s="5" t="str">
        <f t="shared" si="7"/>
        <v>NAME_ITEM_LONELYMINT</v>
      </c>
      <c r="B70" s="3" t="str">
        <f>CONCATENATE(Natures!B15, " Mint")</f>
        <v>Lonely Mint</v>
      </c>
      <c r="C70" s="3" t="str">
        <f>CONCATENATE(Natures!C15, "ミント")</f>
        <v>さみしがりミント</v>
      </c>
      <c r="D70" s="3" t="str">
        <f>CONCATENATE("Aromate ",Natures!D15)</f>
        <v>Aromate Solo</v>
      </c>
      <c r="E70" s="3" t="str">
        <f>CONCATENATE(Natures!E15, "-Minze")</f>
        <v>Solo-Minze</v>
      </c>
      <c r="F70" s="3" t="str">
        <f>CONCATENATE("Menta ",Natures!F15)</f>
        <v>Menta Huraña</v>
      </c>
      <c r="G70" s="3" t="str">
        <f>CONCATENATE("Menta ",Natures!G14)</f>
        <v>Menta Fiacca</v>
      </c>
      <c r="H70" s="3" t="str">
        <f>CONCATENATE(Natures!H15, "민트")</f>
        <v>외로움민트</v>
      </c>
      <c r="I70" s="3" t="str">
        <f>CONCATENATE(Natures!I15, "薄荷")</f>
        <v>怕寂寞薄荷</v>
      </c>
      <c r="J70" s="3" t="str">
        <f>CONCATENATE(Natures!J15, "薄荷")</f>
        <v>怕寂寞薄荷</v>
      </c>
    </row>
    <row r="71">
      <c r="A71" s="5" t="str">
        <f t="shared" si="7"/>
        <v>NAME_ITEM_MILDMINT</v>
      </c>
      <c r="B71" s="3" t="str">
        <f>CONCATENATE(Natures!B16, " Mint")</f>
        <v>Mild Mint</v>
      </c>
      <c r="C71" s="3" t="str">
        <f>CONCATENATE(Natures!C16, "ミント")</f>
        <v>おっとりミント</v>
      </c>
      <c r="D71" s="3" t="str">
        <f>CONCATENATE("Aromate ",Natures!D16)</f>
        <v>Aromate Doux</v>
      </c>
      <c r="E71" s="3" t="str">
        <f>CONCATENATE(Natures!E16, "-Minze")</f>
        <v>Mild-Minze</v>
      </c>
      <c r="F71" s="3" t="str">
        <f>CONCATENATE("Menta ",Natures!F16)</f>
        <v>Menta Afable</v>
      </c>
      <c r="G71" s="3" t="str">
        <f>CONCATENATE("Menta ",Natures!G15)</f>
        <v>Menta Schiva</v>
      </c>
      <c r="H71" s="3" t="str">
        <f>CONCATENATE(Natures!H16, "민트")</f>
        <v>의젓민트</v>
      </c>
      <c r="I71" s="3" t="str">
        <f>CONCATENATE(Natures!I16, "薄荷")</f>
        <v>慢吞吞薄荷</v>
      </c>
      <c r="J71" s="3" t="str">
        <f>CONCATENATE(Natures!J16, "薄荷")</f>
        <v>慢吞吞薄荷</v>
      </c>
    </row>
    <row r="72">
      <c r="A72" s="5" t="str">
        <f t="shared" si="7"/>
        <v>NAME_ITEM_MODESTMINT</v>
      </c>
      <c r="B72" s="3" t="str">
        <f>CONCATENATE(Natures!B17, " Mint")</f>
        <v>Modest Mint</v>
      </c>
      <c r="C72" s="3" t="str">
        <f>CONCATENATE(Natures!C17, "ミント")</f>
        <v>ひかえめミント</v>
      </c>
      <c r="D72" s="3" t="str">
        <f>CONCATENATE("Aromate ",Natures!D17)</f>
        <v>Aromate Modeste</v>
      </c>
      <c r="E72" s="3" t="str">
        <f>CONCATENATE(Natures!E17, "-Minze")</f>
        <v>Mäßig-Minze</v>
      </c>
      <c r="F72" s="3" t="str">
        <f>CONCATENATE("Menta ",Natures!F17)</f>
        <v>Menta Modesta</v>
      </c>
      <c r="G72" s="3" t="str">
        <f>CONCATENATE("Menta ",Natures!G16)</f>
        <v>Menta Mite</v>
      </c>
      <c r="H72" s="3" t="str">
        <f>CONCATENATE(Natures!H17, "민트")</f>
        <v>조심민트</v>
      </c>
      <c r="I72" s="3" t="str">
        <f>CONCATENATE(Natures!I17, "薄荷")</f>
        <v>內斂薄荷</v>
      </c>
      <c r="J72" s="3" t="str">
        <f>CONCATENATE(Natures!J17, "薄荷")</f>
        <v>内敛薄荷</v>
      </c>
    </row>
    <row r="73">
      <c r="A73" s="5" t="str">
        <f t="shared" si="7"/>
        <v>NAME_ITEM_NAIVEMINT</v>
      </c>
      <c r="B73" s="3" t="str">
        <f>CONCATENATE(Natures!B18, " Mint")</f>
        <v>Naive Mint</v>
      </c>
      <c r="C73" s="3" t="str">
        <f>CONCATENATE(Natures!C18, "ミント")</f>
        <v>むじゃきミント</v>
      </c>
      <c r="D73" s="3" t="str">
        <f>CONCATENATE("Aromate ",Natures!D18)</f>
        <v>Aromate Naïf</v>
      </c>
      <c r="E73" s="3" t="str">
        <f>CONCATENATE(Natures!E18, "-Minze")</f>
        <v>Naiv-Minze</v>
      </c>
      <c r="F73" s="3" t="str">
        <f>CONCATENATE("Menta ",Natures!F18)</f>
        <v>Menta Ingenua</v>
      </c>
      <c r="G73" s="3" t="str">
        <f>CONCATENATE("Menta ",Natures!G17)</f>
        <v>Menta Modesta</v>
      </c>
      <c r="H73" s="3" t="str">
        <f>CONCATENATE(Natures!H18, "민트")</f>
        <v>천진난만민트</v>
      </c>
      <c r="I73" s="3" t="str">
        <f>CONCATENATE(Natures!I18, "薄荷")</f>
        <v>天真薄荷</v>
      </c>
      <c r="J73" s="3" t="str">
        <f>CONCATENATE(Natures!J18, "薄荷")</f>
        <v>天真薄荷</v>
      </c>
    </row>
    <row r="74">
      <c r="A74" s="5" t="str">
        <f t="shared" si="7"/>
        <v>NAME_ITEM_NAUGHTYMINT</v>
      </c>
      <c r="B74" s="3" t="str">
        <f>CONCATENATE(Natures!B19, " Mint")</f>
        <v>Naughty Mint</v>
      </c>
      <c r="C74" s="3" t="str">
        <f>CONCATENATE(Natures!C19, "ミント")</f>
        <v>やんちゃミント</v>
      </c>
      <c r="D74" s="3" t="str">
        <f>CONCATENATE("Aromate ",Natures!D19)</f>
        <v>Aromate Mauvais</v>
      </c>
      <c r="E74" s="3" t="str">
        <f>CONCATENATE(Natures!E19, "-Minze")</f>
        <v>Frech-Minze</v>
      </c>
      <c r="F74" s="3" t="str">
        <f>CONCATENATE("Menta ",Natures!F19)</f>
        <v>Menta Pícara</v>
      </c>
      <c r="G74" s="3" t="str">
        <f>CONCATENATE("Menta ",Natures!G18)</f>
        <v>Menta Ingenua</v>
      </c>
      <c r="H74" s="3" t="str">
        <f>CONCATENATE(Natures!H19, "민트")</f>
        <v>개구쟁이민트</v>
      </c>
      <c r="I74" s="3" t="str">
        <f>CONCATENATE(Natures!I19, "薄荷")</f>
        <v>頑皮薄荷</v>
      </c>
      <c r="J74" s="3" t="str">
        <f>CONCATENATE(Natures!J19, "薄荷")</f>
        <v>顽皮薄荷</v>
      </c>
    </row>
    <row r="75">
      <c r="A75" s="5" t="str">
        <f t="shared" si="7"/>
        <v>NAME_ITEM_QUIETMINT</v>
      </c>
      <c r="B75" s="3" t="str">
        <f>CONCATENATE(Natures!B20, " Mint")</f>
        <v>Quiet Mint</v>
      </c>
      <c r="C75" s="3" t="str">
        <f>CONCATENATE(Natures!C20, "ミント")</f>
        <v>れいせいミント</v>
      </c>
      <c r="D75" s="3" t="str">
        <f>CONCATENATE("Aromate ",Natures!D20)</f>
        <v>Aromate Discret</v>
      </c>
      <c r="E75" s="3" t="str">
        <f>CONCATENATE(Natures!E20, "-Minze")</f>
        <v>Ruhig-Minze</v>
      </c>
      <c r="F75" s="3" t="str">
        <f>CONCATENATE("Menta ",Natures!F20)</f>
        <v>Menta Mansa</v>
      </c>
      <c r="G75" s="3" t="str">
        <f>CONCATENATE("Menta ",Natures!G19)</f>
        <v>Menta Birbona</v>
      </c>
      <c r="H75" s="3" t="str">
        <f>CONCATENATE(Natures!H20, "민트")</f>
        <v>냉정민트</v>
      </c>
      <c r="I75" s="3" t="str">
        <f>CONCATENATE(Natures!I20, "薄荷")</f>
        <v>冷靜薄荷</v>
      </c>
      <c r="J75" s="3" t="str">
        <f>CONCATENATE(Natures!J20, "薄荷")</f>
        <v>冷静薄荷</v>
      </c>
    </row>
    <row r="76">
      <c r="A76" s="5" t="str">
        <f t="shared" si="7"/>
        <v>NAME_ITEM_RASHMINT</v>
      </c>
      <c r="B76" s="3" t="str">
        <f>CONCATENATE(Natures!B22, " Mint")</f>
        <v>Rash Mint</v>
      </c>
      <c r="C76" s="3" t="str">
        <f>CONCATENATE(Natures!C22, "ミント")</f>
        <v>うっかりやミント</v>
      </c>
      <c r="D76" s="3" t="str">
        <f>CONCATENATE("Aromate ",Natures!D22)</f>
        <v>Aromate Foufou</v>
      </c>
      <c r="E76" s="3" t="str">
        <f>CONCATENATE(Natures!E22, "-Minze")</f>
        <v>Hitzig-Minze</v>
      </c>
      <c r="F76" s="3" t="str">
        <f>CONCATENATE("Menta ",Natures!F22)</f>
        <v>Menta Alocada</v>
      </c>
      <c r="G76" s="3" t="str">
        <f>CONCATENATE("Menta ",Natures!G21)</f>
        <v>Menta Furba</v>
      </c>
      <c r="H76" s="3" t="str">
        <f>CONCATENATE(Natures!H22, "민트")</f>
        <v>덜렁민트</v>
      </c>
      <c r="I76" s="3" t="str">
        <f>CONCATENATE(Natures!I22, "薄荷")</f>
        <v>馬虎薄荷</v>
      </c>
      <c r="J76" s="3" t="str">
        <f>CONCATENATE(Natures!J22, "薄荷")</f>
        <v>马虎薄荷</v>
      </c>
    </row>
    <row r="77">
      <c r="A77" s="5" t="str">
        <f t="shared" si="7"/>
        <v>NAME_ITEM_RELAXEDMINT</v>
      </c>
      <c r="B77" s="3" t="str">
        <f>CONCATENATE(Natures!B23, " Mint")</f>
        <v>Relaxed Mint</v>
      </c>
      <c r="C77" s="3" t="str">
        <f>CONCATENATE(Natures!C23, "ミント")</f>
        <v>のんきミント</v>
      </c>
      <c r="D77" s="3" t="str">
        <f>CONCATENATE("Aromate ",Natures!D23)</f>
        <v>Aromate Relax</v>
      </c>
      <c r="E77" s="3" t="str">
        <f>CONCATENATE(Natures!E23, "-Minze")</f>
        <v>Locker-Minze</v>
      </c>
      <c r="F77" s="3" t="str">
        <f>CONCATENATE("Menta ",Natures!F23)</f>
        <v>Menta Plácida</v>
      </c>
      <c r="G77" s="3" t="str">
        <f>CONCATENATE("Menta ",Natures!G22)</f>
        <v>Menta Ardente</v>
      </c>
      <c r="H77" s="3" t="str">
        <f>CONCATENATE(Natures!H23, "민트")</f>
        <v>무사태평민트</v>
      </c>
      <c r="I77" s="3" t="str">
        <f>CONCATENATE(Natures!I23, "薄荷")</f>
        <v>悠閒薄荷</v>
      </c>
      <c r="J77" s="3" t="str">
        <f>CONCATENATE(Natures!J23, "薄荷")</f>
        <v>悠闲薄荷</v>
      </c>
    </row>
    <row r="78">
      <c r="A78" s="5" t="str">
        <f t="shared" si="7"/>
        <v>NAME_ITEM_SASSYMINT</v>
      </c>
      <c r="B78" s="3" t="str">
        <f>CONCATENATE(Natures!B24, " Mint")</f>
        <v>Sassy Mint</v>
      </c>
      <c r="C78" s="3" t="str">
        <f>CONCATENATE(Natures!C24, "ミント")</f>
        <v>なまいきミント</v>
      </c>
      <c r="D78" s="3" t="str">
        <f>CONCATENATE("Aromate ",Natures!D24)</f>
        <v>Aromate Malpoli</v>
      </c>
      <c r="E78" s="3" t="str">
        <f>CONCATENATE(Natures!E24, "-Minze")</f>
        <v>Forsch-Minze</v>
      </c>
      <c r="F78" s="3" t="str">
        <f>CONCATENATE("Menta ",Natures!F24)</f>
        <v>Menta Grosera</v>
      </c>
      <c r="G78" s="3" t="str">
        <f>CONCATENATE("Menta ",Natures!G23)</f>
        <v>Menta Placida</v>
      </c>
      <c r="H78" s="3" t="str">
        <f>CONCATENATE(Natures!H24, "민트")</f>
        <v>건방민트</v>
      </c>
      <c r="I78" s="3" t="str">
        <f>CONCATENATE(Natures!I24, "薄荷")</f>
        <v>自大薄荷</v>
      </c>
      <c r="J78" s="3" t="str">
        <f>CONCATENATE(Natures!J24, "薄荷")</f>
        <v>自大薄荷</v>
      </c>
    </row>
    <row r="79">
      <c r="A79" s="5" t="str">
        <f t="shared" si="7"/>
        <v>NAME_ITEM_SERIOUSMINT</v>
      </c>
      <c r="B79" s="3" t="str">
        <f>CONCATENATE(Natures!B25, " Mint")</f>
        <v>Serious Mint</v>
      </c>
      <c r="C79" s="3" t="str">
        <f>CONCATENATE(Natures!C25, "ミント")</f>
        <v>まじめミント</v>
      </c>
      <c r="D79" s="3" t="str">
        <f>CONCATENATE("Aromate ",Natures!D25)</f>
        <v>Aromate Sérieux</v>
      </c>
      <c r="E79" s="3" t="str">
        <f>CONCATENATE(Natures!E25, "-Minze")</f>
        <v>Ernst-Minze</v>
      </c>
      <c r="F79" s="3" t="str">
        <f>CONCATENATE("Menta ",Natures!F25)</f>
        <v>Menta Seria</v>
      </c>
      <c r="G79" s="3" t="str">
        <f>CONCATENATE("Menta ",Natures!G24)</f>
        <v>Menta Vivace</v>
      </c>
      <c r="H79" s="3" t="str">
        <f>CONCATENATE(Natures!H25, "민트")</f>
        <v>성실민트</v>
      </c>
      <c r="I79" s="3" t="str">
        <f>CONCATENATE(Natures!I25, "薄荷")</f>
        <v>認真薄荷</v>
      </c>
      <c r="J79" s="3" t="str">
        <f>CONCATENATE(Natures!J25, "薄荷")</f>
        <v>认真薄荷</v>
      </c>
    </row>
    <row r="80">
      <c r="A80" s="5" t="str">
        <f t="shared" si="7"/>
        <v>NAME_ITEM_TIMIDMINT</v>
      </c>
      <c r="B80" s="3" t="str">
        <f>CONCATENATE(Natures!B26, " Mint")</f>
        <v>Timid Mint</v>
      </c>
      <c r="C80" s="3" t="str">
        <f>CONCATENATE(Natures!C26, "ミント")</f>
        <v>おくびょうミント</v>
      </c>
      <c r="D80" s="3" t="str">
        <f>CONCATENATE("Aromate ",Natures!D26)</f>
        <v>Aromate Timide</v>
      </c>
      <c r="E80" s="3" t="str">
        <f>CONCATENATE(Natures!E26, "-Minze")</f>
        <v>Scheu-Minze</v>
      </c>
      <c r="F80" s="3" t="str">
        <f>CONCATENATE("Menta ",Natures!F26)</f>
        <v>Menta Miedosa</v>
      </c>
      <c r="G80" s="3" t="str">
        <f>CONCATENATE("Menta ",Natures!G25)</f>
        <v>Menta Seria</v>
      </c>
      <c r="H80" s="3" t="str">
        <f>CONCATENATE(Natures!H26, "민트")</f>
        <v>겁쟁이민트</v>
      </c>
      <c r="I80" s="3" t="str">
        <f>CONCATENATE(Natures!I26, "薄荷")</f>
        <v>膽小薄荷</v>
      </c>
      <c r="J80" s="3" t="str">
        <f>CONCATENATE(Natures!J26, "薄荷")</f>
        <v>胆小薄荷</v>
      </c>
    </row>
    <row r="81">
      <c r="A81" s="5" t="str">
        <f t="shared" si="7"/>
        <v>NAME_ITEM_ABILITYPATCH</v>
      </c>
      <c r="B81" s="3" t="s">
        <v>23351</v>
      </c>
      <c r="C81" s="3" t="s">
        <v>23352</v>
      </c>
      <c r="D81" s="3" t="s">
        <v>23353</v>
      </c>
      <c r="E81" s="3" t="s">
        <v>23354</v>
      </c>
      <c r="F81" s="3" t="s">
        <v>23355</v>
      </c>
      <c r="G81" s="3" t="s">
        <v>23356</v>
      </c>
      <c r="H81" s="3" t="s">
        <v>23357</v>
      </c>
      <c r="I81" s="3" t="s">
        <v>23358</v>
      </c>
      <c r="J81" s="5" t="str">
        <f>IFERROR(__xludf.DUMMYFUNCTION("GOOGLETRANSLATE(I81,""zh_HANT"",""zh_HANS"")"),"特性膏药")</f>
        <v>特性膏药</v>
      </c>
    </row>
    <row r="82">
      <c r="A82" s="5" t="str">
        <f t="shared" si="7"/>
        <v>NAME_ITEM_NORMALTERASHARD</v>
      </c>
      <c r="B82" s="3" t="str">
        <f>CONCATENATE(Types!B2, " Tera Shard")</f>
        <v>Normal Tera Shard</v>
      </c>
      <c r="C82" s="3" t="str">
        <f>CONCATENATE("テラピース",Types!C2)</f>
        <v>テラピースノーマル</v>
      </c>
      <c r="D82" s="3" t="str">
        <f>CONCATENATE("Téra-Éclat ",Types!D2)</f>
        <v>Téra-Éclat Normal</v>
      </c>
      <c r="E82" s="3" t="str">
        <f>CONCATENATE("Tera-Stück (",Types!E2, ")")</f>
        <v>Tera-Stück (Normal)</v>
      </c>
      <c r="F82" s="3" t="str">
        <f>CONCATENATE("Teralito ",Types!F2)</f>
        <v>Teralito Normal</v>
      </c>
      <c r="G82" s="3" t="str">
        <f>CONCATENATE("Teralite ",Types!G2)</f>
        <v>Teralite Normale</v>
      </c>
      <c r="H82" s="3" t="str">
        <f>CONCATENATE("테라피스 ",Types!H2)</f>
        <v>테라피스 노말</v>
      </c>
      <c r="I82" s="3" t="str">
        <f>CONCATENATE(Types!I2, "太晶碎塊")</f>
        <v>一般太晶碎塊</v>
      </c>
      <c r="J82" s="3" t="str">
        <f>CONCATENATE(Types!J2, "太晶碎块")</f>
        <v>一般太晶碎块</v>
      </c>
    </row>
    <row r="83">
      <c r="A83" s="5" t="str">
        <f t="shared" si="7"/>
        <v>NAME_ITEM_FIGHTINGTERASHARD</v>
      </c>
      <c r="B83" s="3" t="str">
        <f>CONCATENATE(Types!B3, " Tera Shard")</f>
        <v>Fighting Tera Shard</v>
      </c>
      <c r="C83" s="3" t="str">
        <f>CONCATENATE("テラピース",Types!C3)</f>
        <v>テラピースかくとう</v>
      </c>
      <c r="D83" s="3" t="str">
        <f>CONCATENATE("Téra-Éclat ",Types!D3)</f>
        <v>Téra-Éclat Combat</v>
      </c>
      <c r="E83" s="3" t="str">
        <f>CONCATENATE("Tera-Stück (",Types!E3, ")")</f>
        <v>Tera-Stück (Kampf)</v>
      </c>
      <c r="F83" s="3" t="str">
        <f>CONCATENATE("Teralito ",Types!F3)</f>
        <v>Teralito Lucha</v>
      </c>
      <c r="G83" s="3" t="str">
        <f>CONCATENATE("Teralite ",Types!G3)</f>
        <v>Teralite Lotta</v>
      </c>
      <c r="H83" s="3" t="str">
        <f>CONCATENATE("테라피스 ",Types!H3)</f>
        <v>테라피스 격투</v>
      </c>
      <c r="I83" s="3" t="str">
        <f>CONCATENATE(Types!I3, "太晶碎塊")</f>
        <v>格鬥太晶碎塊</v>
      </c>
      <c r="J83" s="3" t="str">
        <f>CONCATENATE(Types!J3, "太晶碎块")</f>
        <v>格斗太晶碎块</v>
      </c>
    </row>
    <row r="84">
      <c r="A84" s="5" t="str">
        <f t="shared" si="7"/>
        <v>NAME_ITEM_FLYINGTERASHARD</v>
      </c>
      <c r="B84" s="3" t="str">
        <f>CONCATENATE(Types!B4, " Tera Shard")</f>
        <v>Flying Tera Shard</v>
      </c>
      <c r="C84" s="3" t="str">
        <f>CONCATENATE("テラピース",Types!C4)</f>
        <v>テラピースひこう</v>
      </c>
      <c r="D84" s="3" t="str">
        <f>CONCATENATE("Téra-Éclat ",Types!D4)</f>
        <v>Téra-Éclat Vol</v>
      </c>
      <c r="E84" s="3" t="str">
        <f>CONCATENATE("Tera-Stück (",Types!E4, ")")</f>
        <v>Tera-Stück (Flug)</v>
      </c>
      <c r="F84" s="3" t="str">
        <f>CONCATENATE("Teralito ",Types!F4)</f>
        <v>Teralito Volador</v>
      </c>
      <c r="G84" s="3" t="str">
        <f>CONCATENATE("Teralite ",Types!G4)</f>
        <v>Teralite Volante</v>
      </c>
      <c r="H84" s="3" t="str">
        <f>CONCATENATE("테라피스 ",Types!H4)</f>
        <v>테라피스 비행</v>
      </c>
      <c r="I84" s="3" t="str">
        <f>CONCATENATE(Types!I4, "太晶碎塊")</f>
        <v>飛行太晶碎塊</v>
      </c>
      <c r="J84" s="3" t="str">
        <f>CONCATENATE(Types!J4, "太晶碎块")</f>
        <v>飞行太晶碎块</v>
      </c>
    </row>
    <row r="85">
      <c r="A85" s="5" t="str">
        <f t="shared" si="7"/>
        <v>NAME_ITEM_POISONTERASHARD</v>
      </c>
      <c r="B85" s="3" t="str">
        <f>CONCATENATE(Types!B5, " Tera Shard")</f>
        <v>Poison Tera Shard</v>
      </c>
      <c r="C85" s="3" t="str">
        <f>CONCATENATE("テラピース",Types!C5)</f>
        <v>テラピースどく</v>
      </c>
      <c r="D85" s="3" t="str">
        <f>CONCATENATE("Téra-Éclat ",Types!D5)</f>
        <v>Téra-Éclat Poison</v>
      </c>
      <c r="E85" s="3" t="str">
        <f>CONCATENATE("Tera-Stück (",Types!E5, ")")</f>
        <v>Tera-Stück (Gift)</v>
      </c>
      <c r="F85" s="3" t="str">
        <f>CONCATENATE("Teralito ",Types!F5)</f>
        <v>Teralito Veneno</v>
      </c>
      <c r="G85" s="3" t="str">
        <f>CONCATENATE("Teralite ",Types!G5)</f>
        <v>Teralite Veleno</v>
      </c>
      <c r="H85" s="3" t="str">
        <f>CONCATENATE("테라피스 ",Types!H5)</f>
        <v>테라피스 독</v>
      </c>
      <c r="I85" s="3" t="str">
        <f>CONCATENATE(Types!I5, "太晶碎塊")</f>
        <v>毒太晶碎塊</v>
      </c>
      <c r="J85" s="3" t="str">
        <f>CONCATENATE(Types!J5, "太晶碎块")</f>
        <v>毒太晶碎块</v>
      </c>
    </row>
    <row r="86">
      <c r="A86" s="5" t="str">
        <f t="shared" si="7"/>
        <v>NAME_ITEM_GROUNDTERASHARD</v>
      </c>
      <c r="B86" s="3" t="str">
        <f>CONCATENATE(Types!B6, " Tera Shard")</f>
        <v>Ground Tera Shard</v>
      </c>
      <c r="C86" s="3" t="str">
        <f>CONCATENATE("テラピース",Types!C6)</f>
        <v>テラピースじめん</v>
      </c>
      <c r="D86" s="3" t="str">
        <f>CONCATENATE("Téra-Éclat ",Types!D6)</f>
        <v>Téra-Éclat Sol</v>
      </c>
      <c r="E86" s="3" t="str">
        <f>CONCATENATE("Tera-Stück (",Types!E6, ")")</f>
        <v>Tera-Stück (Boden)</v>
      </c>
      <c r="F86" s="3" t="str">
        <f>CONCATENATE("Teralito ",Types!F6)</f>
        <v>Teralito Tierra</v>
      </c>
      <c r="G86" s="3" t="str">
        <f>CONCATENATE("Teralite ",Types!G6)</f>
        <v>Teralite Terra</v>
      </c>
      <c r="H86" s="3" t="str">
        <f>CONCATENATE("테라피스 ",Types!H6)</f>
        <v>테라피스 땅</v>
      </c>
      <c r="I86" s="3" t="str">
        <f>CONCATENATE(Types!I6, "太晶碎塊")</f>
        <v>地面太晶碎塊</v>
      </c>
      <c r="J86" s="3" t="str">
        <f>CONCATENATE(Types!J6, "太晶碎块")</f>
        <v>地面太晶碎块</v>
      </c>
    </row>
    <row r="87">
      <c r="A87" s="5" t="str">
        <f t="shared" si="7"/>
        <v>NAME_ITEM_ROCKTERASHARD</v>
      </c>
      <c r="B87" s="3" t="str">
        <f>CONCATENATE(Types!B7, " Tera Shard")</f>
        <v>Rock Tera Shard</v>
      </c>
      <c r="C87" s="3" t="str">
        <f>CONCATENATE("テラピース",Types!C7)</f>
        <v>テラピースいわ</v>
      </c>
      <c r="D87" s="3" t="str">
        <f>CONCATENATE("Téra-Éclat ",Types!D7)</f>
        <v>Téra-Éclat Roche</v>
      </c>
      <c r="E87" s="3" t="str">
        <f>CONCATENATE("Tera-Stück (",Types!E7, ")")</f>
        <v>Tera-Stück (Gestein)</v>
      </c>
      <c r="F87" s="3" t="str">
        <f>CONCATENATE("Teralito ",Types!F7)</f>
        <v>Teralito Roca</v>
      </c>
      <c r="G87" s="3" t="str">
        <f>CONCATENATE("Teralite ",Types!G7)</f>
        <v>Teralite Roccia</v>
      </c>
      <c r="H87" s="3" t="str">
        <f>CONCATENATE("테라피스 ",Types!H7)</f>
        <v>테라피스 바위</v>
      </c>
      <c r="I87" s="3" t="str">
        <f>CONCATENATE(Types!I7, "太晶碎塊")</f>
        <v>岩石太晶碎塊</v>
      </c>
      <c r="J87" s="3" t="str">
        <f>CONCATENATE(Types!J7, "太晶碎块")</f>
        <v>岩石太晶碎块</v>
      </c>
    </row>
    <row r="88">
      <c r="A88" s="5" t="str">
        <f t="shared" si="7"/>
        <v>NAME_ITEM_BUGTERASHARD</v>
      </c>
      <c r="B88" s="3" t="str">
        <f>CONCATENATE(Types!B8, " Tera Shard")</f>
        <v>Bug Tera Shard</v>
      </c>
      <c r="C88" s="3" t="str">
        <f>CONCATENATE("テラピース",Types!C8)</f>
        <v>テラピースむし</v>
      </c>
      <c r="D88" s="3" t="str">
        <f>CONCATENATE("Téra-Éclat ",Types!D8)</f>
        <v>Téra-Éclat Insecte</v>
      </c>
      <c r="E88" s="3" t="str">
        <f>CONCATENATE("Tera-Stück (",Types!E8, ")")</f>
        <v>Tera-Stück (Käfer)</v>
      </c>
      <c r="F88" s="3" t="str">
        <f>CONCATENATE("Teralito ",Types!F8)</f>
        <v>Teralito Bicho</v>
      </c>
      <c r="G88" s="3" t="str">
        <f>CONCATENATE("Teralite ",Types!G8)</f>
        <v>Teralite Coleottero</v>
      </c>
      <c r="H88" s="3" t="str">
        <f>CONCATENATE("테라피스 ",Types!H8)</f>
        <v>테라피스 벌레</v>
      </c>
      <c r="I88" s="3" t="str">
        <f>CONCATENATE(Types!I8, "太晶碎塊")</f>
        <v>蟲太晶碎塊</v>
      </c>
      <c r="J88" s="3" t="str">
        <f>CONCATENATE(Types!J8, "太晶碎块")</f>
        <v>虫太晶碎块</v>
      </c>
    </row>
    <row r="89">
      <c r="A89" s="5" t="str">
        <f t="shared" si="7"/>
        <v>NAME_ITEM_GHOSTTERASHARD</v>
      </c>
      <c r="B89" s="3" t="str">
        <f>CONCATENATE(Types!B9, " Tera Shard")</f>
        <v>Ghost Tera Shard</v>
      </c>
      <c r="C89" s="3" t="str">
        <f>CONCATENATE("テラピース",Types!C9)</f>
        <v>テラピースゴースト</v>
      </c>
      <c r="D89" s="3" t="str">
        <f>CONCATENATE("Téra-Éclat ",Types!D9)</f>
        <v>Téra-Éclat Spectre</v>
      </c>
      <c r="E89" s="3" t="str">
        <f>CONCATENATE("Tera-Stück (",Types!E9, ")")</f>
        <v>Tera-Stück (Geist)</v>
      </c>
      <c r="F89" s="3" t="str">
        <f>CONCATENATE("Teralito ",Types!F9)</f>
        <v>Teralito Fantasma</v>
      </c>
      <c r="G89" s="3" t="str">
        <f>CONCATENATE("Teralite ",Types!G9)</f>
        <v>Teralite Spettro</v>
      </c>
      <c r="H89" s="3" t="str">
        <f>CONCATENATE("테라피스 ",Types!H9)</f>
        <v>테라피스 고스트</v>
      </c>
      <c r="I89" s="3" t="str">
        <f>CONCATENATE(Types!I9, "太晶碎塊")</f>
        <v>幽靈太晶碎塊</v>
      </c>
      <c r="J89" s="3" t="str">
        <f>CONCATENATE(Types!J9, "太晶碎块")</f>
        <v>幽灵太晶碎块</v>
      </c>
    </row>
    <row r="90">
      <c r="A90" s="5" t="str">
        <f t="shared" si="7"/>
        <v>NAME_ITEM_STEELTERASHARD</v>
      </c>
      <c r="B90" s="3" t="str">
        <f>CONCATENATE(Types!B10, " Tera Shard")</f>
        <v>Steel Tera Shard</v>
      </c>
      <c r="C90" s="3" t="str">
        <f>CONCATENATE("テラピース",Types!C10)</f>
        <v>テラピースはがね</v>
      </c>
      <c r="D90" s="3" t="str">
        <f>CONCATENATE("Téra-Éclat ",Types!D10)</f>
        <v>Téra-Éclat Acier</v>
      </c>
      <c r="E90" s="3" t="str">
        <f>CONCATENATE("Tera-Stück (",Types!E10, ")")</f>
        <v>Tera-Stück (Stahl)</v>
      </c>
      <c r="F90" s="3" t="str">
        <f>CONCATENATE("Teralito ",Types!F10)</f>
        <v>Teralito Acero</v>
      </c>
      <c r="G90" s="3" t="str">
        <f>CONCATENATE("Teralite ",Types!G10)</f>
        <v>Teralite Acciaio</v>
      </c>
      <c r="H90" s="3" t="str">
        <f>CONCATENATE("테라피스 ",Types!H10)</f>
        <v>테라피스 강철</v>
      </c>
      <c r="I90" s="3" t="str">
        <f>CONCATENATE(Types!I10, "太晶碎塊")</f>
        <v>鋼太晶碎塊</v>
      </c>
      <c r="J90" s="3" t="str">
        <f>CONCATENATE(Types!J10, "太晶碎块")</f>
        <v>钢太晶碎块</v>
      </c>
    </row>
    <row r="91">
      <c r="A91" s="5" t="str">
        <f t="shared" si="7"/>
        <v>NAME_ITEM_FIRETERASHARD</v>
      </c>
      <c r="B91" s="3" t="str">
        <f>CONCATENATE(Types!B11, " Tera Shard")</f>
        <v>Fire Tera Shard</v>
      </c>
      <c r="C91" s="3" t="str">
        <f>CONCATENATE("テラピース",Types!C11)</f>
        <v>テラピースほのお</v>
      </c>
      <c r="D91" s="3" t="str">
        <f>CONCATENATE("Téra-Éclat ",Types!D11)</f>
        <v>Téra-Éclat Feu</v>
      </c>
      <c r="E91" s="3" t="str">
        <f>CONCATENATE("Tera-Stück (",Types!E11, ")")</f>
        <v>Tera-Stück (Feuer)</v>
      </c>
      <c r="F91" s="3" t="str">
        <f>CONCATENATE("Teralito ",Types!F11)</f>
        <v>Teralito Fuego</v>
      </c>
      <c r="G91" s="3" t="str">
        <f>CONCATENATE("Teralite ",Types!G11)</f>
        <v>Teralite Fuoco</v>
      </c>
      <c r="H91" s="3" t="str">
        <f>CONCATENATE("테라피스 ",Types!H11)</f>
        <v>테라피스 불꽃</v>
      </c>
      <c r="I91" s="3" t="str">
        <f>CONCATENATE(Types!I11, "太晶碎塊")</f>
        <v>火太晶碎塊</v>
      </c>
      <c r="J91" s="3" t="str">
        <f>CONCATENATE(Types!J11, "太晶碎块")</f>
        <v>火太晶碎块</v>
      </c>
    </row>
    <row r="92">
      <c r="A92" s="5" t="str">
        <f t="shared" si="7"/>
        <v>NAME_ITEM_WATERTERASHARD</v>
      </c>
      <c r="B92" s="3" t="str">
        <f>CONCATENATE(Types!B12, " Tera Shard")</f>
        <v>Water Tera Shard</v>
      </c>
      <c r="C92" s="3" t="str">
        <f>CONCATENATE("テラピース",Types!C12)</f>
        <v>テラピースみず</v>
      </c>
      <c r="D92" s="3" t="str">
        <f>CONCATENATE("Téra-Éclat ",Types!D12)</f>
        <v>Téra-Éclat Eau</v>
      </c>
      <c r="E92" s="3" t="str">
        <f>CONCATENATE("Tera-Stück (",Types!E12, ")")</f>
        <v>Tera-Stück (Wasser)</v>
      </c>
      <c r="F92" s="3" t="str">
        <f>CONCATENATE("Teralito ",Types!F12)</f>
        <v>Teralito Agua</v>
      </c>
      <c r="G92" s="3" t="str">
        <f>CONCATENATE("Teralite ",Types!G12)</f>
        <v>Teralite Acqua</v>
      </c>
      <c r="H92" s="3" t="str">
        <f>CONCATENATE("테라피스 ",Types!H12)</f>
        <v>테라피스 물</v>
      </c>
      <c r="I92" s="3" t="str">
        <f>CONCATENATE(Types!I12, "太晶碎塊")</f>
        <v>水太晶碎塊</v>
      </c>
      <c r="J92" s="3" t="str">
        <f>CONCATENATE(Types!J12, "太晶碎块")</f>
        <v>水太晶碎块</v>
      </c>
    </row>
    <row r="93">
      <c r="A93" s="5" t="str">
        <f t="shared" si="7"/>
        <v>NAME_ITEM_GRASSTERASHARD</v>
      </c>
      <c r="B93" s="3" t="str">
        <f>CONCATENATE(Types!B13, " Tera Shard")</f>
        <v>Grass Tera Shard</v>
      </c>
      <c r="C93" s="3" t="str">
        <f>CONCATENATE("テラピース",Types!C13)</f>
        <v>テラピースくさ</v>
      </c>
      <c r="D93" s="3" t="str">
        <f>CONCATENATE("Téra-Éclat ",Types!D13)</f>
        <v>Téra-Éclat Plante</v>
      </c>
      <c r="E93" s="3" t="str">
        <f>CONCATENATE("Tera-Stück (",Types!E13, ")")</f>
        <v>Tera-Stück (Pflanze)</v>
      </c>
      <c r="F93" s="3" t="str">
        <f>CONCATENATE("Teralito ",Types!F13)</f>
        <v>Teralito Planta</v>
      </c>
      <c r="G93" s="3" t="str">
        <f>CONCATENATE("Teralite ",Types!G13)</f>
        <v>Teralite Erba</v>
      </c>
      <c r="H93" s="3" t="str">
        <f>CONCATENATE("테라피스 ",Types!H13)</f>
        <v>테라피스 풀</v>
      </c>
      <c r="I93" s="3" t="str">
        <f>CONCATENATE(Types!I13, "太晶碎塊")</f>
        <v>草太晶碎塊</v>
      </c>
      <c r="J93" s="3" t="str">
        <f>CONCATENATE(Types!J13, "太晶碎块")</f>
        <v>草太晶碎块</v>
      </c>
    </row>
    <row r="94">
      <c r="A94" s="5" t="str">
        <f t="shared" si="7"/>
        <v>NAME_ITEM_ELECTRICTERASHARD</v>
      </c>
      <c r="B94" s="3" t="str">
        <f>CONCATENATE(Types!B14, " Tera Shard")</f>
        <v>Electric Tera Shard</v>
      </c>
      <c r="C94" s="3" t="str">
        <f>CONCATENATE("テラピース",Types!C14)</f>
        <v>テラピースでんき</v>
      </c>
      <c r="D94" s="3" t="str">
        <f>CONCATENATE("Téra-Éclat ",Types!D14)</f>
        <v>Téra-Éclat Électrik</v>
      </c>
      <c r="E94" s="3" t="str">
        <f>CONCATENATE("Tera-Stück (",Types!E14, ")")</f>
        <v>Tera-Stück (Elektro)</v>
      </c>
      <c r="F94" s="3" t="str">
        <f>CONCATENATE("Teralito ",Types!F14)</f>
        <v>Teralito Eléctrico</v>
      </c>
      <c r="G94" s="3" t="str">
        <f>CONCATENATE("Teralite ",Types!G14)</f>
        <v>Teralite Elettro</v>
      </c>
      <c r="H94" s="3" t="str">
        <f>CONCATENATE("테라피스 ",Types!H14)</f>
        <v>테라피스 전기</v>
      </c>
      <c r="I94" s="3" t="str">
        <f>CONCATENATE(Types!I14, "太晶碎塊")</f>
        <v>電太晶碎塊</v>
      </c>
      <c r="J94" s="3" t="str">
        <f>CONCATENATE(Types!J14, "太晶碎块")</f>
        <v>电太晶碎块</v>
      </c>
    </row>
    <row r="95">
      <c r="A95" s="5" t="str">
        <f t="shared" si="7"/>
        <v>NAME_ITEM_PSYCHICTERASHARD</v>
      </c>
      <c r="B95" s="3" t="str">
        <f>CONCATENATE(Types!B15, " Tera Shard")</f>
        <v>Psychic Tera Shard</v>
      </c>
      <c r="C95" s="3" t="str">
        <f>CONCATENATE("テラピース",Types!C15)</f>
        <v>テラピースエスパー</v>
      </c>
      <c r="D95" s="3" t="str">
        <f>CONCATENATE("Téra-Éclat ",Types!D15)</f>
        <v>Téra-Éclat Psy</v>
      </c>
      <c r="E95" s="3" t="str">
        <f>CONCATENATE("Tera-Stück (",Types!E15, ")")</f>
        <v>Tera-Stück (Psyscho)</v>
      </c>
      <c r="F95" s="3" t="str">
        <f>CONCATENATE("Teralito ",Types!F15)</f>
        <v>Teralito Psíquico</v>
      </c>
      <c r="G95" s="3" t="str">
        <f>CONCATENATE("Teralite ",Types!G15)</f>
        <v>Teralite Psico</v>
      </c>
      <c r="H95" s="3" t="str">
        <f>CONCATENATE("테라피스 ",Types!H15)</f>
        <v>테라피스 에스퍼</v>
      </c>
      <c r="I95" s="3" t="str">
        <f>CONCATENATE(Types!I15, "太晶碎塊")</f>
        <v>超能力太晶碎塊</v>
      </c>
      <c r="J95" s="3" t="str">
        <f>CONCATENATE(Types!J15, "太晶碎块")</f>
        <v>超能力太晶碎块</v>
      </c>
    </row>
    <row r="96">
      <c r="A96" s="5" t="str">
        <f t="shared" si="7"/>
        <v>NAME_ITEM_ICETERASHARD</v>
      </c>
      <c r="B96" s="3" t="str">
        <f>CONCATENATE(Types!B16, " Tera Shard")</f>
        <v>Ice Tera Shard</v>
      </c>
      <c r="C96" s="3" t="str">
        <f>CONCATENATE("テラピース",Types!C16)</f>
        <v>テラピースこおり</v>
      </c>
      <c r="D96" s="3" t="str">
        <f>CONCATENATE("Téra-Éclat ",Types!D16)</f>
        <v>Téra-Éclat Glace</v>
      </c>
      <c r="E96" s="3" t="str">
        <f>CONCATENATE("Tera-Stück (",Types!E16, ")")</f>
        <v>Tera-Stück (Eis)</v>
      </c>
      <c r="F96" s="3" t="str">
        <f>CONCATENATE("Teralito ",Types!F16)</f>
        <v>Teralito Hielo</v>
      </c>
      <c r="G96" s="3" t="str">
        <f>CONCATENATE("Teralite ",Types!G16)</f>
        <v>Teralite Ghiaccio</v>
      </c>
      <c r="H96" s="3" t="str">
        <f>CONCATENATE("테라피스 ",Types!H16)</f>
        <v>테라피스 얼음</v>
      </c>
      <c r="I96" s="3" t="str">
        <f>CONCATENATE(Types!I16, "太晶碎塊")</f>
        <v>冰太晶碎塊</v>
      </c>
      <c r="J96" s="3" t="str">
        <f>CONCATENATE(Types!J16, "太晶碎块")</f>
        <v>冰太晶碎块</v>
      </c>
    </row>
    <row r="97">
      <c r="A97" s="5" t="str">
        <f t="shared" si="7"/>
        <v>NAME_ITEM_DRAGONTERASHARD</v>
      </c>
      <c r="B97" s="3" t="str">
        <f>CONCATENATE(Types!B17, " Tera Shard")</f>
        <v>Dragon Tera Shard</v>
      </c>
      <c r="C97" s="3" t="str">
        <f>CONCATENATE("テラピース",Types!C17)</f>
        <v>テラピースドラゴン</v>
      </c>
      <c r="D97" s="3" t="str">
        <f>CONCATENATE("Téra-Éclat ",Types!D17)</f>
        <v>Téra-Éclat Dragon</v>
      </c>
      <c r="E97" s="3" t="str">
        <f>CONCATENATE("Tera-Stück (",Types!E17, ")")</f>
        <v>Tera-Stück (Drache)</v>
      </c>
      <c r="F97" s="3" t="str">
        <f>CONCATENATE("Teralito ",Types!F17)</f>
        <v>Teralito Dragón</v>
      </c>
      <c r="G97" s="3" t="str">
        <f>CONCATENATE("Teralite ",Types!G17)</f>
        <v>Teralite Drago</v>
      </c>
      <c r="H97" s="3" t="str">
        <f>CONCATENATE("테라피스 ",Types!H17)</f>
        <v>테라피스 드개곤</v>
      </c>
      <c r="I97" s="3" t="str">
        <f>CONCATENATE(Types!I17, "太晶碎塊")</f>
        <v>龍太晶碎塊</v>
      </c>
      <c r="J97" s="3" t="str">
        <f>CONCATENATE(Types!J17, "太晶碎块")</f>
        <v>龙太晶碎块</v>
      </c>
    </row>
    <row r="98">
      <c r="A98" s="5" t="str">
        <f t="shared" si="7"/>
        <v>NAME_ITEM_DARKTERASHARD</v>
      </c>
      <c r="B98" s="3" t="str">
        <f>CONCATENATE(Types!B18, " Tera Shard")</f>
        <v>Dark Tera Shard</v>
      </c>
      <c r="C98" s="3" t="str">
        <f>CONCATENATE("テラピース",Types!C18)</f>
        <v>テラピースあく</v>
      </c>
      <c r="D98" s="3" t="str">
        <f>CONCATENATE("Téra-Éclat ",Types!D18)</f>
        <v>Téra-Éclat Ténèbres</v>
      </c>
      <c r="E98" s="3" t="str">
        <f>CONCATENATE("Tera-Stück (",Types!E18, ")")</f>
        <v>Tera-Stück (Unlicht)</v>
      </c>
      <c r="F98" s="3" t="str">
        <f>CONCATENATE("Teralito ",Types!F18)</f>
        <v>Teralito Siniestro</v>
      </c>
      <c r="G98" s="3" t="str">
        <f>CONCATENATE("Teralite ",Types!G18)</f>
        <v>Teralite Buio</v>
      </c>
      <c r="H98" s="3" t="str">
        <f>CONCATENATE("테라피스 ",Types!H18)</f>
        <v>테라피스 악</v>
      </c>
      <c r="I98" s="3" t="str">
        <f>CONCATENATE(Types!I18, "太晶碎塊")</f>
        <v>惡太晶碎塊</v>
      </c>
      <c r="J98" s="3" t="str">
        <f>CONCATENATE(Types!J18, "太晶碎块")</f>
        <v>恶太晶碎块</v>
      </c>
    </row>
    <row r="99">
      <c r="A99" s="5" t="str">
        <f t="shared" si="7"/>
        <v>NAME_ITEM_FAIRYTERASHARD</v>
      </c>
      <c r="B99" s="3" t="str">
        <f>CONCATENATE(Types!B19, " Tera Shard")</f>
        <v>Fairy Tera Shard</v>
      </c>
      <c r="C99" s="3" t="str">
        <f>CONCATENATE("テラピース",Types!C19)</f>
        <v>テラピースフェアリ</v>
      </c>
      <c r="D99" s="3" t="str">
        <f>CONCATENATE("Téra-Éclat ",Types!D19)</f>
        <v>Téra-Éclat Fée</v>
      </c>
      <c r="E99" s="3" t="str">
        <f>CONCATENATE("Tera-Stück (",Types!E19, ")")</f>
        <v>Tera-Stück (Fee)</v>
      </c>
      <c r="F99" s="3" t="str">
        <f>CONCATENATE("Teralito ",Types!F19)</f>
        <v>Teralito Hada</v>
      </c>
      <c r="G99" s="3" t="str">
        <f>CONCATENATE("Teralite ",Types!G19)</f>
        <v>Teralite Folletto</v>
      </c>
      <c r="H99" s="3" t="str">
        <f>CONCATENATE("테라피스 ",Types!H19)</f>
        <v>테라피스 페어리</v>
      </c>
      <c r="I99" s="3" t="str">
        <f>CONCATENATE(Types!I19, "太晶碎塊")</f>
        <v>妖精太晶碎塊</v>
      </c>
      <c r="J99" s="3" t="str">
        <f>CONCATENATE(Types!J19, "太晶碎块")</f>
        <v>妖精太晶碎块</v>
      </c>
    </row>
    <row r="100">
      <c r="A100" s="5" t="str">
        <f t="shared" si="7"/>
        <v>NAME_ITEM_STELLARTERASHARD</v>
      </c>
      <c r="B100" s="3" t="str">
        <f>CONCATENATE(Types!B20, " Tera Shard")</f>
        <v>Stellar Tera Shard</v>
      </c>
      <c r="C100" s="3" t="str">
        <f>CONCATENATE("テラピース",Types!C20)</f>
        <v>テラピースステラ</v>
      </c>
      <c r="D100" s="3" t="str">
        <f>CONCATENATE("Téra-Éclat ",Types!D20)</f>
        <v>Téra-Éclat Stellaire</v>
      </c>
      <c r="E100" s="3" t="str">
        <f>CONCATENATE("Tera-Stück (",Types!E20, ")")</f>
        <v>Tera-Stück (Stellar)</v>
      </c>
      <c r="F100" s="3" t="str">
        <f>CONCATENATE("Teralito ",Types!F20)</f>
        <v>Teralito Astral</v>
      </c>
      <c r="G100" s="3" t="str">
        <f>CONCATENATE("Teralite ",Types!G20)</f>
        <v>Teralite Astrale</v>
      </c>
      <c r="H100" s="3" t="str">
        <f>CONCATENATE("테라피스 ",Types!H20)</f>
        <v>테라피스 스텔라</v>
      </c>
      <c r="I100" s="3" t="str">
        <f>CONCATENATE(Types!I20, "太晶碎塊")</f>
        <v>星晶太晶碎塊</v>
      </c>
      <c r="J100" s="3" t="str">
        <f>CONCATENATE(Types!J20, "太晶碎块")</f>
        <v>星晶太晶碎块</v>
      </c>
    </row>
    <row r="101">
      <c r="A101" s="5" t="str">
        <f t="shared" si="7"/>
        <v>NAME_ITEM_HEALTHMOCHI</v>
      </c>
      <c r="B101" s="3" t="s">
        <v>23359</v>
      </c>
      <c r="C101" s="3" t="s">
        <v>23360</v>
      </c>
      <c r="D101" s="3" t="s">
        <v>23361</v>
      </c>
      <c r="E101" s="3" t="s">
        <v>23362</v>
      </c>
      <c r="F101" s="3" t="s">
        <v>23363</v>
      </c>
      <c r="G101" s="3" t="s">
        <v>23364</v>
      </c>
      <c r="H101" s="3" t="s">
        <v>23365</v>
      </c>
      <c r="I101" s="3" t="s">
        <v>23366</v>
      </c>
      <c r="J101" s="3" t="s">
        <v>23367</v>
      </c>
    </row>
    <row r="102">
      <c r="A102" s="5" t="str">
        <f t="shared" si="7"/>
        <v>NAME_ITEM_MUSCLEMOCHI</v>
      </c>
      <c r="B102" s="3" t="s">
        <v>23368</v>
      </c>
      <c r="C102" s="3" t="s">
        <v>23369</v>
      </c>
      <c r="D102" s="3" t="s">
        <v>23370</v>
      </c>
      <c r="E102" s="3" t="s">
        <v>23371</v>
      </c>
      <c r="F102" s="3" t="s">
        <v>23372</v>
      </c>
      <c r="G102" s="3" t="s">
        <v>23373</v>
      </c>
      <c r="H102" s="3" t="s">
        <v>23374</v>
      </c>
      <c r="I102" s="3" t="s">
        <v>23375</v>
      </c>
      <c r="J102" s="3" t="s">
        <v>23376</v>
      </c>
    </row>
    <row r="103">
      <c r="A103" s="5" t="str">
        <f t="shared" si="7"/>
        <v>NAME_ITEM_RESISTMOCHI</v>
      </c>
      <c r="B103" s="3" t="s">
        <v>23377</v>
      </c>
      <c r="C103" s="3" t="s">
        <v>23378</v>
      </c>
      <c r="D103" s="3" t="s">
        <v>23379</v>
      </c>
      <c r="E103" s="3" t="s">
        <v>23380</v>
      </c>
      <c r="F103" s="3" t="s">
        <v>23381</v>
      </c>
      <c r="G103" s="3" t="s">
        <v>23382</v>
      </c>
      <c r="H103" s="3" t="s">
        <v>23383</v>
      </c>
      <c r="I103" s="3" t="s">
        <v>23384</v>
      </c>
      <c r="J103" s="3" t="s">
        <v>23385</v>
      </c>
    </row>
    <row r="104">
      <c r="A104" s="5" t="str">
        <f t="shared" si="7"/>
        <v>NAME_ITEM_GENIUSMOCHI</v>
      </c>
      <c r="B104" s="3" t="s">
        <v>23386</v>
      </c>
      <c r="C104" s="3" t="s">
        <v>23387</v>
      </c>
      <c r="D104" s="3" t="s">
        <v>23388</v>
      </c>
      <c r="E104" s="3" t="s">
        <v>23389</v>
      </c>
      <c r="F104" s="3" t="s">
        <v>23390</v>
      </c>
      <c r="G104" s="3" t="s">
        <v>23391</v>
      </c>
      <c r="H104" s="3" t="s">
        <v>23392</v>
      </c>
      <c r="I104" s="3" t="s">
        <v>23393</v>
      </c>
      <c r="J104" s="3" t="s">
        <v>23394</v>
      </c>
    </row>
    <row r="105">
      <c r="A105" s="5" t="str">
        <f t="shared" si="7"/>
        <v>NAME_ITEM_CLEVERMOCHI</v>
      </c>
      <c r="B105" s="3" t="s">
        <v>23395</v>
      </c>
      <c r="C105" s="3" t="s">
        <v>23396</v>
      </c>
      <c r="D105" s="3" t="s">
        <v>23397</v>
      </c>
      <c r="E105" s="3" t="s">
        <v>23398</v>
      </c>
      <c r="F105" s="3" t="s">
        <v>23399</v>
      </c>
      <c r="G105" s="3" t="s">
        <v>23400</v>
      </c>
      <c r="H105" s="3" t="s">
        <v>23401</v>
      </c>
      <c r="I105" s="3" t="s">
        <v>23402</v>
      </c>
      <c r="J105" s="3" t="s">
        <v>23403</v>
      </c>
    </row>
    <row r="106">
      <c r="A106" s="5" t="str">
        <f t="shared" si="7"/>
        <v>NAME_ITEM_SWIFTMOCHI</v>
      </c>
      <c r="B106" s="3" t="s">
        <v>23404</v>
      </c>
      <c r="C106" s="3" t="s">
        <v>23405</v>
      </c>
      <c r="D106" s="3" t="s">
        <v>23406</v>
      </c>
      <c r="E106" s="3" t="s">
        <v>23407</v>
      </c>
      <c r="F106" s="3" t="s">
        <v>23408</v>
      </c>
      <c r="G106" s="3" t="s">
        <v>23409</v>
      </c>
      <c r="H106" s="3" t="s">
        <v>23410</v>
      </c>
      <c r="I106" s="3" t="s">
        <v>23411</v>
      </c>
      <c r="J106" s="3" t="s">
        <v>23412</v>
      </c>
    </row>
    <row r="107">
      <c r="A107" s="5" t="str">
        <f>CONCATENATE("NAME_ITEM_", SUBSTITUTE(SUBSTITUTE(UPPER(B107), " ", ""), "-", ""))</f>
        <v>NAME_ITEM_FRESHSTARTMOCHI</v>
      </c>
      <c r="B107" s="3" t="s">
        <v>23413</v>
      </c>
      <c r="C107" s="3" t="s">
        <v>23414</v>
      </c>
      <c r="D107" s="3" t="s">
        <v>23415</v>
      </c>
      <c r="E107" s="3" t="s">
        <v>23416</v>
      </c>
      <c r="F107" s="3" t="s">
        <v>23417</v>
      </c>
      <c r="G107" s="3" t="s">
        <v>23418</v>
      </c>
      <c r="H107" s="3" t="s">
        <v>23419</v>
      </c>
      <c r="I107" s="3" t="s">
        <v>23420</v>
      </c>
      <c r="J107" s="3" t="s">
        <v>23421</v>
      </c>
    </row>
    <row r="108">
      <c r="A108" s="5" t="str">
        <f t="shared" ref="A108:A110" si="8">CONCATENATE("NAME_ITEM_", SUBSTITUTE(UPPER(B108), " ", ""))</f>
        <v>NAME_ITEM_MASTERBALL</v>
      </c>
      <c r="B108" s="3" t="s">
        <v>23422</v>
      </c>
      <c r="C108" s="3" t="s">
        <v>23423</v>
      </c>
      <c r="D108" s="5" t="str">
        <f>B108</f>
        <v>Master Ball</v>
      </c>
      <c r="E108" s="3" t="s">
        <v>23424</v>
      </c>
      <c r="F108" s="3" t="s">
        <v>23422</v>
      </c>
      <c r="G108" s="5" t="str">
        <f t="shared" ref="G108:G109" si="9">B108</f>
        <v>Master Ball</v>
      </c>
      <c r="H108" s="3" t="s">
        <v>23425</v>
      </c>
      <c r="I108" s="3" t="s">
        <v>23426</v>
      </c>
      <c r="J108" s="5" t="str">
        <f>IFERROR(__xludf.DUMMYFUNCTION("GOOGLETRANSLATE(I108,""zh_HANT"",""zh_HANS"")"),"大师球")</f>
        <v>大师球</v>
      </c>
    </row>
    <row r="109">
      <c r="A109" s="5" t="str">
        <f t="shared" si="8"/>
        <v>NAME_ITEM_ULTRABALL</v>
      </c>
      <c r="B109" s="3" t="s">
        <v>23427</v>
      </c>
      <c r="C109" s="3" t="s">
        <v>23428</v>
      </c>
      <c r="D109" s="3" t="s">
        <v>23429</v>
      </c>
      <c r="E109" s="3" t="s">
        <v>23430</v>
      </c>
      <c r="F109" s="3" t="s">
        <v>23427</v>
      </c>
      <c r="G109" s="5" t="str">
        <f t="shared" si="9"/>
        <v>Ultra Ball</v>
      </c>
      <c r="H109" s="3" t="s">
        <v>23431</v>
      </c>
      <c r="I109" s="3" t="s">
        <v>23432</v>
      </c>
      <c r="J109" s="5" t="str">
        <f>IFERROR(__xludf.DUMMYFUNCTION("GOOGLETRANSLATE(I109,""zh_HANT"",""zh_HANS"")"),"高级球")</f>
        <v>高级球</v>
      </c>
    </row>
    <row r="110">
      <c r="A110" s="5" t="str">
        <f t="shared" si="8"/>
        <v>NAME_ITEM_GREATBALL</v>
      </c>
      <c r="B110" s="3" t="s">
        <v>23433</v>
      </c>
      <c r="C110" s="3" t="s">
        <v>23434</v>
      </c>
      <c r="D110" s="3" t="s">
        <v>23435</v>
      </c>
      <c r="E110" s="3" t="s">
        <v>23436</v>
      </c>
      <c r="F110" s="3" t="s">
        <v>23435</v>
      </c>
      <c r="G110" s="3" t="s">
        <v>23437</v>
      </c>
      <c r="H110" s="3" t="s">
        <v>23438</v>
      </c>
      <c r="I110" s="3" t="s">
        <v>23439</v>
      </c>
      <c r="J110" s="5" t="str">
        <f>IFERROR(__xludf.DUMMYFUNCTION("GOOGLETRANSLATE(I110,""zh_HANT"",""zh_HANS"")"),"超级球")</f>
        <v>超级球</v>
      </c>
    </row>
    <row r="111">
      <c r="A111" s="3" t="s">
        <v>23440</v>
      </c>
      <c r="B111" s="3" t="s">
        <v>23441</v>
      </c>
      <c r="C111" s="3" t="s">
        <v>23442</v>
      </c>
      <c r="D111" s="3" t="str">
        <f t="shared" ref="D111:D112" si="10">B111</f>
        <v>Poke Ball</v>
      </c>
      <c r="E111" s="3" t="s">
        <v>23443</v>
      </c>
      <c r="F111" s="3" t="s">
        <v>23441</v>
      </c>
      <c r="G111" s="5" t="str">
        <f t="shared" ref="G111:G112" si="11">B111</f>
        <v>Poke Ball</v>
      </c>
      <c r="H111" s="3" t="s">
        <v>23444</v>
      </c>
      <c r="I111" s="3" t="s">
        <v>23445</v>
      </c>
      <c r="J111" s="5" t="str">
        <f>IFERROR(__xludf.DUMMYFUNCTION("GOOGLETRANSLATE(I111,""zh_HANT"",""zh_HANS"")"),"精灵球")</f>
        <v>精灵球</v>
      </c>
    </row>
    <row r="112">
      <c r="A112" s="5" t="str">
        <f t="shared" ref="A112:A134" si="12">CONCATENATE("NAME_ITEM_", SUBSTITUTE(UPPER(B112), " ", ""))</f>
        <v>NAME_ITEM_SAFARIBALL</v>
      </c>
      <c r="B112" s="3" t="s">
        <v>23446</v>
      </c>
      <c r="C112" s="3" t="s">
        <v>23447</v>
      </c>
      <c r="D112" s="5" t="str">
        <f t="shared" si="10"/>
        <v>Safari Ball</v>
      </c>
      <c r="E112" s="3" t="s">
        <v>23448</v>
      </c>
      <c r="F112" s="3" t="s">
        <v>23446</v>
      </c>
      <c r="G112" s="5" t="str">
        <f t="shared" si="11"/>
        <v>Safari Ball</v>
      </c>
      <c r="H112" s="3" t="s">
        <v>23449</v>
      </c>
      <c r="I112" s="3" t="s">
        <v>23450</v>
      </c>
      <c r="J112" s="5" t="str">
        <f>IFERROR(__xludf.DUMMYFUNCTION("GOOGLETRANSLATE(I112,""zh_HANT"",""zh_HANS"")"),"狩猎球")</f>
        <v>狩猎球</v>
      </c>
    </row>
    <row r="113">
      <c r="A113" s="5" t="str">
        <f t="shared" si="12"/>
        <v>NAME_ITEM_FASTBALL</v>
      </c>
      <c r="B113" s="3" t="s">
        <v>23451</v>
      </c>
      <c r="C113" s="3" t="s">
        <v>23452</v>
      </c>
      <c r="D113" s="3" t="s">
        <v>23453</v>
      </c>
      <c r="E113" s="3" t="s">
        <v>23454</v>
      </c>
      <c r="F113" s="3" t="s">
        <v>23455</v>
      </c>
      <c r="G113" s="5" t="str">
        <f>F113</f>
        <v>Rapid Ball</v>
      </c>
      <c r="H113" s="3" t="s">
        <v>23456</v>
      </c>
      <c r="I113" s="3" t="s">
        <v>23457</v>
      </c>
      <c r="J113" s="5" t="str">
        <f>I113</f>
        <v>速度球</v>
      </c>
    </row>
    <row r="114">
      <c r="A114" s="5" t="str">
        <f t="shared" si="12"/>
        <v>NAME_ITEM_LEVELBALL</v>
      </c>
      <c r="B114" s="3" t="s">
        <v>23458</v>
      </c>
      <c r="C114" s="3" t="s">
        <v>23459</v>
      </c>
      <c r="D114" s="3" t="s">
        <v>23460</v>
      </c>
      <c r="E114" s="3" t="s">
        <v>23461</v>
      </c>
      <c r="F114" s="3" t="s">
        <v>23462</v>
      </c>
      <c r="G114" s="5" t="str">
        <f>B114</f>
        <v>Level Ball</v>
      </c>
      <c r="H114" s="3" t="s">
        <v>23463</v>
      </c>
      <c r="I114" s="3" t="s">
        <v>23464</v>
      </c>
      <c r="J114" s="5" t="str">
        <f>IFERROR(__xludf.DUMMYFUNCTION("GOOGLETRANSLATE(I114,""zh_HANT"",""zh_HANS"")"),"等级球")</f>
        <v>等级球</v>
      </c>
    </row>
    <row r="115">
      <c r="A115" s="5" t="str">
        <f t="shared" si="12"/>
        <v>NAME_ITEM_LUREBALL</v>
      </c>
      <c r="B115" s="3" t="s">
        <v>23465</v>
      </c>
      <c r="C115" s="3" t="s">
        <v>23466</v>
      </c>
      <c r="D115" s="3" t="s">
        <v>23467</v>
      </c>
      <c r="E115" s="3" t="s">
        <v>23468</v>
      </c>
      <c r="F115" s="3" t="s">
        <v>23469</v>
      </c>
      <c r="G115" s="3" t="s">
        <v>23470</v>
      </c>
      <c r="H115" s="3" t="s">
        <v>23471</v>
      </c>
      <c r="I115" s="3" t="s">
        <v>23472</v>
      </c>
      <c r="J115" s="5" t="str">
        <f>IFERROR(__xludf.DUMMYFUNCTION("GOOGLETRANSLATE(I115,""zh_HANT"",""zh_HANS"")"),"诱饵球")</f>
        <v>诱饵球</v>
      </c>
    </row>
    <row r="116">
      <c r="A116" s="5" t="str">
        <f t="shared" si="12"/>
        <v>NAME_ITEM_HEAVYBALL</v>
      </c>
      <c r="B116" s="3" t="s">
        <v>23473</v>
      </c>
      <c r="C116" s="3" t="s">
        <v>23474</v>
      </c>
      <c r="D116" s="3" t="s">
        <v>23475</v>
      </c>
      <c r="E116" s="3" t="s">
        <v>23476</v>
      </c>
      <c r="F116" s="3" t="s">
        <v>23477</v>
      </c>
      <c r="G116" s="5" t="str">
        <f>F116</f>
        <v>Peso Ball</v>
      </c>
      <c r="H116" s="3" t="s">
        <v>23478</v>
      </c>
      <c r="I116" s="3" t="s">
        <v>23479</v>
      </c>
      <c r="J116" s="5" t="str">
        <f t="shared" ref="J116:J119" si="13">I116</f>
        <v>沉重球</v>
      </c>
    </row>
    <row r="117">
      <c r="A117" s="5" t="str">
        <f t="shared" si="12"/>
        <v>NAME_ITEM_LOVEBALL</v>
      </c>
      <c r="B117" s="3" t="s">
        <v>23480</v>
      </c>
      <c r="C117" s="3" t="s">
        <v>23481</v>
      </c>
      <c r="D117" s="3" t="str">
        <f>B117</f>
        <v>Love Ball</v>
      </c>
      <c r="E117" s="3" t="s">
        <v>23482</v>
      </c>
      <c r="F117" s="3" t="s">
        <v>23483</v>
      </c>
      <c r="G117" s="5" t="str">
        <f t="shared" ref="G117:G118" si="14">B117</f>
        <v>Love Ball</v>
      </c>
      <c r="H117" s="3" t="s">
        <v>23484</v>
      </c>
      <c r="I117" s="3" t="s">
        <v>23485</v>
      </c>
      <c r="J117" s="5" t="str">
        <f t="shared" si="13"/>
        <v>甜蜜球</v>
      </c>
    </row>
    <row r="118">
      <c r="A118" s="5" t="str">
        <f t="shared" si="12"/>
        <v>NAME_ITEM_FRIENDBALL</v>
      </c>
      <c r="B118" s="3" t="s">
        <v>23486</v>
      </c>
      <c r="C118" s="3" t="s">
        <v>23487</v>
      </c>
      <c r="D118" s="3" t="s">
        <v>23488</v>
      </c>
      <c r="E118" s="3" t="s">
        <v>23489</v>
      </c>
      <c r="F118" s="3" t="s">
        <v>23490</v>
      </c>
      <c r="G118" s="5" t="str">
        <f t="shared" si="14"/>
        <v>Friend Ball</v>
      </c>
      <c r="H118" s="3" t="s">
        <v>23491</v>
      </c>
      <c r="I118" s="3" t="s">
        <v>23492</v>
      </c>
      <c r="J118" s="5" t="str">
        <f t="shared" si="13"/>
        <v>友友球</v>
      </c>
    </row>
    <row r="119">
      <c r="A119" s="5" t="str">
        <f t="shared" si="12"/>
        <v>NAME_ITEM_MOONBALL</v>
      </c>
      <c r="B119" s="3" t="s">
        <v>23493</v>
      </c>
      <c r="C119" s="3" t="s">
        <v>23494</v>
      </c>
      <c r="D119" s="3" t="s">
        <v>23495</v>
      </c>
      <c r="E119" s="3" t="s">
        <v>23496</v>
      </c>
      <c r="F119" s="3" t="s">
        <v>23497</v>
      </c>
      <c r="G119" s="5" t="str">
        <f>F119</f>
        <v>Luna Ball</v>
      </c>
      <c r="H119" s="3" t="s">
        <v>23498</v>
      </c>
      <c r="I119" s="3" t="s">
        <v>23499</v>
      </c>
      <c r="J119" s="5" t="str">
        <f t="shared" si="13"/>
        <v>月亮球</v>
      </c>
    </row>
    <row r="120">
      <c r="A120" s="5" t="str">
        <f t="shared" si="12"/>
        <v>NAME_ITEM_SPORTBALL</v>
      </c>
      <c r="B120" s="3" t="s">
        <v>23500</v>
      </c>
      <c r="C120" s="3" t="s">
        <v>23501</v>
      </c>
      <c r="D120" s="3" t="s">
        <v>23502</v>
      </c>
      <c r="E120" s="3" t="s">
        <v>23503</v>
      </c>
      <c r="F120" s="3" t="s">
        <v>23504</v>
      </c>
      <c r="G120" s="3" t="s">
        <v>23505</v>
      </c>
      <c r="H120" s="3" t="s">
        <v>23506</v>
      </c>
      <c r="I120" s="3" t="s">
        <v>23507</v>
      </c>
      <c r="J120" s="5" t="str">
        <f>IFERROR(__xludf.DUMMYFUNCTION("GOOGLETRANSLATE(I120,""zh_HANT"",""zh_HANS"")"),"竞赛球")</f>
        <v>竞赛球</v>
      </c>
    </row>
    <row r="121">
      <c r="A121" s="5" t="str">
        <f t="shared" si="12"/>
        <v>NAME_ITEM_NETBALL</v>
      </c>
      <c r="B121" s="3" t="s">
        <v>23508</v>
      </c>
      <c r="C121" s="3" t="s">
        <v>23509</v>
      </c>
      <c r="D121" s="3" t="s">
        <v>23510</v>
      </c>
      <c r="E121" s="3" t="s">
        <v>23511</v>
      </c>
      <c r="F121" s="3" t="s">
        <v>23512</v>
      </c>
      <c r="G121" s="3" t="s">
        <v>23513</v>
      </c>
      <c r="H121" s="3" t="s">
        <v>23514</v>
      </c>
      <c r="I121" s="3" t="s">
        <v>23515</v>
      </c>
      <c r="J121" s="5" t="str">
        <f>IFERROR(__xludf.DUMMYFUNCTION("GOOGLETRANSLATE(I121,""zh_HANT"",""zh_HANS"")"),"捕网球")</f>
        <v>捕网球</v>
      </c>
    </row>
    <row r="122">
      <c r="A122" s="5" t="str">
        <f t="shared" si="12"/>
        <v>NAME_ITEM_DIVEBALL</v>
      </c>
      <c r="B122" s="3" t="s">
        <v>23516</v>
      </c>
      <c r="C122" s="3" t="s">
        <v>23517</v>
      </c>
      <c r="D122" s="3" t="s">
        <v>23518</v>
      </c>
      <c r="E122" s="3" t="s">
        <v>23519</v>
      </c>
      <c r="F122" s="3" t="s">
        <v>23520</v>
      </c>
      <c r="G122" s="3" t="s">
        <v>23521</v>
      </c>
      <c r="H122" s="3" t="s">
        <v>23522</v>
      </c>
      <c r="I122" s="3" t="s">
        <v>23523</v>
      </c>
      <c r="J122" s="5" t="str">
        <f>IFERROR(__xludf.DUMMYFUNCTION("GOOGLETRANSLATE(I122,""zh_HANT"",""zh_HANS"")"),"潜水球")</f>
        <v>潜水球</v>
      </c>
    </row>
    <row r="123">
      <c r="A123" s="5" t="str">
        <f t="shared" si="12"/>
        <v>NAME_ITEM_NESTBALL</v>
      </c>
      <c r="B123" s="3" t="s">
        <v>23524</v>
      </c>
      <c r="C123" s="3" t="s">
        <v>23525</v>
      </c>
      <c r="D123" s="3" t="s">
        <v>23526</v>
      </c>
      <c r="E123" s="3" t="s">
        <v>23527</v>
      </c>
      <c r="F123" s="3" t="s">
        <v>23528</v>
      </c>
      <c r="G123" s="3" t="s">
        <v>23529</v>
      </c>
      <c r="H123" s="3" t="s">
        <v>23530</v>
      </c>
      <c r="I123" s="3" t="s">
        <v>23531</v>
      </c>
      <c r="J123" s="5" t="str">
        <f>I123</f>
        <v>巢穴球</v>
      </c>
    </row>
    <row r="124">
      <c r="A124" s="5" t="str">
        <f t="shared" si="12"/>
        <v>NAME_ITEM_REPEATBALL</v>
      </c>
      <c r="B124" s="3" t="s">
        <v>23532</v>
      </c>
      <c r="C124" s="3" t="s">
        <v>23533</v>
      </c>
      <c r="D124" s="3" t="s">
        <v>23534</v>
      </c>
      <c r="E124" s="3" t="s">
        <v>23535</v>
      </c>
      <c r="F124" s="3" t="s">
        <v>23536</v>
      </c>
      <c r="G124" s="3" t="s">
        <v>23534</v>
      </c>
      <c r="H124" s="3" t="s">
        <v>23537</v>
      </c>
      <c r="I124" s="3" t="s">
        <v>23538</v>
      </c>
      <c r="J124" s="5" t="str">
        <f>IFERROR(__xludf.DUMMYFUNCTION("GOOGLETRANSLATE(I124,""zh_HANT"",""zh_HANS"")"),"重复球")</f>
        <v>重复球</v>
      </c>
    </row>
    <row r="125">
      <c r="A125" s="5" t="str">
        <f t="shared" si="12"/>
        <v>NAME_ITEM_TIMERBALL</v>
      </c>
      <c r="B125" s="3" t="s">
        <v>23539</v>
      </c>
      <c r="C125" s="3" t="s">
        <v>23540</v>
      </c>
      <c r="D125" s="3" t="s">
        <v>23541</v>
      </c>
      <c r="E125" s="3" t="s">
        <v>23542</v>
      </c>
      <c r="F125" s="3" t="s">
        <v>23543</v>
      </c>
      <c r="G125" s="5" t="str">
        <f>B125</f>
        <v>Timer Ball</v>
      </c>
      <c r="H125" s="3" t="s">
        <v>23544</v>
      </c>
      <c r="I125" s="3" t="s">
        <v>23545</v>
      </c>
      <c r="J125" s="5" t="str">
        <f>IFERROR(__xludf.DUMMYFUNCTION("GOOGLETRANSLATE(I125,""zh_HANT"",""zh_HANS"")"),"计时球")</f>
        <v>计时球</v>
      </c>
    </row>
    <row r="126">
      <c r="A126" s="5" t="str">
        <f t="shared" si="12"/>
        <v>NAME_ITEM_LUXURYBALL</v>
      </c>
      <c r="B126" s="3" t="s">
        <v>23546</v>
      </c>
      <c r="C126" s="3" t="s">
        <v>23547</v>
      </c>
      <c r="D126" s="3" t="s">
        <v>23548</v>
      </c>
      <c r="E126" s="3" t="s">
        <v>23549</v>
      </c>
      <c r="F126" s="3" t="s">
        <v>23550</v>
      </c>
      <c r="G126" s="3" t="s">
        <v>23551</v>
      </c>
      <c r="H126" s="3" t="s">
        <v>23552</v>
      </c>
      <c r="I126" s="3" t="s">
        <v>23553</v>
      </c>
      <c r="J126" s="5" t="str">
        <f>IFERROR(__xludf.DUMMYFUNCTION("GOOGLETRANSLATE(I126,""zh_HANT"",""zh_HANS"")"),"豪华球")</f>
        <v>豪华球</v>
      </c>
    </row>
    <row r="127">
      <c r="A127" s="5" t="str">
        <f t="shared" si="12"/>
        <v>NAME_ITEM_PREMIERBALL</v>
      </c>
      <c r="B127" s="3" t="s">
        <v>23554</v>
      </c>
      <c r="C127" s="3" t="s">
        <v>23555</v>
      </c>
      <c r="D127" s="3" t="s">
        <v>23556</v>
      </c>
      <c r="E127" s="3" t="s">
        <v>23557</v>
      </c>
      <c r="F127" s="3" t="s">
        <v>23556</v>
      </c>
      <c r="G127" s="5" t="str">
        <f>B127</f>
        <v>Premier Ball</v>
      </c>
      <c r="H127" s="3" t="s">
        <v>23558</v>
      </c>
      <c r="I127" s="3" t="s">
        <v>23559</v>
      </c>
      <c r="J127" s="5" t="str">
        <f>IFERROR(__xludf.DUMMYFUNCTION("GOOGLETRANSLATE(I127,""zh_HANT"",""zh_HANS"")"),"纪念球")</f>
        <v>纪念球</v>
      </c>
    </row>
    <row r="128">
      <c r="A128" s="5" t="str">
        <f t="shared" si="12"/>
        <v>NAME_ITEM_DUSKBALL</v>
      </c>
      <c r="B128" s="3" t="s">
        <v>23560</v>
      </c>
      <c r="C128" s="3" t="s">
        <v>23561</v>
      </c>
      <c r="D128" s="3" t="s">
        <v>23562</v>
      </c>
      <c r="E128" s="3" t="s">
        <v>23563</v>
      </c>
      <c r="F128" s="3" t="s">
        <v>23564</v>
      </c>
      <c r="G128" s="3" t="s">
        <v>23565</v>
      </c>
      <c r="H128" s="3" t="s">
        <v>23566</v>
      </c>
      <c r="I128" s="3" t="s">
        <v>23567</v>
      </c>
      <c r="J128" s="5" t="str">
        <f>I128</f>
        <v>黑暗球</v>
      </c>
    </row>
    <row r="129">
      <c r="A129" s="5" t="str">
        <f t="shared" si="12"/>
        <v>NAME_ITEM_HEALBALL</v>
      </c>
      <c r="B129" s="3" t="s">
        <v>23568</v>
      </c>
      <c r="C129" s="3" t="s">
        <v>23569</v>
      </c>
      <c r="D129" s="3" t="s">
        <v>23570</v>
      </c>
      <c r="E129" s="3" t="s">
        <v>23571</v>
      </c>
      <c r="F129" s="3" t="s">
        <v>23572</v>
      </c>
      <c r="G129" s="3" t="s">
        <v>23573</v>
      </c>
      <c r="H129" s="3" t="s">
        <v>23574</v>
      </c>
      <c r="I129" s="3" t="s">
        <v>23575</v>
      </c>
      <c r="J129" s="5" t="str">
        <f>IFERROR(__xludf.DUMMYFUNCTION("GOOGLETRANSLATE(I129,""zh_HANT"",""zh_HANS"")"),"治愈球")</f>
        <v>治愈球</v>
      </c>
    </row>
    <row r="130">
      <c r="A130" s="5" t="str">
        <f t="shared" si="12"/>
        <v>NAME_ITEM_QUICKBALL</v>
      </c>
      <c r="B130" s="3" t="s">
        <v>23576</v>
      </c>
      <c r="C130" s="3" t="s">
        <v>23577</v>
      </c>
      <c r="D130" s="3" t="s">
        <v>23578</v>
      </c>
      <c r="E130" s="3" t="s">
        <v>23579</v>
      </c>
      <c r="F130" s="3" t="s">
        <v>23580</v>
      </c>
      <c r="G130" s="3" t="s">
        <v>23581</v>
      </c>
      <c r="H130" s="3" t="s">
        <v>23582</v>
      </c>
      <c r="I130" s="3" t="s">
        <v>23583</v>
      </c>
      <c r="J130" s="5" t="str">
        <f>IFERROR(__xludf.DUMMYFUNCTION("GOOGLETRANSLATE(I130,""zh_HANT"",""zh_HANS"")"),"先机球")</f>
        <v>先机球</v>
      </c>
    </row>
    <row r="131">
      <c r="A131" s="5" t="str">
        <f t="shared" si="12"/>
        <v>NAME_ITEM_CHERISHBALL</v>
      </c>
      <c r="B131" s="3" t="s">
        <v>23584</v>
      </c>
      <c r="C131" s="3" t="s">
        <v>23585</v>
      </c>
      <c r="D131" s="3" t="s">
        <v>23586</v>
      </c>
      <c r="E131" s="3" t="s">
        <v>23587</v>
      </c>
      <c r="F131" s="3" t="s">
        <v>23588</v>
      </c>
      <c r="G131" s="3" t="s">
        <v>23589</v>
      </c>
      <c r="H131" s="3" t="s">
        <v>23590</v>
      </c>
      <c r="I131" s="3" t="s">
        <v>23591</v>
      </c>
      <c r="J131" s="5" t="str">
        <f>IFERROR(__xludf.DUMMYFUNCTION("GOOGLETRANSLATE(I131,""zh_HANT"",""zh_HANS"")"),"贵重球")</f>
        <v>贵重球</v>
      </c>
    </row>
    <row r="132">
      <c r="A132" s="5" t="str">
        <f t="shared" si="12"/>
        <v>NAME_ITEM_PARKBALL</v>
      </c>
      <c r="B132" s="3" t="s">
        <v>23592</v>
      </c>
      <c r="C132" s="3" t="s">
        <v>23593</v>
      </c>
      <c r="D132" s="3" t="s">
        <v>23594</v>
      </c>
      <c r="E132" s="3" t="s">
        <v>23595</v>
      </c>
      <c r="F132" s="3" t="s">
        <v>23596</v>
      </c>
      <c r="G132" s="3" t="s">
        <v>23597</v>
      </c>
      <c r="H132" s="3" t="s">
        <v>23598</v>
      </c>
      <c r="I132" s="3" t="s">
        <v>23599</v>
      </c>
      <c r="J132" s="5" t="str">
        <f>IFERROR(__xludf.DUMMYFUNCTION("GOOGLETRANSLATE(I132,""zh_HANT"",""zh_HANS"")"),"公园球")</f>
        <v>公园球</v>
      </c>
    </row>
    <row r="133">
      <c r="A133" s="5" t="str">
        <f t="shared" si="12"/>
        <v>NAME_ITEM_DREAMBALL</v>
      </c>
      <c r="B133" s="3" t="s">
        <v>23600</v>
      </c>
      <c r="C133" s="3" t="s">
        <v>23601</v>
      </c>
      <c r="D133" s="3" t="s">
        <v>23602</v>
      </c>
      <c r="E133" s="3" t="s">
        <v>23603</v>
      </c>
      <c r="F133" s="3" t="s">
        <v>23604</v>
      </c>
      <c r="G133" s="5" t="str">
        <f>B133</f>
        <v>Dream Ball</v>
      </c>
      <c r="H133" s="3" t="s">
        <v>23605</v>
      </c>
      <c r="I133" s="3" t="s">
        <v>23606</v>
      </c>
      <c r="J133" s="5" t="str">
        <f>IFERROR(__xludf.DUMMYFUNCTION("GOOGLETRANSLATE(I133,""zh_HANT"",""zh_HANS"")"),"梦境球")</f>
        <v>梦境球</v>
      </c>
    </row>
    <row r="134">
      <c r="A134" s="5" t="str">
        <f t="shared" si="12"/>
        <v>NAME_ITEM_BEASTBALL</v>
      </c>
      <c r="B134" s="3" t="s">
        <v>23607</v>
      </c>
      <c r="C134" s="3" t="s">
        <v>23608</v>
      </c>
      <c r="D134" s="3" t="s">
        <v>23427</v>
      </c>
      <c r="E134" s="3" t="s">
        <v>23609</v>
      </c>
      <c r="F134" s="3" t="s">
        <v>23610</v>
      </c>
      <c r="G134" s="3" t="s">
        <v>23611</v>
      </c>
      <c r="H134" s="3" t="s">
        <v>23612</v>
      </c>
      <c r="I134" s="3" t="s">
        <v>23613</v>
      </c>
      <c r="J134" s="5" t="str">
        <f>IFERROR(__xludf.DUMMYFUNCTION("GOOGLETRANSLATE(I134,""zh_HANT"",""zh_HANS"")"),"究极球")</f>
        <v>究极球</v>
      </c>
    </row>
    <row r="135">
      <c r="A135" s="5" t="str">
        <f t="shared" ref="A135:A141" si="15">CONCATENATE("NAME_ITEM_", SUBSTITUTE(SUBSTITUTE(UPPER(B135), " ", ""), ".", ""))</f>
        <v>NAME_ITEM_GUARDSPEC</v>
      </c>
      <c r="B135" s="3" t="s">
        <v>23614</v>
      </c>
      <c r="C135" s="3" t="s">
        <v>23615</v>
      </c>
      <c r="D135" s="3" t="s">
        <v>23616</v>
      </c>
      <c r="E135" s="3" t="s">
        <v>23617</v>
      </c>
      <c r="F135" s="3" t="s">
        <v>23618</v>
      </c>
      <c r="G135" s="3" t="s">
        <v>23619</v>
      </c>
      <c r="H135" s="3" t="s">
        <v>23620</v>
      </c>
      <c r="I135" s="3" t="s">
        <v>23621</v>
      </c>
      <c r="J135" s="5" t="str">
        <f>I135</f>
        <v>能力防守</v>
      </c>
    </row>
    <row r="136">
      <c r="A136" s="5" t="str">
        <f t="shared" si="15"/>
        <v>NAME_ITEM_DIREHIT</v>
      </c>
      <c r="B136" s="3" t="s">
        <v>23622</v>
      </c>
      <c r="C136" s="3" t="s">
        <v>23623</v>
      </c>
      <c r="D136" s="3" t="s">
        <v>23624</v>
      </c>
      <c r="E136" s="3" t="s">
        <v>23625</v>
      </c>
      <c r="F136" s="3" t="s">
        <v>23626</v>
      </c>
      <c r="G136" s="3" t="s">
        <v>23627</v>
      </c>
      <c r="H136" s="3" t="s">
        <v>23628</v>
      </c>
      <c r="I136" s="3" t="s">
        <v>23629</v>
      </c>
      <c r="J136" s="5" t="str">
        <f>IFERROR(__xludf.DUMMYFUNCTION("GOOGLETRANSLATE(I136,""zh_HANT"",""zh_HANS"")"),"要害攻击")</f>
        <v>要害攻击</v>
      </c>
    </row>
    <row r="137">
      <c r="A137" s="5" t="str">
        <f t="shared" si="15"/>
        <v>NAME_ITEM_XATTACK</v>
      </c>
      <c r="B137" s="3" t="s">
        <v>23630</v>
      </c>
      <c r="C137" s="3" t="s">
        <v>23631</v>
      </c>
      <c r="D137" s="3" t="s">
        <v>23632</v>
      </c>
      <c r="E137" s="3" t="s">
        <v>23633</v>
      </c>
      <c r="F137" s="3" t="s">
        <v>23634</v>
      </c>
      <c r="G137" s="3" t="s">
        <v>23635</v>
      </c>
      <c r="H137" s="3" t="s">
        <v>23636</v>
      </c>
      <c r="I137" s="3" t="s">
        <v>23637</v>
      </c>
      <c r="J137" s="5" t="str">
        <f>IFERROR(__xludf.DUMMYFUNCTION("GOOGLETRANSLATE(I137,""zh_HANT"",""zh_HANS"")"),"力量强化")</f>
        <v>力量强化</v>
      </c>
    </row>
    <row r="138">
      <c r="A138" s="5" t="str">
        <f t="shared" si="15"/>
        <v>NAME_ITEM_XDEFENCE</v>
      </c>
      <c r="B138" s="3" t="s">
        <v>23638</v>
      </c>
      <c r="C138" s="3" t="s">
        <v>23639</v>
      </c>
      <c r="D138" s="3" t="s">
        <v>23640</v>
      </c>
      <c r="E138" s="3" t="s">
        <v>23641</v>
      </c>
      <c r="F138" s="3" t="s">
        <v>23642</v>
      </c>
      <c r="G138" s="3" t="s">
        <v>23643</v>
      </c>
      <c r="H138" s="3" t="s">
        <v>23644</v>
      </c>
      <c r="I138" s="3" t="s">
        <v>23645</v>
      </c>
      <c r="J138" s="5" t="str">
        <f>IFERROR(__xludf.DUMMYFUNCTION("GOOGLETRANSLATE(I138,""zh_HANT"",""zh_HANS"")"),"防御强化")</f>
        <v>防御强化</v>
      </c>
    </row>
    <row r="139">
      <c r="A139" s="5" t="str">
        <f t="shared" si="15"/>
        <v>NAME_ITEM_XSPEED</v>
      </c>
      <c r="B139" s="3" t="s">
        <v>23646</v>
      </c>
      <c r="C139" s="3" t="s">
        <v>23647</v>
      </c>
      <c r="D139" s="3" t="s">
        <v>23648</v>
      </c>
      <c r="E139" s="3" t="s">
        <v>23649</v>
      </c>
      <c r="F139" s="3" t="s">
        <v>23650</v>
      </c>
      <c r="G139" s="3" t="s">
        <v>23651</v>
      </c>
      <c r="H139" s="3" t="s">
        <v>23652</v>
      </c>
      <c r="I139" s="3" t="s">
        <v>23653</v>
      </c>
      <c r="J139" s="5" t="str">
        <f>IFERROR(__xludf.DUMMYFUNCTION("GOOGLETRANSLATE(I139,""zh_HANT"",""zh_HANS"")"),"速度强化")</f>
        <v>速度强化</v>
      </c>
    </row>
    <row r="140">
      <c r="A140" s="5" t="str">
        <f t="shared" si="15"/>
        <v>NAME_ITEM_XACCURACY</v>
      </c>
      <c r="B140" s="3" t="s">
        <v>23654</v>
      </c>
      <c r="C140" s="3" t="s">
        <v>23655</v>
      </c>
      <c r="D140" s="3" t="s">
        <v>23656</v>
      </c>
      <c r="E140" s="3" t="s">
        <v>23657</v>
      </c>
      <c r="F140" s="3" t="s">
        <v>23658</v>
      </c>
      <c r="G140" s="3" t="s">
        <v>23659</v>
      </c>
      <c r="H140" s="3" t="s">
        <v>23660</v>
      </c>
      <c r="I140" s="3" t="s">
        <v>23661</v>
      </c>
      <c r="J140" s="5" t="str">
        <f>IFERROR(__xludf.DUMMYFUNCTION("GOOGLETRANSLATE(I140,""zh_HANT"",""zh_HANS"")"),"命中强化")</f>
        <v>命中强化</v>
      </c>
    </row>
    <row r="141">
      <c r="A141" s="5" t="str">
        <f t="shared" si="15"/>
        <v>NAME_ITEM_XSPATK</v>
      </c>
      <c r="B141" s="3" t="s">
        <v>23662</v>
      </c>
      <c r="C141" s="3" t="s">
        <v>23663</v>
      </c>
      <c r="D141" s="3" t="s">
        <v>23664</v>
      </c>
      <c r="E141" s="3" t="s">
        <v>23665</v>
      </c>
      <c r="F141" s="3" t="s">
        <v>23666</v>
      </c>
      <c r="G141" s="3" t="s">
        <v>23667</v>
      </c>
      <c r="H141" s="3" t="s">
        <v>23668</v>
      </c>
      <c r="I141" s="3" t="s">
        <v>23669</v>
      </c>
      <c r="J141" s="5" t="str">
        <f>IFERROR(__xludf.DUMMYFUNCTION("GOOGLETRANSLATE(I141,""zh_HANT"",""zh_HANS"")"),"特攻强化")</f>
        <v>特攻强化</v>
      </c>
    </row>
    <row r="142">
      <c r="A142" s="3" t="s">
        <v>23670</v>
      </c>
      <c r="B142" s="3" t="s">
        <v>23671</v>
      </c>
      <c r="C142" s="3" t="s">
        <v>23672</v>
      </c>
      <c r="D142" s="3" t="s">
        <v>23673</v>
      </c>
      <c r="E142" s="3" t="s">
        <v>23674</v>
      </c>
      <c r="F142" s="3" t="s">
        <v>23675</v>
      </c>
      <c r="G142" s="3" t="s">
        <v>23676</v>
      </c>
      <c r="H142" s="3" t="s">
        <v>23677</v>
      </c>
      <c r="I142" s="3" t="s">
        <v>23678</v>
      </c>
      <c r="J142" s="5" t="str">
        <f>I142</f>
        <v>皮皮玩偶</v>
      </c>
    </row>
    <row r="143">
      <c r="A143" s="5" t="str">
        <f t="shared" ref="A143:A147" si="16">CONCATENATE("NAME_ITEM_", SUBSTITUTE(SUBSTITUTE(UPPER(B143), " ", ""), ".", ""))</f>
        <v>NAME_ITEM_BLUEFLUTE</v>
      </c>
      <c r="B143" s="3" t="s">
        <v>23679</v>
      </c>
      <c r="C143" s="3" t="s">
        <v>23680</v>
      </c>
      <c r="D143" s="3" t="s">
        <v>23681</v>
      </c>
      <c r="E143" s="3" t="s">
        <v>23682</v>
      </c>
      <c r="F143" s="3" t="s">
        <v>23683</v>
      </c>
      <c r="G143" s="3" t="s">
        <v>23684</v>
      </c>
      <c r="H143" s="3" t="s">
        <v>23685</v>
      </c>
      <c r="I143" s="3" t="s">
        <v>23686</v>
      </c>
      <c r="J143" s="5" t="str">
        <f>IFERROR(__xludf.DUMMYFUNCTION("GOOGLETRANSLATE(I143,""zh_HANT"",""zh_HANS"")"),"蓝色玻璃哨")</f>
        <v>蓝色玻璃哨</v>
      </c>
    </row>
    <row r="144">
      <c r="A144" s="5" t="str">
        <f t="shared" si="16"/>
        <v>NAME_ITEM_YELLOWFLUTE</v>
      </c>
      <c r="B144" s="3" t="s">
        <v>23687</v>
      </c>
      <c r="C144" s="3" t="s">
        <v>23688</v>
      </c>
      <c r="D144" s="3" t="s">
        <v>23689</v>
      </c>
      <c r="E144" s="3" t="s">
        <v>23690</v>
      </c>
      <c r="F144" s="3" t="s">
        <v>23691</v>
      </c>
      <c r="G144" s="3" t="s">
        <v>23692</v>
      </c>
      <c r="H144" s="3" t="s">
        <v>23693</v>
      </c>
      <c r="I144" s="3" t="s">
        <v>23694</v>
      </c>
      <c r="J144" s="5" t="str">
        <f>IFERROR(__xludf.DUMMYFUNCTION("GOOGLETRANSLATE(I144,""zh_HANT"",""zh_HANS"")"),"黄色玻璃哨")</f>
        <v>黄色玻璃哨</v>
      </c>
    </row>
    <row r="145">
      <c r="A145" s="5" t="str">
        <f t="shared" si="16"/>
        <v>NAME_ITEM_REDFLUTE</v>
      </c>
      <c r="B145" s="3" t="s">
        <v>23695</v>
      </c>
      <c r="C145" s="3" t="s">
        <v>23696</v>
      </c>
      <c r="D145" s="3" t="s">
        <v>23697</v>
      </c>
      <c r="E145" s="3" t="s">
        <v>23698</v>
      </c>
      <c r="F145" s="3" t="s">
        <v>23699</v>
      </c>
      <c r="G145" s="3" t="s">
        <v>23700</v>
      </c>
      <c r="H145" s="3" t="s">
        <v>23701</v>
      </c>
      <c r="I145" s="3" t="s">
        <v>23702</v>
      </c>
      <c r="J145" s="5" t="str">
        <f>IFERROR(__xludf.DUMMYFUNCTION("GOOGLETRANSLATE(I145,""zh_HANT"",""zh_HANS"")"),"红色玻璃哨")</f>
        <v>红色玻璃哨</v>
      </c>
    </row>
    <row r="146">
      <c r="A146" s="5" t="str">
        <f t="shared" si="16"/>
        <v>NAME_ITEM_XSPDEF</v>
      </c>
      <c r="B146" s="3" t="s">
        <v>23703</v>
      </c>
      <c r="C146" s="3" t="s">
        <v>23704</v>
      </c>
      <c r="D146" s="3" t="s">
        <v>23705</v>
      </c>
      <c r="E146" s="3" t="s">
        <v>23706</v>
      </c>
      <c r="F146" s="3" t="s">
        <v>23707</v>
      </c>
      <c r="G146" s="3" t="s">
        <v>23708</v>
      </c>
      <c r="H146" s="3" t="s">
        <v>23709</v>
      </c>
      <c r="I146" s="3" t="s">
        <v>23710</v>
      </c>
      <c r="J146" s="5" t="str">
        <f>IFERROR(__xludf.DUMMYFUNCTION("GOOGLETRANSLATE(I146,""zh_HANT"",""zh_HANS"")"),"特防强化")</f>
        <v>特防强化</v>
      </c>
    </row>
    <row r="147">
      <c r="A147" s="5" t="str">
        <f t="shared" si="16"/>
        <v>NAME_ITEM_FLUFFYTAIL</v>
      </c>
      <c r="B147" s="3" t="s">
        <v>23711</v>
      </c>
      <c r="C147" s="3" t="s">
        <v>23712</v>
      </c>
      <c r="D147" s="3" t="s">
        <v>23713</v>
      </c>
      <c r="E147" s="3" t="s">
        <v>23714</v>
      </c>
      <c r="F147" s="3" t="s">
        <v>23715</v>
      </c>
      <c r="G147" s="3" t="s">
        <v>23716</v>
      </c>
      <c r="H147" s="3" t="s">
        <v>23717</v>
      </c>
      <c r="I147" s="3" t="s">
        <v>23718</v>
      </c>
      <c r="J147" s="5" t="str">
        <f>I147</f>
        <v>向尾喵的尾巴</v>
      </c>
    </row>
    <row r="148">
      <c r="A148" s="3" t="s">
        <v>23719</v>
      </c>
      <c r="B148" s="3" t="s">
        <v>23720</v>
      </c>
      <c r="C148" s="3" t="s">
        <v>23721</v>
      </c>
      <c r="D148" s="3" t="s">
        <v>23722</v>
      </c>
      <c r="E148" s="3" t="s">
        <v>23723</v>
      </c>
      <c r="F148" s="3" t="s">
        <v>23724</v>
      </c>
      <c r="G148" s="3" t="s">
        <v>23725</v>
      </c>
      <c r="H148" s="3" t="s">
        <v>23726</v>
      </c>
      <c r="I148" s="3" t="s">
        <v>23727</v>
      </c>
      <c r="J148" s="5" t="str">
        <f>IFERROR(__xludf.DUMMYFUNCTION("GOOGLETRANSLATE(I148,""zh_HANT"",""zh_HANS"")"),"宝可尾草")</f>
        <v>宝可尾草</v>
      </c>
    </row>
    <row r="149">
      <c r="A149" s="5" t="str">
        <f t="shared" ref="A149:A228" si="17">CONCATENATE("NAME_ITEM_", SUBSTITUTE(SUBSTITUTE(UPPER(B149), " ", ""), ".", ""))</f>
        <v>NAME_ITEM_CHERIBERRY</v>
      </c>
      <c r="B149" s="3" t="s">
        <v>23728</v>
      </c>
      <c r="C149" s="3" t="s">
        <v>23729</v>
      </c>
      <c r="D149" s="3" t="s">
        <v>23730</v>
      </c>
      <c r="E149" s="3" t="s">
        <v>23731</v>
      </c>
      <c r="F149" s="3" t="s">
        <v>23732</v>
      </c>
      <c r="G149" s="3" t="s">
        <v>23733</v>
      </c>
      <c r="H149" s="3" t="s">
        <v>23734</v>
      </c>
      <c r="I149" s="3" t="s">
        <v>23735</v>
      </c>
      <c r="J149" s="5" t="str">
        <f>IFERROR(__xludf.DUMMYFUNCTION("GOOGLETRANSLATE(I149,""zh_HANT"",""zh_HANS"")"),"樱子果")</f>
        <v>樱子果</v>
      </c>
    </row>
    <row r="150">
      <c r="A150" s="5" t="str">
        <f t="shared" si="17"/>
        <v>NAME_ITEM_CHESTOBERRY</v>
      </c>
      <c r="B150" s="3" t="s">
        <v>23736</v>
      </c>
      <c r="C150" s="3" t="s">
        <v>23737</v>
      </c>
      <c r="D150" s="3" t="s">
        <v>23738</v>
      </c>
      <c r="E150" s="3" t="s">
        <v>23739</v>
      </c>
      <c r="F150" s="3" t="s">
        <v>23740</v>
      </c>
      <c r="G150" s="3" t="s">
        <v>23741</v>
      </c>
      <c r="H150" s="3" t="s">
        <v>23742</v>
      </c>
      <c r="I150" s="3" t="s">
        <v>23743</v>
      </c>
      <c r="J150" s="5" t="str">
        <f>IFERROR(__xludf.DUMMYFUNCTION("GOOGLETRANSLATE(I150,""zh_HANT"",""zh_HANS"")"),"零余果")</f>
        <v>零余果</v>
      </c>
    </row>
    <row r="151">
      <c r="A151" s="5" t="str">
        <f t="shared" si="17"/>
        <v>NAME_ITEM_PECHABERRY</v>
      </c>
      <c r="B151" s="3" t="s">
        <v>23744</v>
      </c>
      <c r="C151" s="3" t="s">
        <v>23745</v>
      </c>
      <c r="D151" s="3" t="s">
        <v>23746</v>
      </c>
      <c r="E151" s="3" t="s">
        <v>23747</v>
      </c>
      <c r="F151" s="3" t="s">
        <v>23748</v>
      </c>
      <c r="G151" s="3" t="s">
        <v>23749</v>
      </c>
      <c r="H151" s="3" t="s">
        <v>23750</v>
      </c>
      <c r="I151" s="3" t="s">
        <v>23751</v>
      </c>
      <c r="J151" s="5" t="str">
        <f t="shared" ref="J151:J153" si="18">I151</f>
        <v>桃桃果</v>
      </c>
    </row>
    <row r="152">
      <c r="A152" s="5" t="str">
        <f t="shared" si="17"/>
        <v>NAME_ITEM_RAWSTBERRY</v>
      </c>
      <c r="B152" s="3" t="s">
        <v>23752</v>
      </c>
      <c r="C152" s="3" t="s">
        <v>23753</v>
      </c>
      <c r="D152" s="3" t="s">
        <v>23754</v>
      </c>
      <c r="E152" s="3" t="s">
        <v>23755</v>
      </c>
      <c r="F152" s="3" t="s">
        <v>23756</v>
      </c>
      <c r="G152" s="3" t="s">
        <v>23757</v>
      </c>
      <c r="H152" s="3" t="s">
        <v>23758</v>
      </c>
      <c r="I152" s="3" t="s">
        <v>23759</v>
      </c>
      <c r="J152" s="5" t="str">
        <f t="shared" si="18"/>
        <v>莓莓果</v>
      </c>
    </row>
    <row r="153">
      <c r="A153" s="5" t="str">
        <f t="shared" si="17"/>
        <v>NAME_ITEM_ASPEARBERRY</v>
      </c>
      <c r="B153" s="3" t="s">
        <v>23760</v>
      </c>
      <c r="C153" s="3" t="s">
        <v>23761</v>
      </c>
      <c r="D153" s="3" t="s">
        <v>23762</v>
      </c>
      <c r="E153" s="3" t="s">
        <v>23763</v>
      </c>
      <c r="F153" s="3" t="s">
        <v>23764</v>
      </c>
      <c r="G153" s="3" t="s">
        <v>23765</v>
      </c>
      <c r="H153" s="3" t="s">
        <v>23766</v>
      </c>
      <c r="I153" s="3" t="s">
        <v>23767</v>
      </c>
      <c r="J153" s="5" t="str">
        <f t="shared" si="18"/>
        <v>利木果</v>
      </c>
    </row>
    <row r="154">
      <c r="A154" s="5" t="str">
        <f t="shared" si="17"/>
        <v>NAME_ITEM_LEPPABERRY</v>
      </c>
      <c r="B154" s="3" t="s">
        <v>23768</v>
      </c>
      <c r="C154" s="3" t="s">
        <v>23769</v>
      </c>
      <c r="D154" s="3" t="s">
        <v>23770</v>
      </c>
      <c r="E154" s="3" t="s">
        <v>23771</v>
      </c>
      <c r="F154" s="3" t="s">
        <v>23772</v>
      </c>
      <c r="G154" s="3" t="s">
        <v>23773</v>
      </c>
      <c r="H154" s="3" t="s">
        <v>23774</v>
      </c>
      <c r="I154" s="3" t="s">
        <v>23775</v>
      </c>
      <c r="J154" s="5" t="str">
        <f>IFERROR(__xludf.DUMMYFUNCTION("GOOGLETRANSLATE(I154,""zh_HANT"",""zh_HANS"")"),"苹野果")</f>
        <v>苹野果</v>
      </c>
    </row>
    <row r="155">
      <c r="A155" s="5" t="str">
        <f t="shared" si="17"/>
        <v>NAME_ITEM_ORANBERRY</v>
      </c>
      <c r="B155" s="3" t="s">
        <v>23776</v>
      </c>
      <c r="C155" s="3" t="s">
        <v>23777</v>
      </c>
      <c r="D155" s="3" t="s">
        <v>23778</v>
      </c>
      <c r="E155" s="3" t="s">
        <v>23779</v>
      </c>
      <c r="F155" s="3" t="s">
        <v>23780</v>
      </c>
      <c r="G155" s="3" t="s">
        <v>23781</v>
      </c>
      <c r="H155" s="3" t="s">
        <v>23782</v>
      </c>
      <c r="I155" s="3" t="s">
        <v>23783</v>
      </c>
      <c r="J155" s="5" t="str">
        <f t="shared" ref="J155:J159" si="19">I155</f>
        <v>橙橙果</v>
      </c>
    </row>
    <row r="156">
      <c r="A156" s="5" t="str">
        <f t="shared" si="17"/>
        <v>NAME_ITEM_PERSIMBERRY</v>
      </c>
      <c r="B156" s="3" t="s">
        <v>23784</v>
      </c>
      <c r="C156" s="3" t="s">
        <v>23785</v>
      </c>
      <c r="D156" s="3" t="s">
        <v>23786</v>
      </c>
      <c r="E156" s="3" t="s">
        <v>23787</v>
      </c>
      <c r="F156" s="3" t="s">
        <v>23788</v>
      </c>
      <c r="G156" s="3" t="s">
        <v>23789</v>
      </c>
      <c r="H156" s="3" t="s">
        <v>23790</v>
      </c>
      <c r="I156" s="3" t="s">
        <v>23791</v>
      </c>
      <c r="J156" s="5" t="str">
        <f t="shared" si="19"/>
        <v>柿仔果</v>
      </c>
    </row>
    <row r="157">
      <c r="A157" s="5" t="str">
        <f t="shared" si="17"/>
        <v>NAME_ITEM_LUMBERRY</v>
      </c>
      <c r="B157" s="3" t="s">
        <v>23792</v>
      </c>
      <c r="C157" s="3" t="s">
        <v>23793</v>
      </c>
      <c r="D157" s="3" t="s">
        <v>23794</v>
      </c>
      <c r="E157" s="3" t="s">
        <v>23795</v>
      </c>
      <c r="F157" s="3" t="s">
        <v>23796</v>
      </c>
      <c r="G157" s="3" t="s">
        <v>23797</v>
      </c>
      <c r="H157" s="3" t="s">
        <v>23798</v>
      </c>
      <c r="I157" s="3" t="s">
        <v>23799</v>
      </c>
      <c r="J157" s="5" t="str">
        <f t="shared" si="19"/>
        <v>木子果</v>
      </c>
    </row>
    <row r="158">
      <c r="A158" s="5" t="str">
        <f t="shared" si="17"/>
        <v>NAME_ITEM_SITRUSBERRY</v>
      </c>
      <c r="B158" s="3" t="s">
        <v>23800</v>
      </c>
      <c r="C158" s="3" t="s">
        <v>23801</v>
      </c>
      <c r="D158" s="3" t="s">
        <v>23802</v>
      </c>
      <c r="E158" s="3" t="s">
        <v>23803</v>
      </c>
      <c r="F158" s="3" t="s">
        <v>23804</v>
      </c>
      <c r="G158" s="3" t="s">
        <v>23805</v>
      </c>
      <c r="H158" s="3" t="s">
        <v>23806</v>
      </c>
      <c r="I158" s="3" t="s">
        <v>23807</v>
      </c>
      <c r="J158" s="5" t="str">
        <f t="shared" si="19"/>
        <v>文柚果</v>
      </c>
    </row>
    <row r="159">
      <c r="A159" s="5" t="str">
        <f t="shared" si="17"/>
        <v>NAME_ITEM_FIGYBERRY</v>
      </c>
      <c r="B159" s="3" t="s">
        <v>23808</v>
      </c>
      <c r="C159" s="3" t="s">
        <v>23809</v>
      </c>
      <c r="D159" s="3" t="s">
        <v>23810</v>
      </c>
      <c r="E159" s="3" t="s">
        <v>23811</v>
      </c>
      <c r="F159" s="3" t="s">
        <v>23812</v>
      </c>
      <c r="G159" s="3" t="s">
        <v>23813</v>
      </c>
      <c r="H159" s="3" t="s">
        <v>23814</v>
      </c>
      <c r="I159" s="3" t="s">
        <v>23815</v>
      </c>
      <c r="J159" s="5" t="str">
        <f t="shared" si="19"/>
        <v>勿花果</v>
      </c>
    </row>
    <row r="160">
      <c r="A160" s="5" t="str">
        <f t="shared" si="17"/>
        <v>NAME_ITEM_WIKIBERRY</v>
      </c>
      <c r="B160" s="3" t="s">
        <v>23816</v>
      </c>
      <c r="C160" s="3" t="s">
        <v>23817</v>
      </c>
      <c r="D160" s="3" t="s">
        <v>23818</v>
      </c>
      <c r="E160" s="3" t="s">
        <v>23819</v>
      </c>
      <c r="F160" s="3" t="s">
        <v>23820</v>
      </c>
      <c r="G160" s="3" t="s">
        <v>23821</v>
      </c>
      <c r="H160" s="3" t="s">
        <v>23822</v>
      </c>
      <c r="I160" s="3" t="s">
        <v>23823</v>
      </c>
      <c r="J160" s="5" t="str">
        <f>IFERROR(__xludf.DUMMYFUNCTION("GOOGLETRANSLATE(I160,""zh_HANT"",""zh_HANS"")"),"异奇果")</f>
        <v>异奇果</v>
      </c>
    </row>
    <row r="161">
      <c r="A161" s="5" t="str">
        <f t="shared" si="17"/>
        <v>NAME_ITEM_MAGOBERRY</v>
      </c>
      <c r="B161" s="3" t="s">
        <v>23824</v>
      </c>
      <c r="C161" s="3" t="s">
        <v>23825</v>
      </c>
      <c r="D161" s="3" t="s">
        <v>23826</v>
      </c>
      <c r="E161" s="3" t="s">
        <v>23827</v>
      </c>
      <c r="F161" s="3" t="s">
        <v>23828</v>
      </c>
      <c r="G161" s="3" t="s">
        <v>23829</v>
      </c>
      <c r="H161" s="3" t="s">
        <v>23830</v>
      </c>
      <c r="I161" s="3" t="s">
        <v>23831</v>
      </c>
      <c r="J161" s="5" t="str">
        <f>I161</f>
        <v>芒芒果</v>
      </c>
    </row>
    <row r="162">
      <c r="A162" s="5" t="str">
        <f t="shared" si="17"/>
        <v>NAME_ITEM_AGUAVBERRY</v>
      </c>
      <c r="B162" s="3" t="s">
        <v>23832</v>
      </c>
      <c r="C162" s="3" t="s">
        <v>23833</v>
      </c>
      <c r="D162" s="3" t="s">
        <v>23834</v>
      </c>
      <c r="E162" s="3" t="s">
        <v>23835</v>
      </c>
      <c r="F162" s="3" t="s">
        <v>23836</v>
      </c>
      <c r="G162" s="3" t="s">
        <v>23837</v>
      </c>
      <c r="H162" s="3" t="s">
        <v>23838</v>
      </c>
      <c r="I162" s="3" t="s">
        <v>23839</v>
      </c>
      <c r="J162" s="5" t="str">
        <f>IFERROR(__xludf.DUMMYFUNCTION("GOOGLETRANSLATE(I162,""zh_HANT"",""zh_HANS"")"),"乐芭果")</f>
        <v>乐芭果</v>
      </c>
    </row>
    <row r="163">
      <c r="A163" s="5" t="str">
        <f t="shared" si="17"/>
        <v>NAME_ITEM_IAPAPABERRY</v>
      </c>
      <c r="B163" s="3" t="s">
        <v>23840</v>
      </c>
      <c r="C163" s="3" t="s">
        <v>23841</v>
      </c>
      <c r="D163" s="3" t="s">
        <v>23842</v>
      </c>
      <c r="E163" s="3" t="s">
        <v>23843</v>
      </c>
      <c r="F163" s="3" t="s">
        <v>23844</v>
      </c>
      <c r="G163" s="3" t="s">
        <v>23845</v>
      </c>
      <c r="H163" s="3" t="s">
        <v>23846</v>
      </c>
      <c r="I163" s="3" t="s">
        <v>23847</v>
      </c>
      <c r="J163" s="5" t="str">
        <f>IFERROR(__xludf.DUMMYFUNCTION("GOOGLETRANSLATE(I163,""zh_HANT"",""zh_HANS"")"),"芭亚果")</f>
        <v>芭亚果</v>
      </c>
    </row>
    <row r="164">
      <c r="A164" s="5" t="str">
        <f t="shared" si="17"/>
        <v>NAME_ITEM_RAZZBERRY</v>
      </c>
      <c r="B164" s="3" t="s">
        <v>23848</v>
      </c>
      <c r="C164" s="3" t="s">
        <v>23849</v>
      </c>
      <c r="D164" s="3" t="s">
        <v>23850</v>
      </c>
      <c r="E164" s="3" t="s">
        <v>23851</v>
      </c>
      <c r="F164" s="3" t="s">
        <v>23852</v>
      </c>
      <c r="G164" s="3" t="s">
        <v>23853</v>
      </c>
      <c r="H164" s="3" t="s">
        <v>23854</v>
      </c>
      <c r="I164" s="3" t="s">
        <v>23855</v>
      </c>
      <c r="J164" s="5" t="str">
        <f t="shared" ref="J164:J177" si="20">I164</f>
        <v>蔓莓果</v>
      </c>
    </row>
    <row r="165">
      <c r="A165" s="5" t="str">
        <f t="shared" si="17"/>
        <v>NAME_ITEM_BLUKBERRY</v>
      </c>
      <c r="B165" s="3" t="s">
        <v>23856</v>
      </c>
      <c r="C165" s="3" t="s">
        <v>23857</v>
      </c>
      <c r="D165" s="3" t="s">
        <v>23858</v>
      </c>
      <c r="E165" s="3" t="s">
        <v>23859</v>
      </c>
      <c r="F165" s="3" t="s">
        <v>23860</v>
      </c>
      <c r="G165" s="3" t="s">
        <v>23861</v>
      </c>
      <c r="H165" s="3" t="s">
        <v>23862</v>
      </c>
      <c r="I165" s="3" t="s">
        <v>23863</v>
      </c>
      <c r="J165" s="5" t="str">
        <f t="shared" si="20"/>
        <v>墨莓果</v>
      </c>
    </row>
    <row r="166">
      <c r="A166" s="5" t="str">
        <f t="shared" si="17"/>
        <v>NAME_ITEM_NANABBERRY</v>
      </c>
      <c r="B166" s="3" t="s">
        <v>23864</v>
      </c>
      <c r="C166" s="3" t="s">
        <v>23865</v>
      </c>
      <c r="D166" s="3" t="s">
        <v>23866</v>
      </c>
      <c r="E166" s="3" t="s">
        <v>23867</v>
      </c>
      <c r="F166" s="3" t="s">
        <v>23868</v>
      </c>
      <c r="G166" s="3" t="s">
        <v>23869</v>
      </c>
      <c r="H166" s="3" t="s">
        <v>23870</v>
      </c>
      <c r="I166" s="3" t="s">
        <v>23871</v>
      </c>
      <c r="J166" s="5" t="str">
        <f t="shared" si="20"/>
        <v>蕉香果</v>
      </c>
    </row>
    <row r="167">
      <c r="A167" s="5" t="str">
        <f t="shared" si="17"/>
        <v>NAME_ITEM_WEPEARBERRY</v>
      </c>
      <c r="B167" s="3" t="s">
        <v>23872</v>
      </c>
      <c r="C167" s="3" t="s">
        <v>23873</v>
      </c>
      <c r="D167" s="3" t="s">
        <v>23874</v>
      </c>
      <c r="E167" s="3" t="s">
        <v>23875</v>
      </c>
      <c r="F167" s="3" t="s">
        <v>23876</v>
      </c>
      <c r="G167" s="3" t="s">
        <v>23877</v>
      </c>
      <c r="H167" s="3" t="s">
        <v>23878</v>
      </c>
      <c r="I167" s="3" t="s">
        <v>23879</v>
      </c>
      <c r="J167" s="5" t="str">
        <f t="shared" si="20"/>
        <v>西梨果</v>
      </c>
    </row>
    <row r="168">
      <c r="A168" s="5" t="str">
        <f t="shared" si="17"/>
        <v>NAME_ITEM_PINAPBERRY</v>
      </c>
      <c r="B168" s="3" t="s">
        <v>23880</v>
      </c>
      <c r="C168" s="3" t="s">
        <v>23881</v>
      </c>
      <c r="D168" s="3" t="s">
        <v>23882</v>
      </c>
      <c r="E168" s="3" t="s">
        <v>23883</v>
      </c>
      <c r="F168" s="3" t="s">
        <v>23884</v>
      </c>
      <c r="G168" s="3" t="s">
        <v>23885</v>
      </c>
      <c r="H168" s="3" t="s">
        <v>23886</v>
      </c>
      <c r="I168" s="3" t="s">
        <v>23887</v>
      </c>
      <c r="J168" s="5" t="str">
        <f t="shared" si="20"/>
        <v>凰梨果</v>
      </c>
    </row>
    <row r="169">
      <c r="A169" s="5" t="str">
        <f t="shared" si="17"/>
        <v>NAME_ITEM_POMEGBERRY</v>
      </c>
      <c r="B169" s="3" t="s">
        <v>23888</v>
      </c>
      <c r="C169" s="3" t="s">
        <v>23889</v>
      </c>
      <c r="D169" s="3" t="s">
        <v>23890</v>
      </c>
      <c r="E169" s="3" t="s">
        <v>23891</v>
      </c>
      <c r="F169" s="3" t="s">
        <v>23892</v>
      </c>
      <c r="G169" s="3" t="s">
        <v>23893</v>
      </c>
      <c r="H169" s="3" t="s">
        <v>23894</v>
      </c>
      <c r="I169" s="3" t="s">
        <v>23895</v>
      </c>
      <c r="J169" s="5" t="str">
        <f t="shared" si="20"/>
        <v>榴石果</v>
      </c>
    </row>
    <row r="170">
      <c r="A170" s="5" t="str">
        <f t="shared" si="17"/>
        <v>NAME_ITEM_KELPSYBERRY</v>
      </c>
      <c r="B170" s="3" t="s">
        <v>23896</v>
      </c>
      <c r="C170" s="3" t="s">
        <v>23897</v>
      </c>
      <c r="D170" s="3" t="s">
        <v>23898</v>
      </c>
      <c r="E170" s="3" t="s">
        <v>23899</v>
      </c>
      <c r="F170" s="3" t="s">
        <v>23900</v>
      </c>
      <c r="G170" s="3" t="s">
        <v>23901</v>
      </c>
      <c r="H170" s="3" t="s">
        <v>23902</v>
      </c>
      <c r="I170" s="3" t="s">
        <v>23903</v>
      </c>
      <c r="J170" s="5" t="str">
        <f t="shared" si="20"/>
        <v>藻根果</v>
      </c>
    </row>
    <row r="171">
      <c r="A171" s="5" t="str">
        <f t="shared" si="17"/>
        <v>NAME_ITEM_QUALOTBERRY</v>
      </c>
      <c r="B171" s="3" t="s">
        <v>23904</v>
      </c>
      <c r="C171" s="3" t="s">
        <v>23905</v>
      </c>
      <c r="D171" s="3" t="s">
        <v>23906</v>
      </c>
      <c r="E171" s="3" t="s">
        <v>23907</v>
      </c>
      <c r="F171" s="3" t="s">
        <v>23908</v>
      </c>
      <c r="G171" s="3" t="s">
        <v>23909</v>
      </c>
      <c r="H171" s="3" t="s">
        <v>23910</v>
      </c>
      <c r="I171" s="3" t="s">
        <v>23911</v>
      </c>
      <c r="J171" s="5" t="str">
        <f t="shared" si="20"/>
        <v>比巴果</v>
      </c>
    </row>
    <row r="172">
      <c r="A172" s="5" t="str">
        <f t="shared" si="17"/>
        <v>NAME_ITEM_HONDEWBERRY</v>
      </c>
      <c r="B172" s="3" t="s">
        <v>23912</v>
      </c>
      <c r="C172" s="3" t="s">
        <v>23913</v>
      </c>
      <c r="D172" s="3" t="s">
        <v>23914</v>
      </c>
      <c r="E172" s="3" t="s">
        <v>23915</v>
      </c>
      <c r="F172" s="3" t="s">
        <v>23916</v>
      </c>
      <c r="G172" s="3" t="s">
        <v>23917</v>
      </c>
      <c r="H172" s="3" t="s">
        <v>23918</v>
      </c>
      <c r="I172" s="3" t="s">
        <v>23919</v>
      </c>
      <c r="J172" s="5" t="str">
        <f t="shared" si="20"/>
        <v>哈密果</v>
      </c>
    </row>
    <row r="173">
      <c r="A173" s="5" t="str">
        <f t="shared" si="17"/>
        <v>NAME_ITEM_GREPABERRY</v>
      </c>
      <c r="B173" s="3" t="s">
        <v>23920</v>
      </c>
      <c r="C173" s="3" t="s">
        <v>23921</v>
      </c>
      <c r="D173" s="3" t="s">
        <v>23922</v>
      </c>
      <c r="E173" s="3" t="s">
        <v>23923</v>
      </c>
      <c r="F173" s="3" t="s">
        <v>23924</v>
      </c>
      <c r="G173" s="3" t="s">
        <v>23925</v>
      </c>
      <c r="H173" s="3" t="s">
        <v>23926</v>
      </c>
      <c r="I173" s="3" t="s">
        <v>23927</v>
      </c>
      <c r="J173" s="5" t="str">
        <f t="shared" si="20"/>
        <v>萄葡果</v>
      </c>
    </row>
    <row r="174">
      <c r="A174" s="5" t="str">
        <f t="shared" si="17"/>
        <v>NAME_ITEM_TAMATOBERRY</v>
      </c>
      <c r="B174" s="3" t="s">
        <v>23928</v>
      </c>
      <c r="C174" s="3" t="s">
        <v>23929</v>
      </c>
      <c r="D174" s="3" t="s">
        <v>23930</v>
      </c>
      <c r="E174" s="3" t="s">
        <v>23931</v>
      </c>
      <c r="F174" s="3" t="s">
        <v>23932</v>
      </c>
      <c r="G174" s="3" t="s">
        <v>23933</v>
      </c>
      <c r="H174" s="3" t="s">
        <v>23934</v>
      </c>
      <c r="I174" s="3" t="s">
        <v>23935</v>
      </c>
      <c r="J174" s="5" t="str">
        <f t="shared" si="20"/>
        <v>茄番果</v>
      </c>
    </row>
    <row r="175">
      <c r="A175" s="5" t="str">
        <f t="shared" si="17"/>
        <v>NAME_ITEM_CORNNBERRY</v>
      </c>
      <c r="B175" s="3" t="s">
        <v>23936</v>
      </c>
      <c r="C175" s="3" t="s">
        <v>23937</v>
      </c>
      <c r="D175" s="3" t="s">
        <v>23938</v>
      </c>
      <c r="E175" s="3" t="s">
        <v>23939</v>
      </c>
      <c r="F175" s="3" t="s">
        <v>23940</v>
      </c>
      <c r="G175" s="3" t="s">
        <v>23941</v>
      </c>
      <c r="H175" s="3" t="s">
        <v>23942</v>
      </c>
      <c r="I175" s="3" t="s">
        <v>23943</v>
      </c>
      <c r="J175" s="5" t="str">
        <f t="shared" si="20"/>
        <v>玉黍果</v>
      </c>
    </row>
    <row r="176">
      <c r="A176" s="5" t="str">
        <f t="shared" si="17"/>
        <v>NAME_ITEM_MAGOSTBERRY</v>
      </c>
      <c r="B176" s="3" t="s">
        <v>23944</v>
      </c>
      <c r="C176" s="3" t="s">
        <v>23945</v>
      </c>
      <c r="D176" s="3" t="s">
        <v>23946</v>
      </c>
      <c r="E176" s="3" t="s">
        <v>23947</v>
      </c>
      <c r="F176" s="3" t="s">
        <v>23948</v>
      </c>
      <c r="G176" s="3" t="s">
        <v>23949</v>
      </c>
      <c r="H176" s="3" t="s">
        <v>23950</v>
      </c>
      <c r="I176" s="3" t="s">
        <v>23951</v>
      </c>
      <c r="J176" s="5" t="str">
        <f t="shared" si="20"/>
        <v>岳竹果</v>
      </c>
    </row>
    <row r="177">
      <c r="A177" s="5" t="str">
        <f t="shared" si="17"/>
        <v>NAME_ITEM_RABUTABERRY</v>
      </c>
      <c r="B177" s="3" t="s">
        <v>23952</v>
      </c>
      <c r="C177" s="3" t="s">
        <v>23953</v>
      </c>
      <c r="D177" s="3" t="s">
        <v>23954</v>
      </c>
      <c r="E177" s="3" t="s">
        <v>23955</v>
      </c>
      <c r="F177" s="3" t="s">
        <v>23956</v>
      </c>
      <c r="G177" s="3" t="s">
        <v>23957</v>
      </c>
      <c r="H177" s="3" t="s">
        <v>23958</v>
      </c>
      <c r="I177" s="3" t="s">
        <v>23959</v>
      </c>
      <c r="J177" s="5" t="str">
        <f t="shared" si="20"/>
        <v>茸丹果</v>
      </c>
    </row>
    <row r="178">
      <c r="A178" s="5" t="str">
        <f t="shared" si="17"/>
        <v>NAME_ITEM_NOMELBERRY</v>
      </c>
      <c r="B178" s="3" t="s">
        <v>23960</v>
      </c>
      <c r="C178" s="3" t="s">
        <v>23961</v>
      </c>
      <c r="D178" s="3" t="s">
        <v>23962</v>
      </c>
      <c r="E178" s="3" t="s">
        <v>23963</v>
      </c>
      <c r="F178" s="3" t="s">
        <v>23964</v>
      </c>
      <c r="G178" s="3" t="s">
        <v>23965</v>
      </c>
      <c r="H178" s="3" t="s">
        <v>23966</v>
      </c>
      <c r="I178" s="3" t="s">
        <v>23967</v>
      </c>
      <c r="J178" s="5" t="str">
        <f>IFERROR(__xludf.DUMMYFUNCTION("GOOGLETRANSLATE(I178,""zh_HANT"",""zh_HANS"")"),"檬柠果")</f>
        <v>檬柠果</v>
      </c>
    </row>
    <row r="179">
      <c r="A179" s="5" t="str">
        <f t="shared" si="17"/>
        <v>NAME_ITEM_SPELONBERRY</v>
      </c>
      <c r="B179" s="3" t="s">
        <v>23968</v>
      </c>
      <c r="C179" s="3" t="s">
        <v>23969</v>
      </c>
      <c r="D179" s="3" t="s">
        <v>23970</v>
      </c>
      <c r="E179" s="3" t="s">
        <v>23971</v>
      </c>
      <c r="F179" s="3" t="s">
        <v>23972</v>
      </c>
      <c r="G179" s="3" t="s">
        <v>23973</v>
      </c>
      <c r="H179" s="3" t="s">
        <v>23974</v>
      </c>
      <c r="I179" s="3" t="s">
        <v>23975</v>
      </c>
      <c r="J179" s="5" t="str">
        <f t="shared" ref="J179:J184" si="21">I179</f>
        <v>刺角果</v>
      </c>
    </row>
    <row r="180">
      <c r="A180" s="5" t="str">
        <f t="shared" si="17"/>
        <v>NAME_ITEM_PAMTREBERRY</v>
      </c>
      <c r="B180" s="3" t="s">
        <v>23976</v>
      </c>
      <c r="C180" s="3" t="s">
        <v>23977</v>
      </c>
      <c r="D180" s="3" t="s">
        <v>23978</v>
      </c>
      <c r="E180" s="3" t="s">
        <v>23979</v>
      </c>
      <c r="F180" s="3" t="s">
        <v>23980</v>
      </c>
      <c r="G180" s="3" t="s">
        <v>23981</v>
      </c>
      <c r="H180" s="3" t="s">
        <v>23982</v>
      </c>
      <c r="I180" s="3" t="s">
        <v>23983</v>
      </c>
      <c r="J180" s="5" t="str">
        <f t="shared" si="21"/>
        <v>椰木果</v>
      </c>
    </row>
    <row r="181">
      <c r="A181" s="5" t="str">
        <f t="shared" si="17"/>
        <v>NAME_ITEM_WATMELBERRY</v>
      </c>
      <c r="B181" s="3" t="s">
        <v>23984</v>
      </c>
      <c r="C181" s="3" t="s">
        <v>23985</v>
      </c>
      <c r="D181" s="3" t="s">
        <v>23986</v>
      </c>
      <c r="E181" s="3" t="s">
        <v>23987</v>
      </c>
      <c r="F181" s="3" t="s">
        <v>23988</v>
      </c>
      <c r="G181" s="3" t="s">
        <v>23989</v>
      </c>
      <c r="H181" s="3" t="s">
        <v>23990</v>
      </c>
      <c r="I181" s="3" t="s">
        <v>23991</v>
      </c>
      <c r="J181" s="5" t="str">
        <f t="shared" si="21"/>
        <v>瓜西果</v>
      </c>
    </row>
    <row r="182">
      <c r="A182" s="5" t="str">
        <f t="shared" si="17"/>
        <v>NAME_ITEM_DURINBERRY</v>
      </c>
      <c r="B182" s="3" t="s">
        <v>23992</v>
      </c>
      <c r="C182" s="3" t="s">
        <v>23993</v>
      </c>
      <c r="D182" s="3" t="s">
        <v>23994</v>
      </c>
      <c r="E182" s="3" t="s">
        <v>23995</v>
      </c>
      <c r="F182" s="3" t="s">
        <v>23996</v>
      </c>
      <c r="G182" s="3" t="s">
        <v>23997</v>
      </c>
      <c r="H182" s="3" t="s">
        <v>23998</v>
      </c>
      <c r="I182" s="3" t="s">
        <v>23999</v>
      </c>
      <c r="J182" s="5" t="str">
        <f t="shared" si="21"/>
        <v>金枕果</v>
      </c>
    </row>
    <row r="183">
      <c r="A183" s="5" t="str">
        <f t="shared" si="17"/>
        <v>NAME_ITEM_BELUEBERRY</v>
      </c>
      <c r="B183" s="3" t="s">
        <v>24000</v>
      </c>
      <c r="C183" s="3" t="s">
        <v>24001</v>
      </c>
      <c r="D183" s="3" t="s">
        <v>24002</v>
      </c>
      <c r="E183" s="3" t="s">
        <v>24003</v>
      </c>
      <c r="F183" s="3" t="s">
        <v>24004</v>
      </c>
      <c r="G183" s="3" t="s">
        <v>24005</v>
      </c>
      <c r="H183" s="3" t="s">
        <v>24006</v>
      </c>
      <c r="I183" s="3" t="s">
        <v>24007</v>
      </c>
      <c r="J183" s="5" t="str">
        <f t="shared" si="21"/>
        <v>靛莓果</v>
      </c>
    </row>
    <row r="184">
      <c r="A184" s="5" t="str">
        <f t="shared" si="17"/>
        <v>NAME_ITEM_LEICHIBERRY</v>
      </c>
      <c r="B184" s="3" t="s">
        <v>24008</v>
      </c>
      <c r="C184" s="3" t="s">
        <v>24009</v>
      </c>
      <c r="D184" s="3" t="s">
        <v>24010</v>
      </c>
      <c r="E184" s="3" t="s">
        <v>24011</v>
      </c>
      <c r="F184" s="3" t="s">
        <v>24012</v>
      </c>
      <c r="G184" s="3" t="s">
        <v>24013</v>
      </c>
      <c r="H184" s="3" t="s">
        <v>24014</v>
      </c>
      <c r="I184" s="3" t="s">
        <v>24015</v>
      </c>
      <c r="J184" s="5" t="str">
        <f t="shared" si="21"/>
        <v>枝荔果</v>
      </c>
    </row>
    <row r="185">
      <c r="A185" s="5" t="str">
        <f t="shared" si="17"/>
        <v>NAME_ITEM_GALONBERRY</v>
      </c>
      <c r="B185" s="3" t="s">
        <v>24016</v>
      </c>
      <c r="C185" s="3" t="s">
        <v>24017</v>
      </c>
      <c r="D185" s="3" t="s">
        <v>24018</v>
      </c>
      <c r="E185" s="3" t="s">
        <v>24019</v>
      </c>
      <c r="F185" s="3" t="s">
        <v>24020</v>
      </c>
      <c r="G185" s="3" t="s">
        <v>24021</v>
      </c>
      <c r="H185" s="3" t="s">
        <v>24022</v>
      </c>
      <c r="I185" s="3" t="s">
        <v>24023</v>
      </c>
      <c r="J185" s="5" t="str">
        <f>IFERROR(__xludf.DUMMYFUNCTION("GOOGLETRANSLATE(I185,""zh_HANT"",""zh_HANS"")"),"龙睛果")</f>
        <v>龙睛果</v>
      </c>
    </row>
    <row r="186">
      <c r="A186" s="5" t="str">
        <f t="shared" si="17"/>
        <v>NAME_ITEM_SALACBERRY</v>
      </c>
      <c r="B186" s="3" t="s">
        <v>24024</v>
      </c>
      <c r="C186" s="3" t="s">
        <v>24025</v>
      </c>
      <c r="D186" s="3" t="s">
        <v>24026</v>
      </c>
      <c r="E186" s="3" t="s">
        <v>24027</v>
      </c>
      <c r="F186" s="3" t="s">
        <v>24028</v>
      </c>
      <c r="G186" s="3" t="s">
        <v>24029</v>
      </c>
      <c r="H186" s="3" t="s">
        <v>24030</v>
      </c>
      <c r="I186" s="3" t="s">
        <v>24031</v>
      </c>
      <c r="J186" s="5" t="str">
        <f>IFERROR(__xludf.DUMMYFUNCTION("GOOGLETRANSLATE(I186,""zh_HANT"",""zh_HANS"")"),"沙鳞果")</f>
        <v>沙鳞果</v>
      </c>
    </row>
    <row r="187">
      <c r="A187" s="5" t="str">
        <f t="shared" si="17"/>
        <v>NAME_ITEM_PETAYABERRY</v>
      </c>
      <c r="B187" s="3" t="s">
        <v>24032</v>
      </c>
      <c r="C187" s="3" t="s">
        <v>24033</v>
      </c>
      <c r="D187" s="3" t="s">
        <v>24034</v>
      </c>
      <c r="E187" s="3" t="s">
        <v>24035</v>
      </c>
      <c r="F187" s="3" t="s">
        <v>24036</v>
      </c>
      <c r="G187" s="3" t="s">
        <v>24037</v>
      </c>
      <c r="H187" s="3" t="s">
        <v>24038</v>
      </c>
      <c r="I187" s="3" t="s">
        <v>24039</v>
      </c>
      <c r="J187" s="5" t="str">
        <f>IFERROR(__xludf.DUMMYFUNCTION("GOOGLETRANSLATE(I187,""zh_HANT"",""zh_HANS"")"),"龙火果")</f>
        <v>龙火果</v>
      </c>
    </row>
    <row r="188">
      <c r="A188" s="5" t="str">
        <f t="shared" si="17"/>
        <v>NAME_ITEM_APRICOTBERRY</v>
      </c>
      <c r="B188" s="3" t="s">
        <v>24040</v>
      </c>
      <c r="C188" s="3" t="s">
        <v>24041</v>
      </c>
      <c r="D188" s="3" t="s">
        <v>24042</v>
      </c>
      <c r="E188" s="3" t="s">
        <v>24043</v>
      </c>
      <c r="F188" s="3" t="s">
        <v>24044</v>
      </c>
      <c r="G188" s="3" t="s">
        <v>24045</v>
      </c>
      <c r="H188" s="3" t="s">
        <v>24046</v>
      </c>
      <c r="I188" s="3" t="s">
        <v>24047</v>
      </c>
      <c r="J188" s="5" t="str">
        <f>I188</f>
        <v>杏仔果</v>
      </c>
    </row>
    <row r="189">
      <c r="A189" s="5" t="str">
        <f t="shared" si="17"/>
        <v>NAME_ITEM_LANSATBERRY</v>
      </c>
      <c r="B189" s="3" t="s">
        <v>24048</v>
      </c>
      <c r="C189" s="3" t="s">
        <v>24049</v>
      </c>
      <c r="D189" s="3" t="s">
        <v>24050</v>
      </c>
      <c r="E189" s="3" t="s">
        <v>24051</v>
      </c>
      <c r="F189" s="3" t="s">
        <v>24052</v>
      </c>
      <c r="G189" s="3" t="s">
        <v>24053</v>
      </c>
      <c r="H189" s="3" t="s">
        <v>24054</v>
      </c>
      <c r="I189" s="3" t="s">
        <v>24055</v>
      </c>
      <c r="J189" s="5" t="str">
        <f>IFERROR(__xludf.DUMMYFUNCTION("GOOGLETRANSLATE(I189,""zh_HANT"",""zh_HANS"")"),"兰萨果")</f>
        <v>兰萨果</v>
      </c>
    </row>
    <row r="190">
      <c r="A190" s="5" t="str">
        <f t="shared" si="17"/>
        <v>NAME_ITEM_STARFBERRY</v>
      </c>
      <c r="B190" s="3" t="s">
        <v>24056</v>
      </c>
      <c r="C190" s="3" t="s">
        <v>24057</v>
      </c>
      <c r="D190" s="3" t="s">
        <v>24058</v>
      </c>
      <c r="E190" s="3" t="s">
        <v>24059</v>
      </c>
      <c r="F190" s="3" t="s">
        <v>24060</v>
      </c>
      <c r="G190" s="3" t="s">
        <v>24061</v>
      </c>
      <c r="H190" s="3" t="s">
        <v>24062</v>
      </c>
      <c r="I190" s="3" t="s">
        <v>24063</v>
      </c>
      <c r="J190" s="5" t="str">
        <f>I190</f>
        <v>星桃果</v>
      </c>
    </row>
    <row r="191">
      <c r="A191" s="5" t="str">
        <f t="shared" si="17"/>
        <v>NAME_ITEM_ENIGMABERRY</v>
      </c>
      <c r="B191" s="3" t="s">
        <v>24064</v>
      </c>
      <c r="C191" s="3" t="s">
        <v>24065</v>
      </c>
      <c r="D191" s="3" t="s">
        <v>24066</v>
      </c>
      <c r="E191" s="3" t="s">
        <v>24067</v>
      </c>
      <c r="F191" s="3" t="s">
        <v>24068</v>
      </c>
      <c r="G191" s="3" t="s">
        <v>24069</v>
      </c>
      <c r="H191" s="3" t="s">
        <v>24070</v>
      </c>
      <c r="I191" s="3" t="s">
        <v>24071</v>
      </c>
      <c r="J191" s="5" t="str">
        <f>IFERROR(__xludf.DUMMYFUNCTION("GOOGLETRANSLATE(I191,""zh_HANT"",""zh_HANS"")"),"谜芝果")</f>
        <v>谜芝果</v>
      </c>
    </row>
    <row r="192">
      <c r="A192" s="5" t="str">
        <f t="shared" si="17"/>
        <v>NAME_ITEM_OCCABERRY</v>
      </c>
      <c r="B192" s="3" t="s">
        <v>24072</v>
      </c>
      <c r="C192" s="3" t="s">
        <v>24073</v>
      </c>
      <c r="D192" s="3" t="s">
        <v>24074</v>
      </c>
      <c r="E192" s="3" t="s">
        <v>24075</v>
      </c>
      <c r="F192" s="3" t="s">
        <v>24076</v>
      </c>
      <c r="G192" s="3" t="s">
        <v>24077</v>
      </c>
      <c r="H192" s="3" t="s">
        <v>24078</v>
      </c>
      <c r="I192" s="3" t="s">
        <v>24079</v>
      </c>
      <c r="J192" s="5" t="str">
        <f t="shared" ref="J192:J193" si="22">I192</f>
        <v>巧可果</v>
      </c>
    </row>
    <row r="193">
      <c r="A193" s="5" t="str">
        <f t="shared" si="17"/>
        <v>NAME_ITEM_PASSHOBERRY</v>
      </c>
      <c r="B193" s="3" t="s">
        <v>24080</v>
      </c>
      <c r="C193" s="3" t="s">
        <v>24081</v>
      </c>
      <c r="D193" s="3" t="s">
        <v>24082</v>
      </c>
      <c r="E193" s="3" t="s">
        <v>24083</v>
      </c>
      <c r="F193" s="3" t="s">
        <v>24084</v>
      </c>
      <c r="G193" s="3" t="s">
        <v>24085</v>
      </c>
      <c r="H193" s="3" t="s">
        <v>24086</v>
      </c>
      <c r="I193" s="3" t="s">
        <v>24087</v>
      </c>
      <c r="J193" s="5" t="str">
        <f t="shared" si="22"/>
        <v>千香果</v>
      </c>
    </row>
    <row r="194">
      <c r="A194" s="5" t="str">
        <f t="shared" si="17"/>
        <v>NAME_ITEM_WACANBERRY</v>
      </c>
      <c r="B194" s="3" t="s">
        <v>24088</v>
      </c>
      <c r="C194" s="3" t="s">
        <v>24089</v>
      </c>
      <c r="D194" s="3" t="s">
        <v>24090</v>
      </c>
      <c r="E194" s="3" t="s">
        <v>24091</v>
      </c>
      <c r="F194" s="3" t="s">
        <v>24092</v>
      </c>
      <c r="G194" s="3" t="s">
        <v>24093</v>
      </c>
      <c r="H194" s="3" t="s">
        <v>24094</v>
      </c>
      <c r="I194" s="3" t="s">
        <v>24095</v>
      </c>
      <c r="J194" s="5" t="str">
        <f>IFERROR(__xludf.DUMMYFUNCTION("GOOGLETRANSLATE(I194,""zh_HANT"",""zh_HANS"")"),"独木果")</f>
        <v>独木果</v>
      </c>
    </row>
    <row r="195">
      <c r="A195" s="5" t="str">
        <f t="shared" si="17"/>
        <v>NAME_ITEM_RINDOBERRY</v>
      </c>
      <c r="B195" s="3" t="s">
        <v>24096</v>
      </c>
      <c r="C195" s="3" t="s">
        <v>24097</v>
      </c>
      <c r="D195" s="3" t="s">
        <v>24098</v>
      </c>
      <c r="E195" s="3" t="s">
        <v>24099</v>
      </c>
      <c r="F195" s="3" t="s">
        <v>24100</v>
      </c>
      <c r="G195" s="3" t="s">
        <v>24101</v>
      </c>
      <c r="H195" s="3" t="s">
        <v>24102</v>
      </c>
      <c r="I195" s="3" t="s">
        <v>24103</v>
      </c>
      <c r="J195" s="5" t="str">
        <f>IFERROR(__xludf.DUMMYFUNCTION("GOOGLETRANSLATE(I195,""zh_HANT"",""zh_HANS"")"),"罗子果")</f>
        <v>罗子果</v>
      </c>
    </row>
    <row r="196">
      <c r="A196" s="5" t="str">
        <f t="shared" si="17"/>
        <v>NAME_ITEM_YACHEBERRY</v>
      </c>
      <c r="B196" s="3" t="s">
        <v>24104</v>
      </c>
      <c r="C196" s="3" t="s">
        <v>24105</v>
      </c>
      <c r="D196" s="3" t="s">
        <v>24106</v>
      </c>
      <c r="E196" s="3" t="s">
        <v>24107</v>
      </c>
      <c r="F196" s="3" t="s">
        <v>24108</v>
      </c>
      <c r="G196" s="3" t="s">
        <v>24109</v>
      </c>
      <c r="H196" s="3" t="s">
        <v>24110</v>
      </c>
      <c r="I196" s="3" t="s">
        <v>24111</v>
      </c>
      <c r="J196" s="5" t="str">
        <f>I196</f>
        <v>番荔果</v>
      </c>
    </row>
    <row r="197">
      <c r="A197" s="5" t="str">
        <f t="shared" si="17"/>
        <v>NAME_ITEM_CHOPLEBERRY</v>
      </c>
      <c r="B197" s="3" t="s">
        <v>24112</v>
      </c>
      <c r="C197" s="3" t="s">
        <v>24113</v>
      </c>
      <c r="D197" s="3" t="s">
        <v>24114</v>
      </c>
      <c r="E197" s="3" t="s">
        <v>24115</v>
      </c>
      <c r="F197" s="3" t="s">
        <v>24116</v>
      </c>
      <c r="G197" s="3" t="s">
        <v>24117</v>
      </c>
      <c r="H197" s="3" t="s">
        <v>24118</v>
      </c>
      <c r="I197" s="3" t="s">
        <v>24119</v>
      </c>
      <c r="J197" s="5" t="str">
        <f>IFERROR(__xludf.DUMMYFUNCTION("GOOGLETRANSLATE(I197,""zh_HANT"",""zh_HANS"")"),"莲蒲果")</f>
        <v>莲蒲果</v>
      </c>
    </row>
    <row r="198">
      <c r="A198" s="5" t="str">
        <f t="shared" si="17"/>
        <v>NAME_ITEM_KEBIABERRY</v>
      </c>
      <c r="B198" s="3" t="s">
        <v>24120</v>
      </c>
      <c r="C198" s="3" t="s">
        <v>24121</v>
      </c>
      <c r="D198" s="3" t="s">
        <v>24122</v>
      </c>
      <c r="E198" s="3" t="s">
        <v>24123</v>
      </c>
      <c r="F198" s="3" t="s">
        <v>24124</v>
      </c>
      <c r="G198" s="3" t="s">
        <v>24125</v>
      </c>
      <c r="H198" s="3" t="s">
        <v>24126</v>
      </c>
      <c r="I198" s="3" t="s">
        <v>24127</v>
      </c>
      <c r="J198" s="5" t="str">
        <f t="shared" ref="J198:J199" si="23">I198</f>
        <v>通通果</v>
      </c>
    </row>
    <row r="199">
      <c r="A199" s="5" t="str">
        <f t="shared" si="17"/>
        <v>NAME_ITEM_SHUCABERRY</v>
      </c>
      <c r="B199" s="3" t="s">
        <v>24128</v>
      </c>
      <c r="C199" s="3" t="s">
        <v>24129</v>
      </c>
      <c r="D199" s="3" t="s">
        <v>24130</v>
      </c>
      <c r="E199" s="3" t="s">
        <v>24131</v>
      </c>
      <c r="F199" s="3" t="s">
        <v>24132</v>
      </c>
      <c r="G199" s="3" t="s">
        <v>24133</v>
      </c>
      <c r="H199" s="3" t="s">
        <v>24134</v>
      </c>
      <c r="I199" s="3" t="s">
        <v>24135</v>
      </c>
      <c r="J199" s="5" t="str">
        <f t="shared" si="23"/>
        <v>腰木果</v>
      </c>
    </row>
    <row r="200">
      <c r="A200" s="5" t="str">
        <f t="shared" si="17"/>
        <v>NAME_ITEM_COBABERRY</v>
      </c>
      <c r="B200" s="3" t="s">
        <v>24136</v>
      </c>
      <c r="C200" s="3" t="s">
        <v>24137</v>
      </c>
      <c r="D200" s="3" t="s">
        <v>24138</v>
      </c>
      <c r="E200" s="3" t="s">
        <v>24139</v>
      </c>
      <c r="F200" s="3" t="s">
        <v>24140</v>
      </c>
      <c r="G200" s="3" t="s">
        <v>24141</v>
      </c>
      <c r="H200" s="3" t="s">
        <v>24142</v>
      </c>
      <c r="I200" s="3" t="s">
        <v>24143</v>
      </c>
      <c r="J200" s="5" t="str">
        <f>IFERROR(__xludf.DUMMYFUNCTION("GOOGLETRANSLATE(I200,""zh_HANT"",""zh_HANS"")"),"棱瓜果")</f>
        <v>棱瓜果</v>
      </c>
    </row>
    <row r="201">
      <c r="A201" s="5" t="str">
        <f t="shared" si="17"/>
        <v>NAME_ITEM_PAYAPABERRY</v>
      </c>
      <c r="B201" s="3" t="s">
        <v>24144</v>
      </c>
      <c r="C201" s="3" t="s">
        <v>24145</v>
      </c>
      <c r="D201" s="3" t="s">
        <v>24146</v>
      </c>
      <c r="E201" s="3" t="s">
        <v>24147</v>
      </c>
      <c r="F201" s="3" t="s">
        <v>24148</v>
      </c>
      <c r="G201" s="3" t="s">
        <v>24149</v>
      </c>
      <c r="H201" s="3" t="s">
        <v>24150</v>
      </c>
      <c r="I201" s="3" t="s">
        <v>24151</v>
      </c>
      <c r="J201" s="5" t="str">
        <f>IFERROR(__xludf.DUMMYFUNCTION("GOOGLETRANSLATE(I201,""zh_HANT"",""zh_HANS"")"),"福禄果")</f>
        <v>福禄果</v>
      </c>
    </row>
    <row r="202">
      <c r="A202" s="5" t="str">
        <f t="shared" si="17"/>
        <v>NAME_ITEM_TANGABERRY</v>
      </c>
      <c r="B202" s="3" t="s">
        <v>24152</v>
      </c>
      <c r="C202" s="3" t="s">
        <v>24153</v>
      </c>
      <c r="D202" s="3" t="s">
        <v>24154</v>
      </c>
      <c r="E202" s="3" t="s">
        <v>24155</v>
      </c>
      <c r="F202" s="3" t="s">
        <v>24156</v>
      </c>
      <c r="G202" s="3" t="s">
        <v>24157</v>
      </c>
      <c r="H202" s="3" t="s">
        <v>24158</v>
      </c>
      <c r="I202" s="3" t="s">
        <v>24159</v>
      </c>
      <c r="J202" s="5" t="str">
        <f>IFERROR(__xludf.DUMMYFUNCTION("GOOGLETRANSLATE(I202,""zh_HANT"",""zh_HANS"")"),"扁樱果")</f>
        <v>扁樱果</v>
      </c>
    </row>
    <row r="203">
      <c r="A203" s="5" t="str">
        <f t="shared" si="17"/>
        <v>NAME_ITEM_CHARTIBERRY</v>
      </c>
      <c r="B203" s="3" t="s">
        <v>24160</v>
      </c>
      <c r="C203" s="3" t="s">
        <v>24161</v>
      </c>
      <c r="D203" s="3" t="s">
        <v>24162</v>
      </c>
      <c r="E203" s="3" t="s">
        <v>24163</v>
      </c>
      <c r="F203" s="3" t="s">
        <v>24164</v>
      </c>
      <c r="G203" s="3" t="s">
        <v>24165</v>
      </c>
      <c r="H203" s="3" t="s">
        <v>24166</v>
      </c>
      <c r="I203" s="3" t="s">
        <v>24167</v>
      </c>
      <c r="J203" s="5" t="str">
        <f>IFERROR(__xludf.DUMMYFUNCTION("GOOGLETRANSLATE(I203,""zh_HANT"",""zh_HANS"")"),"草蚕果")</f>
        <v>草蚕果</v>
      </c>
    </row>
    <row r="204">
      <c r="A204" s="5" t="str">
        <f t="shared" si="17"/>
        <v>NAME_ITEM_KASIBBERRY</v>
      </c>
      <c r="B204" s="3" t="s">
        <v>24168</v>
      </c>
      <c r="C204" s="3" t="s">
        <v>24169</v>
      </c>
      <c r="D204" s="3" t="s">
        <v>24170</v>
      </c>
      <c r="E204" s="3" t="s">
        <v>24171</v>
      </c>
      <c r="F204" s="3" t="s">
        <v>24172</v>
      </c>
      <c r="G204" s="3" t="s">
        <v>24173</v>
      </c>
      <c r="H204" s="3" t="s">
        <v>24174</v>
      </c>
      <c r="I204" s="3" t="s">
        <v>24175</v>
      </c>
      <c r="J204" s="5" t="str">
        <f t="shared" ref="J204:J207" si="24">I204</f>
        <v>佛柑果</v>
      </c>
    </row>
    <row r="205">
      <c r="A205" s="5" t="str">
        <f t="shared" si="17"/>
        <v>NAME_ITEM_HABANBERRY</v>
      </c>
      <c r="B205" s="3" t="s">
        <v>24176</v>
      </c>
      <c r="C205" s="3" t="s">
        <v>24177</v>
      </c>
      <c r="D205" s="3" t="s">
        <v>24178</v>
      </c>
      <c r="E205" s="3" t="s">
        <v>24179</v>
      </c>
      <c r="F205" s="3" t="s">
        <v>24180</v>
      </c>
      <c r="G205" s="3" t="s">
        <v>24181</v>
      </c>
      <c r="H205" s="3" t="s">
        <v>24182</v>
      </c>
      <c r="I205" s="3" t="s">
        <v>24183</v>
      </c>
      <c r="J205" s="3" t="str">
        <f t="shared" si="24"/>
        <v>莓榴果</v>
      </c>
    </row>
    <row r="206">
      <c r="A206" s="5" t="str">
        <f t="shared" si="17"/>
        <v>NAME_ITEM_COLBURBERRY</v>
      </c>
      <c r="B206" s="3" t="s">
        <v>24184</v>
      </c>
      <c r="C206" s="3" t="s">
        <v>24185</v>
      </c>
      <c r="D206" s="3" t="s">
        <v>24186</v>
      </c>
      <c r="E206" s="3" t="s">
        <v>24187</v>
      </c>
      <c r="F206" s="3" t="s">
        <v>24188</v>
      </c>
      <c r="G206" s="3" t="s">
        <v>24189</v>
      </c>
      <c r="H206" s="3" t="s">
        <v>24190</v>
      </c>
      <c r="I206" s="3" t="s">
        <v>24191</v>
      </c>
      <c r="J206" s="3" t="str">
        <f t="shared" si="24"/>
        <v>刺耳果</v>
      </c>
    </row>
    <row r="207">
      <c r="A207" s="5" t="str">
        <f t="shared" si="17"/>
        <v>NAME_ITEM_BABIRIBERRY</v>
      </c>
      <c r="B207" s="3" t="s">
        <v>24192</v>
      </c>
      <c r="C207" s="3" t="s">
        <v>24193</v>
      </c>
      <c r="D207" s="3" t="s">
        <v>24194</v>
      </c>
      <c r="E207" s="3" t="s">
        <v>24195</v>
      </c>
      <c r="F207" s="3" t="s">
        <v>24196</v>
      </c>
      <c r="G207" s="3" t="s">
        <v>24197</v>
      </c>
      <c r="H207" s="3" t="s">
        <v>24198</v>
      </c>
      <c r="I207" s="3" t="s">
        <v>24199</v>
      </c>
      <c r="J207" s="3" t="str">
        <f t="shared" si="24"/>
        <v>霹霹果</v>
      </c>
    </row>
    <row r="208">
      <c r="A208" s="5" t="str">
        <f t="shared" si="17"/>
        <v>NAME_ITEM_CHILANBERRY</v>
      </c>
      <c r="B208" s="3" t="s">
        <v>24200</v>
      </c>
      <c r="C208" s="3" t="s">
        <v>24201</v>
      </c>
      <c r="D208" s="3" t="s">
        <v>24202</v>
      </c>
      <c r="E208" s="3" t="s">
        <v>24203</v>
      </c>
      <c r="F208" s="3" t="s">
        <v>24204</v>
      </c>
      <c r="G208" s="3" t="s">
        <v>24205</v>
      </c>
      <c r="H208" s="3" t="s">
        <v>24206</v>
      </c>
      <c r="I208" s="3" t="s">
        <v>24207</v>
      </c>
      <c r="J208" s="5" t="str">
        <f>IFERROR(__xludf.DUMMYFUNCTION("GOOGLETRANSLATE(I208,""zh_HANT"",""zh_HANS"")"),"灯浆果")</f>
        <v>灯浆果</v>
      </c>
    </row>
    <row r="209">
      <c r="A209" s="5" t="str">
        <f t="shared" si="17"/>
        <v>NAME_ITEM_MICLEBERRY</v>
      </c>
      <c r="B209" s="3" t="s">
        <v>24208</v>
      </c>
      <c r="C209" s="3" t="s">
        <v>24209</v>
      </c>
      <c r="D209" s="3" t="s">
        <v>24210</v>
      </c>
      <c r="E209" s="3" t="s">
        <v>24211</v>
      </c>
      <c r="F209" s="3" t="s">
        <v>24212</v>
      </c>
      <c r="G209" s="3" t="s">
        <v>24213</v>
      </c>
      <c r="H209" s="3" t="s">
        <v>24214</v>
      </c>
      <c r="I209" s="3" t="s">
        <v>24215</v>
      </c>
      <c r="J209" s="5" t="str">
        <f>I209</f>
        <v>奇秘果</v>
      </c>
    </row>
    <row r="210">
      <c r="A210" s="5" t="str">
        <f t="shared" si="17"/>
        <v>NAME_ITEM_CUSTAPBERRY</v>
      </c>
      <c r="B210" s="3" t="s">
        <v>24216</v>
      </c>
      <c r="C210" s="3" t="s">
        <v>24217</v>
      </c>
      <c r="D210" s="3" t="s">
        <v>24218</v>
      </c>
      <c r="E210" s="3" t="s">
        <v>24219</v>
      </c>
      <c r="F210" s="3" t="s">
        <v>24220</v>
      </c>
      <c r="G210" s="3" t="s">
        <v>24221</v>
      </c>
      <c r="H210" s="3" t="s">
        <v>24222</v>
      </c>
      <c r="I210" s="3" t="s">
        <v>24223</v>
      </c>
      <c r="J210" s="5" t="str">
        <f>IFERROR(__xludf.DUMMYFUNCTION("GOOGLETRANSLATE(I210,""zh_HANT"",""zh_HANS"")"),"释陀果")</f>
        <v>释陀果</v>
      </c>
    </row>
    <row r="211">
      <c r="A211" s="5" t="str">
        <f t="shared" si="17"/>
        <v>NAME_ITEM_JABOCABERRY</v>
      </c>
      <c r="B211" s="3" t="s">
        <v>24224</v>
      </c>
      <c r="C211" s="3" t="s">
        <v>24225</v>
      </c>
      <c r="D211" s="3" t="s">
        <v>24226</v>
      </c>
      <c r="E211" s="3" t="s">
        <v>24227</v>
      </c>
      <c r="F211" s="3" t="s">
        <v>24228</v>
      </c>
      <c r="G211" s="3" t="s">
        <v>24229</v>
      </c>
      <c r="H211" s="3" t="s">
        <v>24230</v>
      </c>
      <c r="I211" s="3" t="s">
        <v>24231</v>
      </c>
      <c r="J211" s="5" t="str">
        <f>I211</f>
        <v>嘉珍果</v>
      </c>
    </row>
    <row r="212">
      <c r="A212" s="5" t="str">
        <f t="shared" si="17"/>
        <v>NAME_ITEM_ROWAPBERRY</v>
      </c>
      <c r="B212" s="3" t="s">
        <v>24232</v>
      </c>
      <c r="C212" s="3" t="s">
        <v>24233</v>
      </c>
      <c r="D212" s="3" t="s">
        <v>24234</v>
      </c>
      <c r="E212" s="3" t="s">
        <v>24235</v>
      </c>
      <c r="F212" s="3" t="s">
        <v>24236</v>
      </c>
      <c r="G212" s="3" t="s">
        <v>24237</v>
      </c>
      <c r="H212" s="3" t="s">
        <v>24238</v>
      </c>
      <c r="I212" s="3" t="s">
        <v>24239</v>
      </c>
      <c r="J212" s="5" t="str">
        <f>IFERROR(__xludf.DUMMYFUNCTION("GOOGLETRANSLATE(I212,""zh_HANT"",""zh_HANS"")"),"雾莲果")</f>
        <v>雾莲果</v>
      </c>
    </row>
    <row r="213">
      <c r="A213" s="5" t="str">
        <f t="shared" si="17"/>
        <v>NAME_ITEM_ROSELIBERRY</v>
      </c>
      <c r="B213" s="3" t="s">
        <v>24240</v>
      </c>
      <c r="C213" s="3" t="s">
        <v>24241</v>
      </c>
      <c r="D213" s="3" t="s">
        <v>24242</v>
      </c>
      <c r="E213" s="3" t="s">
        <v>24243</v>
      </c>
      <c r="F213" s="3" t="s">
        <v>24244</v>
      </c>
      <c r="G213" s="3" t="s">
        <v>24245</v>
      </c>
      <c r="H213" s="3" t="s">
        <v>24246</v>
      </c>
      <c r="I213" s="3" t="s">
        <v>24247</v>
      </c>
      <c r="J213" s="5" t="str">
        <f>I213</f>
        <v>洛玫果</v>
      </c>
    </row>
    <row r="214">
      <c r="A214" s="5" t="str">
        <f t="shared" si="17"/>
        <v>NAME_ITEM_KEEBERRY</v>
      </c>
      <c r="B214" s="3" t="s">
        <v>24248</v>
      </c>
      <c r="C214" s="3" t="s">
        <v>24249</v>
      </c>
      <c r="D214" s="3" t="s">
        <v>24250</v>
      </c>
      <c r="E214" s="3" t="s">
        <v>24251</v>
      </c>
      <c r="F214" s="3" t="s">
        <v>24252</v>
      </c>
      <c r="G214" s="3" t="s">
        <v>24253</v>
      </c>
      <c r="H214" s="3" t="s">
        <v>24254</v>
      </c>
      <c r="I214" s="3" t="s">
        <v>24255</v>
      </c>
      <c r="J214" s="5" t="str">
        <f>IFERROR(__xludf.DUMMYFUNCTION("GOOGLETRANSLATE(I214,""zh_HANT"",""zh_HANS"")"),"亚开果")</f>
        <v>亚开果</v>
      </c>
    </row>
    <row r="215">
      <c r="A215" s="5" t="str">
        <f t="shared" si="17"/>
        <v>NAME_ITEM_MARANGABERRY</v>
      </c>
      <c r="B215" s="3" t="s">
        <v>24256</v>
      </c>
      <c r="C215" s="3" t="s">
        <v>24257</v>
      </c>
      <c r="D215" s="3" t="s">
        <v>24258</v>
      </c>
      <c r="E215" s="3" t="s">
        <v>24259</v>
      </c>
      <c r="F215" s="3" t="s">
        <v>24260</v>
      </c>
      <c r="G215" s="3" t="s">
        <v>24261</v>
      </c>
      <c r="H215" s="3" t="s">
        <v>24262</v>
      </c>
      <c r="I215" s="3" t="s">
        <v>24263</v>
      </c>
      <c r="J215" s="5" t="str">
        <f>IFERROR(__xludf.DUMMYFUNCTION("GOOGLETRANSLATE(I215,""zh_HANT"",""zh_HANS"")"),"香罗果")</f>
        <v>香罗果</v>
      </c>
    </row>
    <row r="216">
      <c r="A216" s="5" t="str">
        <f t="shared" si="17"/>
        <v>NAME_ITEM_HOPOBERRY</v>
      </c>
      <c r="B216" s="3" t="s">
        <v>24264</v>
      </c>
      <c r="C216" s="3" t="s">
        <v>24265</v>
      </c>
      <c r="D216" s="6" t="s">
        <v>24266</v>
      </c>
      <c r="E216" s="6" t="s">
        <v>24267</v>
      </c>
      <c r="F216" s="4" t="s">
        <v>24268</v>
      </c>
      <c r="G216" s="6" t="s">
        <v>24269</v>
      </c>
      <c r="H216" s="6" t="s">
        <v>24270</v>
      </c>
      <c r="I216" s="7" t="s">
        <v>24271</v>
      </c>
      <c r="J216" s="5" t="str">
        <f>I216</f>
        <v>花啤果</v>
      </c>
    </row>
    <row r="217">
      <c r="A217" s="5" t="str">
        <f t="shared" si="17"/>
        <v>NAME_ITEM_REPEL</v>
      </c>
      <c r="B217" s="3" t="s">
        <v>24272</v>
      </c>
      <c r="C217" s="3" t="s">
        <v>24273</v>
      </c>
      <c r="D217" s="3" t="s">
        <v>24274</v>
      </c>
      <c r="E217" s="3" t="s">
        <v>24275</v>
      </c>
      <c r="F217" s="3" t="str">
        <f>CONCATENATE(B217,"ente")</f>
        <v>Repelente</v>
      </c>
      <c r="G217" s="5" t="str">
        <f>CONCATENATE(B217,"lente")</f>
        <v>Repellente</v>
      </c>
      <c r="H217" s="3" t="s">
        <v>24276</v>
      </c>
      <c r="I217" s="3" t="s">
        <v>24277</v>
      </c>
      <c r="J217" s="5" t="str">
        <f>IFERROR(__xludf.DUMMYFUNCTION("GOOGLETRANSLATE(I217,""zh_HANT"",""zh_HANS"")"),"除虫喷雾")</f>
        <v>除虫喷雾</v>
      </c>
    </row>
    <row r="218">
      <c r="A218" s="5" t="str">
        <f t="shared" si="17"/>
        <v>NAME_ITEM_SUPERREPEL</v>
      </c>
      <c r="B218" s="3" t="s">
        <v>24278</v>
      </c>
      <c r="C218" s="3" t="s">
        <v>24279</v>
      </c>
      <c r="D218" s="3" t="str">
        <f>CONCATENATE("Supe",LOWER(D217))</f>
        <v>Superepousse</v>
      </c>
      <c r="E218" s="3" t="str">
        <f t="shared" ref="E218:G218" si="25">CONCATENATE("Super",LOWER(E217))</f>
        <v>Superschutz</v>
      </c>
      <c r="F218" s="3" t="str">
        <f t="shared" si="25"/>
        <v>Superrepelente</v>
      </c>
      <c r="G218" s="3" t="str">
        <f t="shared" si="25"/>
        <v>Superrepellente</v>
      </c>
      <c r="H218" s="3" t="s">
        <v>24280</v>
      </c>
      <c r="I218" s="3" t="s">
        <v>24281</v>
      </c>
      <c r="J218" s="5" t="str">
        <f>IFERROR(__xludf.DUMMYFUNCTION("GOOGLETRANSLATE(I218,""zh_HANT"",""zh_HANS"")"),"白银喷雾")</f>
        <v>白银喷雾</v>
      </c>
    </row>
    <row r="219">
      <c r="A219" s="5" t="str">
        <f t="shared" si="17"/>
        <v>NAME_ITEM_MAXREPEL</v>
      </c>
      <c r="B219" s="3" t="s">
        <v>24282</v>
      </c>
      <c r="C219" s="3" t="s">
        <v>24283</v>
      </c>
      <c r="D219" s="3" t="str">
        <f>CONCATENATE(D217," Max")</f>
        <v>Repousse Max</v>
      </c>
      <c r="E219" s="5" t="str">
        <f>CONCATENATE("Top-",E217)</f>
        <v>Top-Schutz</v>
      </c>
      <c r="F219" s="3" t="str">
        <f>CONCATENATE(F217," Maximo")</f>
        <v>Repelente Maximo</v>
      </c>
      <c r="G219" s="5" t="str">
        <f>CONCATENATE(G217," Max")</f>
        <v>Repellente Max</v>
      </c>
      <c r="H219" s="3" t="s">
        <v>24284</v>
      </c>
      <c r="I219" s="3" t="s">
        <v>24285</v>
      </c>
      <c r="J219" s="5" t="str">
        <f>IFERROR(__xludf.DUMMYFUNCTION("GOOGLETRANSLATE(I219,""zh_HANT"",""zh_HANS"")"),"黄金喷雾")</f>
        <v>黄金喷雾</v>
      </c>
    </row>
    <row r="220">
      <c r="A220" s="5" t="str">
        <f t="shared" si="17"/>
        <v>NAME_ITEM_ESCAPEROPE</v>
      </c>
      <c r="B220" s="3" t="s">
        <v>24286</v>
      </c>
      <c r="C220" s="3" t="s">
        <v>24287</v>
      </c>
      <c r="D220" s="3" t="s">
        <v>24288</v>
      </c>
      <c r="E220" s="3" t="s">
        <v>24289</v>
      </c>
      <c r="F220" s="3" t="s">
        <v>24290</v>
      </c>
      <c r="G220" s="3" t="s">
        <v>24291</v>
      </c>
      <c r="H220" s="3" t="s">
        <v>24292</v>
      </c>
      <c r="I220" s="3" t="s">
        <v>24293</v>
      </c>
      <c r="J220" s="5" t="str">
        <f>IFERROR(__xludf.DUMMYFUNCTION("GOOGLETRANSLATE(I220,""zh_HANT"",""zh_HANS"")"),"离洞绳")</f>
        <v>离洞绳</v>
      </c>
    </row>
    <row r="221">
      <c r="A221" s="5" t="str">
        <f t="shared" si="17"/>
        <v>NAME_ITEM_BLACKFLUTE</v>
      </c>
      <c r="B221" s="3" t="s">
        <v>24294</v>
      </c>
      <c r="C221" s="3" t="s">
        <v>24295</v>
      </c>
      <c r="D221" s="3" t="s">
        <v>24296</v>
      </c>
      <c r="E221" s="3" t="s">
        <v>24297</v>
      </c>
      <c r="F221" s="3" t="s">
        <v>24298</v>
      </c>
      <c r="G221" s="3" t="s">
        <v>24299</v>
      </c>
      <c r="H221" s="3" t="s">
        <v>24300</v>
      </c>
      <c r="I221" s="3" t="s">
        <v>24301</v>
      </c>
      <c r="J221" s="5" t="str">
        <f t="shared" ref="J221:J222" si="26">I221</f>
        <v>黑色玻璃哨</v>
      </c>
    </row>
    <row r="222">
      <c r="A222" s="5" t="str">
        <f t="shared" si="17"/>
        <v>NAME_ITEM_WHITEFLUTE</v>
      </c>
      <c r="B222" s="3" t="s">
        <v>24302</v>
      </c>
      <c r="C222" s="3" t="s">
        <v>24303</v>
      </c>
      <c r="D222" s="3" t="s">
        <v>24304</v>
      </c>
      <c r="E222" s="3" t="s">
        <v>24305</v>
      </c>
      <c r="F222" s="3" t="s">
        <v>24306</v>
      </c>
      <c r="G222" s="3" t="s">
        <v>24307</v>
      </c>
      <c r="H222" s="3" t="s">
        <v>24308</v>
      </c>
      <c r="I222" s="3" t="s">
        <v>24309</v>
      </c>
      <c r="J222" s="5" t="str">
        <f t="shared" si="26"/>
        <v>白色玻璃哨</v>
      </c>
    </row>
    <row r="223">
      <c r="A223" s="5" t="str">
        <f t="shared" si="17"/>
        <v>NAME_ITEM_SHOALSALT</v>
      </c>
      <c r="B223" s="3" t="s">
        <v>24310</v>
      </c>
      <c r="C223" s="3" t="s">
        <v>24311</v>
      </c>
      <c r="D223" s="3" t="s">
        <v>24312</v>
      </c>
      <c r="E223" s="3" t="s">
        <v>24313</v>
      </c>
      <c r="F223" s="3" t="s">
        <v>24314</v>
      </c>
      <c r="G223" s="3" t="s">
        <v>24315</v>
      </c>
      <c r="H223" s="3" t="s">
        <v>24316</v>
      </c>
      <c r="I223" s="3" t="s">
        <v>24317</v>
      </c>
      <c r="J223" s="5" t="str">
        <f>IFERROR(__xludf.DUMMYFUNCTION("GOOGLETRANSLATE(I223,""zh_HANT"",""zh_HANS"")"),"浅滩海盐")</f>
        <v>浅滩海盐</v>
      </c>
    </row>
    <row r="224">
      <c r="A224" s="5" t="str">
        <f t="shared" si="17"/>
        <v>NAME_ITEM_SHOALSHELL</v>
      </c>
      <c r="B224" s="3" t="s">
        <v>24318</v>
      </c>
      <c r="C224" s="3" t="s">
        <v>24319</v>
      </c>
      <c r="D224" s="3" t="s">
        <v>24320</v>
      </c>
      <c r="E224" s="3" t="s">
        <v>24321</v>
      </c>
      <c r="F224" s="3" t="s">
        <v>24322</v>
      </c>
      <c r="G224" s="3" t="s">
        <v>24323</v>
      </c>
      <c r="H224" s="3" t="s">
        <v>24324</v>
      </c>
      <c r="I224" s="3" t="s">
        <v>24325</v>
      </c>
      <c r="J224" s="5" t="str">
        <f>IFERROR(__xludf.DUMMYFUNCTION("GOOGLETRANSLATE(I224,""zh_HANT"",""zh_HANS"")"),"浅滩贝壳")</f>
        <v>浅滩贝壳</v>
      </c>
    </row>
    <row r="225">
      <c r="A225" s="5" t="str">
        <f t="shared" si="17"/>
        <v>NAME_ITEM_REDSHARD</v>
      </c>
      <c r="B225" s="3" t="s">
        <v>24326</v>
      </c>
      <c r="C225" s="3" t="s">
        <v>24327</v>
      </c>
      <c r="D225" s="3" t="s">
        <v>24328</v>
      </c>
      <c r="E225" s="3" t="s">
        <v>24329</v>
      </c>
      <c r="F225" s="3" t="s">
        <v>24330</v>
      </c>
      <c r="G225" s="3" t="s">
        <v>24331</v>
      </c>
      <c r="H225" s="3" t="s">
        <v>24332</v>
      </c>
      <c r="I225" s="3" t="s">
        <v>24333</v>
      </c>
      <c r="J225" s="5" t="str">
        <f>IFERROR(__xludf.DUMMYFUNCTION("GOOGLETRANSLATE(I225,""zh_HANT"",""zh_HANS"")"),"红色碎片")</f>
        <v>红色碎片</v>
      </c>
    </row>
    <row r="226">
      <c r="A226" s="5" t="str">
        <f t="shared" si="17"/>
        <v>NAME_ITEM_BLUESHARD</v>
      </c>
      <c r="B226" s="3" t="s">
        <v>24334</v>
      </c>
      <c r="C226" s="3" t="s">
        <v>24335</v>
      </c>
      <c r="D226" s="3" t="s">
        <v>24336</v>
      </c>
      <c r="E226" s="3" t="s">
        <v>24337</v>
      </c>
      <c r="F226" s="3" t="s">
        <v>24338</v>
      </c>
      <c r="G226" s="3" t="s">
        <v>24339</v>
      </c>
      <c r="H226" s="3" t="s">
        <v>24340</v>
      </c>
      <c r="I226" s="3" t="s">
        <v>24341</v>
      </c>
      <c r="J226" s="5" t="str">
        <f>IFERROR(__xludf.DUMMYFUNCTION("GOOGLETRANSLATE(I226,""zh_HANT"",""zh_HANS"")"),"蓝色碎片")</f>
        <v>蓝色碎片</v>
      </c>
    </row>
    <row r="227">
      <c r="A227" s="5" t="str">
        <f t="shared" si="17"/>
        <v>NAME_ITEM_YELLOWSHARD</v>
      </c>
      <c r="B227" s="3" t="s">
        <v>24342</v>
      </c>
      <c r="C227" s="3" t="s">
        <v>24343</v>
      </c>
      <c r="D227" s="3" t="s">
        <v>24344</v>
      </c>
      <c r="E227" s="3" t="s">
        <v>24345</v>
      </c>
      <c r="F227" s="3" t="s">
        <v>24346</v>
      </c>
      <c r="G227" s="3" t="s">
        <v>24347</v>
      </c>
      <c r="H227" s="3" t="s">
        <v>24348</v>
      </c>
      <c r="I227" s="3" t="s">
        <v>24349</v>
      </c>
      <c r="J227" s="5" t="str">
        <f>IFERROR(__xludf.DUMMYFUNCTION("GOOGLETRANSLATE(I227,""zh_HANT"",""zh_HANS"")"),"黄色碎片")</f>
        <v>黄色碎片</v>
      </c>
    </row>
    <row r="228">
      <c r="A228" s="5" t="str">
        <f t="shared" si="17"/>
        <v>NAME_ITEM_GREENSHARD</v>
      </c>
      <c r="B228" s="3" t="s">
        <v>24350</v>
      </c>
      <c r="C228" s="3" t="s">
        <v>24351</v>
      </c>
      <c r="D228" s="3" t="s">
        <v>24352</v>
      </c>
      <c r="E228" s="3" t="s">
        <v>24353</v>
      </c>
      <c r="F228" s="3" t="s">
        <v>24354</v>
      </c>
      <c r="G228" s="3" t="s">
        <v>24355</v>
      </c>
      <c r="H228" s="3" t="s">
        <v>24356</v>
      </c>
      <c r="I228" s="3" t="s">
        <v>24357</v>
      </c>
      <c r="J228" s="5" t="str">
        <f>IFERROR(__xludf.DUMMYFUNCTION("GOOGLETRANSLATE(I228,""zh_HANT"",""zh_HANS"")"),"绿色碎片")</f>
        <v>绿色碎片</v>
      </c>
    </row>
    <row r="229">
      <c r="A229" s="3" t="s">
        <v>24358</v>
      </c>
      <c r="B229" s="3" t="s">
        <v>24359</v>
      </c>
      <c r="C229" s="3" t="s">
        <v>24360</v>
      </c>
      <c r="D229" s="3" t="s">
        <v>24361</v>
      </c>
      <c r="E229" s="3" t="s">
        <v>24362</v>
      </c>
      <c r="F229" s="3" t="s">
        <v>24363</v>
      </c>
      <c r="G229" s="3" t="s">
        <v>24364</v>
      </c>
      <c r="H229" s="3" t="s">
        <v>24365</v>
      </c>
      <c r="I229" s="3" t="s">
        <v>24366</v>
      </c>
      <c r="J229" s="5" t="str">
        <f>IFERROR(__xludf.DUMMYFUNCTION("GOOGLETRANSLATE(I229,""zh_HANT"",""zh_HANS"")"),"学习装置")</f>
        <v>学习装置</v>
      </c>
    </row>
    <row r="230">
      <c r="A230" s="5" t="str">
        <f t="shared" ref="A230:A287" si="27">CONCATENATE("NAME_ITEM_", SUBSTITUTE(SUBSTITUTE(UPPER(B230), " ", ""), ".", ""))</f>
        <v>NAME_ITEM_HEARTSCALE</v>
      </c>
      <c r="B230" s="3" t="s">
        <v>24367</v>
      </c>
      <c r="C230" s="3" t="s">
        <v>24368</v>
      </c>
      <c r="D230" s="3" t="s">
        <v>24369</v>
      </c>
      <c r="E230" s="3" t="s">
        <v>24370</v>
      </c>
      <c r="F230" s="3" t="s">
        <v>24371</v>
      </c>
      <c r="G230" s="3" t="s">
        <v>24372</v>
      </c>
      <c r="H230" s="3" t="s">
        <v>24373</v>
      </c>
      <c r="I230" s="3" t="s">
        <v>24374</v>
      </c>
      <c r="J230" s="5" t="str">
        <f>IFERROR(__xludf.DUMMYFUNCTION("GOOGLETRANSLATE(I230,""zh_HANT"",""zh_HANS"")"),"心之鳞片")</f>
        <v>心之鳞片</v>
      </c>
    </row>
    <row r="231">
      <c r="A231" s="5" t="str">
        <f t="shared" si="27"/>
        <v>NAME_ITEM_GROWTHMULCH</v>
      </c>
      <c r="B231" s="3" t="s">
        <v>24375</v>
      </c>
      <c r="C231" s="3" t="s">
        <v>24376</v>
      </c>
      <c r="D231" s="3" t="s">
        <v>24377</v>
      </c>
      <c r="E231" s="3" t="s">
        <v>24378</v>
      </c>
      <c r="F231" s="3" t="s">
        <v>24379</v>
      </c>
      <c r="G231" s="3" t="s">
        <v>24380</v>
      </c>
      <c r="H231" s="3" t="s">
        <v>24381</v>
      </c>
      <c r="I231" s="3" t="s">
        <v>24382</v>
      </c>
      <c r="J231" s="5" t="str">
        <f>I231</f>
        <v>速速肥</v>
      </c>
    </row>
    <row r="232">
      <c r="A232" s="5" t="str">
        <f t="shared" si="27"/>
        <v>NAME_ITEM_DAMPMULCH</v>
      </c>
      <c r="B232" s="3" t="s">
        <v>24383</v>
      </c>
      <c r="C232" s="3" t="s">
        <v>24384</v>
      </c>
      <c r="D232" s="3" t="s">
        <v>24385</v>
      </c>
      <c r="E232" s="3" t="s">
        <v>24386</v>
      </c>
      <c r="F232" s="3" t="s">
        <v>24387</v>
      </c>
      <c r="G232" s="3" t="s">
        <v>24388</v>
      </c>
      <c r="H232" s="3" t="s">
        <v>24389</v>
      </c>
      <c r="I232" s="3" t="s">
        <v>24390</v>
      </c>
      <c r="J232" s="5" t="str">
        <f>IFERROR(__xludf.DUMMYFUNCTION("GOOGLETRANSLATE(I232,""zh_HANT"",""zh_HANS"")"),"湿湿肥")</f>
        <v>湿湿肥</v>
      </c>
    </row>
    <row r="233">
      <c r="A233" s="5" t="str">
        <f t="shared" si="27"/>
        <v>NAME_ITEM_STABLEMULCH</v>
      </c>
      <c r="B233" s="3" t="s">
        <v>24391</v>
      </c>
      <c r="C233" s="3" t="s">
        <v>24392</v>
      </c>
      <c r="D233" s="3" t="s">
        <v>24393</v>
      </c>
      <c r="E233" s="3" t="s">
        <v>24394</v>
      </c>
      <c r="F233" s="3" t="s">
        <v>24395</v>
      </c>
      <c r="G233" s="3" t="s">
        <v>24396</v>
      </c>
      <c r="H233" s="3" t="s">
        <v>24397</v>
      </c>
      <c r="I233" s="3" t="s">
        <v>24398</v>
      </c>
      <c r="J233" s="5" t="str">
        <f>I233</f>
        <v>久久肥</v>
      </c>
    </row>
    <row r="234">
      <c r="A234" s="5" t="str">
        <f t="shared" si="27"/>
        <v>NAME_ITEM_GOOEYMULCH</v>
      </c>
      <c r="B234" s="3" t="s">
        <v>24399</v>
      </c>
      <c r="C234" s="3" t="s">
        <v>24400</v>
      </c>
      <c r="D234" s="3" t="s">
        <v>24401</v>
      </c>
      <c r="E234" s="3" t="s">
        <v>24402</v>
      </c>
      <c r="F234" s="3" t="s">
        <v>24403</v>
      </c>
      <c r="G234" s="3" t="s">
        <v>24404</v>
      </c>
      <c r="H234" s="3" t="s">
        <v>24405</v>
      </c>
      <c r="I234" s="3" t="s">
        <v>24406</v>
      </c>
      <c r="J234" s="5" t="str">
        <f>IFERROR(__xludf.DUMMYFUNCTION("GOOGLETRANSLATE(I234,""zh_HANT"",""zh_HANS"")"),"黏黏肥")</f>
        <v>黏黏肥</v>
      </c>
    </row>
    <row r="235">
      <c r="A235" s="5" t="str">
        <f t="shared" si="27"/>
        <v>NAME_ITEM_ROOTFOSSIL</v>
      </c>
      <c r="B235" s="3" t="s">
        <v>24407</v>
      </c>
      <c r="C235" s="3" t="s">
        <v>24408</v>
      </c>
      <c r="D235" s="3" t="s">
        <v>24409</v>
      </c>
      <c r="E235" s="3" t="s">
        <v>24410</v>
      </c>
      <c r="F235" s="3" t="s">
        <v>24411</v>
      </c>
      <c r="G235" s="3" t="s">
        <v>24412</v>
      </c>
      <c r="H235" s="3" t="s">
        <v>24413</v>
      </c>
      <c r="I235" s="3" t="s">
        <v>24414</v>
      </c>
      <c r="J235" s="5" t="str">
        <f>IFERROR(__xludf.DUMMYFUNCTION("GOOGLETRANSLATE(I235,""zh_HANT"",""zh_HANS"")"),"根状化石")</f>
        <v>根状化石</v>
      </c>
    </row>
    <row r="236">
      <c r="A236" s="5" t="str">
        <f t="shared" si="27"/>
        <v>NAME_ITEM_CLAWFOSSIL</v>
      </c>
      <c r="B236" s="3" t="s">
        <v>24415</v>
      </c>
      <c r="C236" s="3" t="s">
        <v>24416</v>
      </c>
      <c r="D236" s="3" t="s">
        <v>24417</v>
      </c>
      <c r="E236" s="3" t="s">
        <v>24418</v>
      </c>
      <c r="F236" s="3" t="s">
        <v>24419</v>
      </c>
      <c r="G236" s="3" t="s">
        <v>24420</v>
      </c>
      <c r="H236" s="3" t="s">
        <v>24421</v>
      </c>
      <c r="I236" s="3" t="s">
        <v>24422</v>
      </c>
      <c r="J236" s="5" t="str">
        <f>I236</f>
        <v>爪子化石</v>
      </c>
    </row>
    <row r="237">
      <c r="A237" s="5" t="str">
        <f t="shared" si="27"/>
        <v>NAME_ITEM_HELIXFOSSIL</v>
      </c>
      <c r="B237" s="3" t="s">
        <v>24423</v>
      </c>
      <c r="C237" s="3" t="s">
        <v>24424</v>
      </c>
      <c r="D237" s="3" t="s">
        <v>24425</v>
      </c>
      <c r="E237" s="3" t="s">
        <v>24426</v>
      </c>
      <c r="F237" s="3" t="s">
        <v>24427</v>
      </c>
      <c r="G237" s="3" t="str">
        <f>CONCATENATE(E237,"e")</f>
        <v>Helixfossile</v>
      </c>
      <c r="H237" s="3" t="s">
        <v>24428</v>
      </c>
      <c r="I237" s="3" t="s">
        <v>24429</v>
      </c>
      <c r="J237" s="5" t="str">
        <f>IFERROR(__xludf.DUMMYFUNCTION("GOOGLETRANSLATE(I237,""zh_HANT"",""zh_HANS"")"),"贝壳化石")</f>
        <v>贝壳化石</v>
      </c>
    </row>
    <row r="238">
      <c r="A238" s="5" t="str">
        <f t="shared" si="27"/>
        <v>NAME_ITEM_DOMEFOSSIL</v>
      </c>
      <c r="B238" s="3" t="s">
        <v>24430</v>
      </c>
      <c r="C238" s="3" t="s">
        <v>24431</v>
      </c>
      <c r="D238" s="3" t="s">
        <v>24432</v>
      </c>
      <c r="E238" s="3" t="s">
        <v>24433</v>
      </c>
      <c r="F238" s="3" t="s">
        <v>24434</v>
      </c>
      <c r="G238" s="3" t="s">
        <v>24435</v>
      </c>
      <c r="H238" s="3" t="s">
        <v>24436</v>
      </c>
      <c r="I238" s="3" t="s">
        <v>24437</v>
      </c>
      <c r="J238" s="5" t="str">
        <f>IFERROR(__xludf.DUMMYFUNCTION("GOOGLETRANSLATE(I238,""zh_HANT"",""zh_HANS"")"),"甲壳化石")</f>
        <v>甲壳化石</v>
      </c>
    </row>
    <row r="239">
      <c r="A239" s="5" t="str">
        <f t="shared" si="27"/>
        <v>NAME_ITEM_OLDAMBER</v>
      </c>
      <c r="B239" s="3" t="s">
        <v>24438</v>
      </c>
      <c r="C239" s="3" t="s">
        <v>24439</v>
      </c>
      <c r="D239" s="3" t="s">
        <v>24440</v>
      </c>
      <c r="E239" s="3" t="s">
        <v>24441</v>
      </c>
      <c r="F239" s="3" t="s">
        <v>24442</v>
      </c>
      <c r="G239" s="3" t="s">
        <v>24443</v>
      </c>
      <c r="H239" s="3" t="s">
        <v>24444</v>
      </c>
      <c r="I239" s="3" t="s">
        <v>24445</v>
      </c>
      <c r="J239" s="5" t="str">
        <f t="shared" ref="J239:J240" si="28">I239</f>
        <v>秘密琥珀</v>
      </c>
    </row>
    <row r="240">
      <c r="A240" s="5" t="str">
        <f t="shared" si="27"/>
        <v>NAME_ITEM_ARMORFOSSIL</v>
      </c>
      <c r="B240" s="3" t="s">
        <v>24446</v>
      </c>
      <c r="C240" s="3" t="s">
        <v>24447</v>
      </c>
      <c r="D240" s="3" t="s">
        <v>24448</v>
      </c>
      <c r="E240" s="3" t="s">
        <v>24449</v>
      </c>
      <c r="F240" s="3" t="s">
        <v>24450</v>
      </c>
      <c r="G240" s="3" t="s">
        <v>24451</v>
      </c>
      <c r="H240" s="3" t="s">
        <v>24452</v>
      </c>
      <c r="I240" s="3" t="s">
        <v>24453</v>
      </c>
      <c r="J240" s="5" t="str">
        <f t="shared" si="28"/>
        <v>盾甲化石</v>
      </c>
    </row>
    <row r="241">
      <c r="A241" s="5" t="str">
        <f t="shared" si="27"/>
        <v>NAME_ITEM_SKULLFOSSIL</v>
      </c>
      <c r="B241" s="3" t="s">
        <v>24454</v>
      </c>
      <c r="C241" s="3" t="s">
        <v>24455</v>
      </c>
      <c r="D241" s="3" t="s">
        <v>24456</v>
      </c>
      <c r="E241" s="3" t="s">
        <v>24457</v>
      </c>
      <c r="F241" s="3" t="s">
        <v>24458</v>
      </c>
      <c r="G241" s="3" t="s">
        <v>24459</v>
      </c>
      <c r="H241" s="3" t="s">
        <v>24460</v>
      </c>
      <c r="I241" s="3" t="s">
        <v>24461</v>
      </c>
      <c r="J241" s="5" t="str">
        <f>IFERROR(__xludf.DUMMYFUNCTION("GOOGLETRANSLATE(I241,""zh_HANT"",""zh_HANS"")"),"头盖化石")</f>
        <v>头盖化石</v>
      </c>
    </row>
    <row r="242">
      <c r="A242" s="5" t="str">
        <f t="shared" si="27"/>
        <v>NAME_ITEM_ODDKEYSTONE</v>
      </c>
      <c r="B242" s="3" t="s">
        <v>24462</v>
      </c>
      <c r="C242" s="3" t="s">
        <v>24463</v>
      </c>
      <c r="D242" s="3" t="s">
        <v>24464</v>
      </c>
      <c r="E242" s="3" t="s">
        <v>24465</v>
      </c>
      <c r="F242" s="3" t="s">
        <v>24466</v>
      </c>
      <c r="G242" s="3" t="s">
        <v>24467</v>
      </c>
      <c r="H242" s="3" t="s">
        <v>24468</v>
      </c>
      <c r="I242" s="3" t="s">
        <v>24469</v>
      </c>
      <c r="J242" s="5" t="str">
        <f>I242</f>
        <v>楔石</v>
      </c>
    </row>
    <row r="243">
      <c r="A243" s="5" t="str">
        <f t="shared" si="27"/>
        <v>NAME_ITEM_COVERFOSSIL</v>
      </c>
      <c r="B243" s="3" t="s">
        <v>24470</v>
      </c>
      <c r="C243" s="3" t="s">
        <v>24471</v>
      </c>
      <c r="D243" s="3" t="s">
        <v>24472</v>
      </c>
      <c r="E243" s="3" t="s">
        <v>24473</v>
      </c>
      <c r="F243" s="3" t="s">
        <v>24474</v>
      </c>
      <c r="G243" s="3" t="s">
        <v>24475</v>
      </c>
      <c r="H243" s="3" t="s">
        <v>24476</v>
      </c>
      <c r="I243" s="3" t="s">
        <v>24477</v>
      </c>
      <c r="J243" s="5" t="str">
        <f>IFERROR(__xludf.DUMMYFUNCTION("GOOGLETRANSLATE(I243,""zh_HANT"",""zh_HANS"")"),"背盖化石")</f>
        <v>背盖化石</v>
      </c>
    </row>
    <row r="244">
      <c r="A244" s="5" t="str">
        <f t="shared" si="27"/>
        <v>NAME_ITEM_PLUMEFOSSIL</v>
      </c>
      <c r="B244" s="3" t="s">
        <v>24478</v>
      </c>
      <c r="C244" s="3" t="s">
        <v>24479</v>
      </c>
      <c r="D244" s="3" t="s">
        <v>24480</v>
      </c>
      <c r="E244" s="3" t="s">
        <v>24481</v>
      </c>
      <c r="F244" s="3" t="s">
        <v>24482</v>
      </c>
      <c r="G244" s="3" t="s">
        <v>24483</v>
      </c>
      <c r="H244" s="3" t="s">
        <v>24484</v>
      </c>
      <c r="I244" s="3" t="s">
        <v>24485</v>
      </c>
      <c r="J244" s="5" t="str">
        <f>I244</f>
        <v>羽毛化石</v>
      </c>
    </row>
    <row r="245">
      <c r="A245" s="5" t="str">
        <f t="shared" si="27"/>
        <v>NAME_ITEM_RICHMULCH</v>
      </c>
      <c r="B245" s="3" t="s">
        <v>24486</v>
      </c>
      <c r="C245" s="3" t="s">
        <v>24487</v>
      </c>
      <c r="D245" s="3" t="s">
        <v>24488</v>
      </c>
      <c r="E245" s="3" t="s">
        <v>24489</v>
      </c>
      <c r="F245" s="3" t="s">
        <v>24490</v>
      </c>
      <c r="G245" s="3" t="s">
        <v>24491</v>
      </c>
      <c r="H245" s="3" t="s">
        <v>24492</v>
      </c>
      <c r="I245" s="3" t="s">
        <v>24493</v>
      </c>
      <c r="J245" s="5" t="str">
        <f>IFERROR(__xludf.DUMMYFUNCTION("GOOGLETRANSLATE(I245,""zh_HANT"",""zh_HANS"")"),"硕果肥")</f>
        <v>硕果肥</v>
      </c>
    </row>
    <row r="246">
      <c r="A246" s="5" t="str">
        <f t="shared" si="27"/>
        <v>NAME_ITEM_SURPRISEMULCH</v>
      </c>
      <c r="B246" s="3" t="s">
        <v>24494</v>
      </c>
      <c r="C246" s="3" t="s">
        <v>24495</v>
      </c>
      <c r="D246" s="3" t="s">
        <v>24496</v>
      </c>
      <c r="E246" s="3" t="s">
        <v>24497</v>
      </c>
      <c r="F246" s="3" t="s">
        <v>24498</v>
      </c>
      <c r="G246" s="3" t="s">
        <v>24499</v>
      </c>
      <c r="H246" s="3" t="s">
        <v>24500</v>
      </c>
      <c r="I246" s="3" t="s">
        <v>24501</v>
      </c>
      <c r="J246" s="5" t="str">
        <f>IFERROR(__xludf.DUMMYFUNCTION("GOOGLETRANSLATE(I246,""zh_HANT"",""zh_HANS"")"),"吃惊肥")</f>
        <v>吃惊肥</v>
      </c>
    </row>
    <row r="247">
      <c r="A247" s="5" t="str">
        <f t="shared" si="27"/>
        <v>NAME_ITEM_BOOSTMULCH</v>
      </c>
      <c r="B247" s="3" t="s">
        <v>24502</v>
      </c>
      <c r="C247" s="3" t="s">
        <v>24503</v>
      </c>
      <c r="D247" s="3" t="s">
        <v>24504</v>
      </c>
      <c r="E247" s="3" t="s">
        <v>24505</v>
      </c>
      <c r="F247" s="3" t="s">
        <v>24506</v>
      </c>
      <c r="G247" s="3" t="s">
        <v>24507</v>
      </c>
      <c r="H247" s="3" t="s">
        <v>24508</v>
      </c>
      <c r="I247" s="3" t="s">
        <v>24509</v>
      </c>
      <c r="J247" s="5" t="str">
        <f>IFERROR(__xludf.DUMMYFUNCTION("GOOGLETRANSLATE(I247,""zh_HANT"",""zh_HANS"")"),"劲劲肥")</f>
        <v>劲劲肥</v>
      </c>
    </row>
    <row r="248">
      <c r="A248" s="5" t="str">
        <f t="shared" si="27"/>
        <v>NAME_ITEM_AMAZEMULCH</v>
      </c>
      <c r="B248" s="3" t="s">
        <v>24510</v>
      </c>
      <c r="C248" s="3" t="s">
        <v>24511</v>
      </c>
      <c r="D248" s="3" t="s">
        <v>24512</v>
      </c>
      <c r="E248" s="3" t="s">
        <v>24513</v>
      </c>
      <c r="F248" s="3" t="s">
        <v>24514</v>
      </c>
      <c r="G248" s="3" t="s">
        <v>24515</v>
      </c>
      <c r="H248" s="3" t="s">
        <v>24516</v>
      </c>
      <c r="I248" s="3" t="s">
        <v>24517</v>
      </c>
      <c r="J248" s="5" t="str">
        <f>I248</f>
        <v>超效肥</v>
      </c>
    </row>
    <row r="249">
      <c r="A249" s="5" t="str">
        <f t="shared" si="27"/>
        <v>NAME_ITEM_JAWFOSSIL</v>
      </c>
      <c r="B249" s="3" t="s">
        <v>24518</v>
      </c>
      <c r="C249" s="3" t="s">
        <v>24519</v>
      </c>
      <c r="D249" s="3" t="s">
        <v>24520</v>
      </c>
      <c r="E249" s="3" t="s">
        <v>24521</v>
      </c>
      <c r="F249" s="3" t="s">
        <v>24522</v>
      </c>
      <c r="G249" s="3" t="s">
        <v>24523</v>
      </c>
      <c r="H249" s="3" t="s">
        <v>24524</v>
      </c>
      <c r="I249" s="3" t="s">
        <v>24525</v>
      </c>
      <c r="J249" s="5" t="str">
        <f>IFERROR(__xludf.DUMMYFUNCTION("GOOGLETRANSLATE(I249,""zh_HANT"",""zh_HANS"")"),"颚之化石")</f>
        <v>颚之化石</v>
      </c>
    </row>
    <row r="250">
      <c r="A250" s="5" t="str">
        <f t="shared" si="27"/>
        <v>NAME_ITEM_SAILFOSSIL</v>
      </c>
      <c r="B250" s="3" t="s">
        <v>24526</v>
      </c>
      <c r="C250" s="3" t="s">
        <v>24527</v>
      </c>
      <c r="D250" s="3" t="s">
        <v>24528</v>
      </c>
      <c r="E250" s="3" t="s">
        <v>24529</v>
      </c>
      <c r="F250" s="3" t="s">
        <v>24530</v>
      </c>
      <c r="G250" s="3" t="s">
        <v>24531</v>
      </c>
      <c r="H250" s="3" t="s">
        <v>24532</v>
      </c>
      <c r="I250" s="3" t="s">
        <v>24533</v>
      </c>
      <c r="J250" s="5" t="str">
        <f>IFERROR(__xludf.DUMMYFUNCTION("GOOGLETRANSLATE(I250,""zh_HANT"",""zh_HANS"")"),"鳍之化石")</f>
        <v>鳍之化石</v>
      </c>
    </row>
    <row r="251">
      <c r="A251" s="5" t="str">
        <f t="shared" si="27"/>
        <v>NAME_ITEM_REDNECTAR</v>
      </c>
      <c r="B251" s="3" t="s">
        <v>24534</v>
      </c>
      <c r="C251" s="3" t="s">
        <v>24535</v>
      </c>
      <c r="D251" s="3" t="s">
        <v>24536</v>
      </c>
      <c r="E251" s="3" t="s">
        <v>24537</v>
      </c>
      <c r="F251" s="3" t="s">
        <v>24538</v>
      </c>
      <c r="G251" s="3" t="s">
        <v>24539</v>
      </c>
      <c r="H251" s="3" t="s">
        <v>24540</v>
      </c>
      <c r="I251" s="3" t="s">
        <v>24541</v>
      </c>
      <c r="J251" s="5" t="str">
        <f>IFERROR(__xludf.DUMMYFUNCTION("GOOGLETRANSLATE(I251,""zh_HANT"",""zh_HANS"")"),"朱红色花蜜")</f>
        <v>朱红色花蜜</v>
      </c>
    </row>
    <row r="252">
      <c r="A252" s="5" t="str">
        <f t="shared" si="27"/>
        <v>NAME_ITEM_YELLOWNECTAR</v>
      </c>
      <c r="B252" s="3" t="s">
        <v>24542</v>
      </c>
      <c r="C252" s="3" t="s">
        <v>24543</v>
      </c>
      <c r="D252" s="3" t="s">
        <v>24544</v>
      </c>
      <c r="E252" s="3" t="s">
        <v>24545</v>
      </c>
      <c r="F252" s="3" t="s">
        <v>24546</v>
      </c>
      <c r="G252" s="3" t="s">
        <v>24547</v>
      </c>
      <c r="H252" s="3" t="s">
        <v>24548</v>
      </c>
      <c r="I252" s="3" t="s">
        <v>24549</v>
      </c>
      <c r="J252" s="5" t="str">
        <f>IFERROR(__xludf.DUMMYFUNCTION("GOOGLETRANSLATE(I252,""zh_HANT"",""zh_HANS"")"),"金黄色花蜜")</f>
        <v>金黄色花蜜</v>
      </c>
    </row>
    <row r="253">
      <c r="A253" s="5" t="str">
        <f t="shared" si="27"/>
        <v>NAME_ITEM_PINKNECTAR</v>
      </c>
      <c r="B253" s="3" t="s">
        <v>24550</v>
      </c>
      <c r="C253" s="3" t="s">
        <v>24551</v>
      </c>
      <c r="D253" s="3" t="s">
        <v>24552</v>
      </c>
      <c r="E253" s="3" t="s">
        <v>24553</v>
      </c>
      <c r="F253" s="3" t="s">
        <v>24554</v>
      </c>
      <c r="G253" s="3" t="s">
        <v>24555</v>
      </c>
      <c r="H253" s="3" t="s">
        <v>24556</v>
      </c>
      <c r="I253" s="3" t="s">
        <v>24557</v>
      </c>
      <c r="J253" s="5" t="str">
        <f>I253</f>
        <v>桃粉色花蜜</v>
      </c>
    </row>
    <row r="254">
      <c r="A254" s="5" t="str">
        <f t="shared" si="27"/>
        <v>NAME_ITEM_PURPLENECTAR</v>
      </c>
      <c r="B254" s="3" t="s">
        <v>24558</v>
      </c>
      <c r="C254" s="3" t="s">
        <v>24559</v>
      </c>
      <c r="D254" s="3" t="s">
        <v>24560</v>
      </c>
      <c r="E254" s="3" t="s">
        <v>24561</v>
      </c>
      <c r="F254" s="3" t="s">
        <v>24562</v>
      </c>
      <c r="G254" s="3" t="s">
        <v>24563</v>
      </c>
      <c r="H254" s="3" t="s">
        <v>24564</v>
      </c>
      <c r="I254" s="3" t="s">
        <v>24565</v>
      </c>
      <c r="J254" s="5" t="str">
        <f>IFERROR(__xludf.DUMMYFUNCTION("GOOGLETRANSLATE(I254,""zh_HANT"",""zh_HANS"")"),"兰紫色花蜜")</f>
        <v>兰紫色花蜜</v>
      </c>
    </row>
    <row r="255">
      <c r="A255" s="5" t="str">
        <f t="shared" si="27"/>
        <v>NAME_ITEM_FOSSILIZEDBIRD</v>
      </c>
      <c r="B255" s="3" t="s">
        <v>24566</v>
      </c>
      <c r="C255" s="9" t="s">
        <v>24567</v>
      </c>
      <c r="D255" s="3" t="s">
        <v>24568</v>
      </c>
      <c r="E255" s="3" t="s">
        <v>24569</v>
      </c>
      <c r="F255" s="3" t="s">
        <v>24570</v>
      </c>
      <c r="G255" s="3" t="s">
        <v>24571</v>
      </c>
      <c r="H255" s="3" t="s">
        <v>24572</v>
      </c>
      <c r="I255" s="3" t="s">
        <v>24573</v>
      </c>
      <c r="J255" s="5" t="str">
        <f>IFERROR(__xludf.DUMMYFUNCTION("GOOGLETRANSLATE(I255,""zh_HANT"",""zh_HANS"")"),"化石鸟")</f>
        <v>化石鸟</v>
      </c>
    </row>
    <row r="256">
      <c r="A256" s="5" t="str">
        <f t="shared" si="27"/>
        <v>NAME_ITEM_FOSSILIZEDFISH</v>
      </c>
      <c r="B256" s="3" t="s">
        <v>24574</v>
      </c>
      <c r="C256" s="9" t="s">
        <v>24575</v>
      </c>
      <c r="D256" s="3" t="s">
        <v>24576</v>
      </c>
      <c r="E256" s="3" t="s">
        <v>24577</v>
      </c>
      <c r="F256" s="3" t="s">
        <v>24578</v>
      </c>
      <c r="G256" s="3" t="s">
        <v>24579</v>
      </c>
      <c r="H256" s="3" t="s">
        <v>24580</v>
      </c>
      <c r="I256" s="3" t="s">
        <v>24581</v>
      </c>
      <c r="J256" s="5" t="str">
        <f>IFERROR(__xludf.DUMMYFUNCTION("GOOGLETRANSLATE(I256,""zh_HANT"",""zh_HANS"")"),"化石鱼")</f>
        <v>化石鱼</v>
      </c>
    </row>
    <row r="257">
      <c r="A257" s="5" t="str">
        <f t="shared" si="27"/>
        <v>NAME_ITEM_FOSSILIZEDDRAKE</v>
      </c>
      <c r="B257" s="3" t="s">
        <v>24582</v>
      </c>
      <c r="C257" s="9" t="s">
        <v>24583</v>
      </c>
      <c r="D257" s="3" t="s">
        <v>24584</v>
      </c>
      <c r="E257" s="3" t="s">
        <v>24585</v>
      </c>
      <c r="F257" s="3" t="s">
        <v>24586</v>
      </c>
      <c r="G257" s="3" t="s">
        <v>24587</v>
      </c>
      <c r="H257" s="3" t="s">
        <v>24588</v>
      </c>
      <c r="I257" s="3" t="s">
        <v>24589</v>
      </c>
      <c r="J257" s="5" t="str">
        <f>IFERROR(__xludf.DUMMYFUNCTION("GOOGLETRANSLATE(I257,""zh_HANT"",""zh_HANS"")"),"化石龙")</f>
        <v>化石龙</v>
      </c>
    </row>
    <row r="258">
      <c r="A258" s="5" t="str">
        <f t="shared" si="27"/>
        <v>NAME_ITEM_FOSSILIZEDDINO</v>
      </c>
      <c r="B258" s="3" t="s">
        <v>24590</v>
      </c>
      <c r="C258" s="9" t="s">
        <v>24591</v>
      </c>
      <c r="D258" s="3" t="s">
        <v>24592</v>
      </c>
      <c r="E258" s="3" t="s">
        <v>24593</v>
      </c>
      <c r="F258" s="3" t="s">
        <v>24594</v>
      </c>
      <c r="G258" s="3" t="s">
        <v>24595</v>
      </c>
      <c r="H258" s="3" t="s">
        <v>24596</v>
      </c>
      <c r="I258" s="3" t="s">
        <v>24597</v>
      </c>
      <c r="J258" s="5" t="str">
        <f>IFERROR(__xludf.DUMMYFUNCTION("GOOGLETRANSLATE(I258,""zh_HANT"",""zh_HANS"")"),"化石海兽")</f>
        <v>化石海兽</v>
      </c>
    </row>
    <row r="259">
      <c r="A259" s="5" t="str">
        <f t="shared" si="27"/>
        <v>NAME_ITEM_SWEETAPPLE</v>
      </c>
      <c r="B259" s="3" t="s">
        <v>24598</v>
      </c>
      <c r="C259" s="3" t="s">
        <v>24599</v>
      </c>
      <c r="D259" s="3" t="s">
        <v>24600</v>
      </c>
      <c r="E259" s="3" t="s">
        <v>24601</v>
      </c>
      <c r="F259" s="3" t="s">
        <v>24602</v>
      </c>
      <c r="G259" s="3" t="s">
        <v>24603</v>
      </c>
      <c r="H259" s="3" t="s">
        <v>24604</v>
      </c>
      <c r="I259" s="3" t="s">
        <v>24605</v>
      </c>
      <c r="J259" s="5" t="str">
        <f>IFERROR(__xludf.DUMMYFUNCTION("GOOGLETRANSLATE(I259,""zh_HANT"",""zh_HANS"")"),"甜甜苹果")</f>
        <v>甜甜苹果</v>
      </c>
    </row>
    <row r="260">
      <c r="A260" s="5" t="str">
        <f t="shared" si="27"/>
        <v>NAME_ITEM_TARTAPPLE</v>
      </c>
      <c r="B260" s="3" t="s">
        <v>24606</v>
      </c>
      <c r="C260" s="3" t="s">
        <v>24607</v>
      </c>
      <c r="D260" s="3" t="s">
        <v>24608</v>
      </c>
      <c r="E260" s="3" t="s">
        <v>24609</v>
      </c>
      <c r="F260" s="3" t="s">
        <v>24610</v>
      </c>
      <c r="G260" s="3" t="s">
        <v>24611</v>
      </c>
      <c r="H260" s="3" t="s">
        <v>24612</v>
      </c>
      <c r="I260" s="3" t="s">
        <v>24613</v>
      </c>
      <c r="J260" s="5" t="str">
        <f>IFERROR(__xludf.DUMMYFUNCTION("GOOGLETRANSLATE(I260,""zh_HANT"",""zh_HANS"")"),"酸酸苹果")</f>
        <v>酸酸苹果</v>
      </c>
    </row>
    <row r="261">
      <c r="A261" s="5" t="str">
        <f t="shared" si="27"/>
        <v>NAME_ITEM_CRACKEDPOT</v>
      </c>
      <c r="B261" s="3" t="s">
        <v>24614</v>
      </c>
      <c r="C261" s="3" t="s">
        <v>24615</v>
      </c>
      <c r="D261" s="3" t="s">
        <v>24616</v>
      </c>
      <c r="E261" s="3" t="s">
        <v>24617</v>
      </c>
      <c r="F261" s="3" t="s">
        <v>24618</v>
      </c>
      <c r="G261" s="3" t="s">
        <v>24619</v>
      </c>
      <c r="H261" s="3" t="s">
        <v>24620</v>
      </c>
      <c r="I261" s="3" t="s">
        <v>24621</v>
      </c>
      <c r="J261" s="5" t="str">
        <f>IFERROR(__xludf.DUMMYFUNCTION("GOOGLETRANSLATE(I261,""zh_HANT"",""zh_HANS"")"),"破裂的茶壶")</f>
        <v>破裂的茶壶</v>
      </c>
    </row>
    <row r="262">
      <c r="A262" s="5" t="str">
        <f t="shared" si="27"/>
        <v>NAME_ITEM_CHIPPEDPOT</v>
      </c>
      <c r="B262" s="3" t="s">
        <v>24622</v>
      </c>
      <c r="C262" s="3" t="s">
        <v>24623</v>
      </c>
      <c r="D262" s="3" t="s">
        <v>24624</v>
      </c>
      <c r="E262" s="3" t="s">
        <v>24625</v>
      </c>
      <c r="F262" s="3" t="s">
        <v>24626</v>
      </c>
      <c r="G262" s="3" t="s">
        <v>24627</v>
      </c>
      <c r="H262" s="3" t="s">
        <v>24628</v>
      </c>
      <c r="I262" s="3" t="s">
        <v>24629</v>
      </c>
      <c r="J262" s="5" t="str">
        <f>IFERROR(__xludf.DUMMYFUNCTION("GOOGLETRANSLATE(I262,""zh_HANT"",""zh_HANS"")"),"缺损的茶壶")</f>
        <v>缺损的茶壶</v>
      </c>
    </row>
    <row r="263">
      <c r="A263" s="5" t="str">
        <f t="shared" si="27"/>
        <v>NAME_ITEM_GALARICACUFF</v>
      </c>
      <c r="B263" s="3" t="s">
        <v>24630</v>
      </c>
      <c r="C263" s="3" t="s">
        <v>24631</v>
      </c>
      <c r="D263" s="3" t="s">
        <v>24632</v>
      </c>
      <c r="E263" s="3" t="s">
        <v>24633</v>
      </c>
      <c r="F263" s="3" t="s">
        <v>24634</v>
      </c>
      <c r="G263" s="3" t="s">
        <v>24635</v>
      </c>
      <c r="H263" s="3" t="s">
        <v>24636</v>
      </c>
      <c r="I263" s="3" t="s">
        <v>24637</v>
      </c>
      <c r="J263" s="5" t="str">
        <f>IFERROR(__xludf.DUMMYFUNCTION("GOOGLETRANSLATE(I263,""zh_HANT"",""zh_HANS"")"),"伽勒豆蔻手环")</f>
        <v>伽勒豆蔻手环</v>
      </c>
    </row>
    <row r="264">
      <c r="A264" s="5" t="str">
        <f t="shared" si="27"/>
        <v>NAME_ITEM_GALARICAWREATH</v>
      </c>
      <c r="B264" s="3" t="s">
        <v>24638</v>
      </c>
      <c r="C264" s="3" t="s">
        <v>24639</v>
      </c>
      <c r="D264" s="3" t="s">
        <v>24640</v>
      </c>
      <c r="E264" s="3" t="s">
        <v>24641</v>
      </c>
      <c r="F264" s="3" t="s">
        <v>24642</v>
      </c>
      <c r="G264" s="3" t="s">
        <v>24643</v>
      </c>
      <c r="H264" s="3" t="s">
        <v>24644</v>
      </c>
      <c r="I264" s="3" t="s">
        <v>24645</v>
      </c>
      <c r="J264" s="5" t="str">
        <f>IFERROR(__xludf.DUMMYFUNCTION("GOOGLETRANSLATE(I264,""zh_HANT"",""zh_HANS"")"),"伽勒豆蔻花圈")</f>
        <v>伽勒豆蔻花圈</v>
      </c>
    </row>
    <row r="265">
      <c r="A265" s="5" t="str">
        <f t="shared" si="27"/>
        <v>NAME_ITEM_LINKINGCORD</v>
      </c>
      <c r="B265" s="3" t="s">
        <v>24646</v>
      </c>
      <c r="C265" s="3" t="s">
        <v>24647</v>
      </c>
      <c r="D265" s="3" t="s">
        <v>24648</v>
      </c>
      <c r="E265" s="3" t="s">
        <v>24649</v>
      </c>
      <c r="F265" s="3" t="s">
        <v>24650</v>
      </c>
      <c r="G265" s="3" t="s">
        <v>24651</v>
      </c>
      <c r="H265" s="3" t="s">
        <v>24652</v>
      </c>
      <c r="I265" s="3" t="str">
        <f>IFERROR(__xludf.DUMMYFUNCTION("GOOGLETRANSLATE(J265,""zh_HANS"",""zh_HANT"")"),"聯繫繩")</f>
        <v>聯繫繩</v>
      </c>
      <c r="J265" s="3" t="s">
        <v>24653</v>
      </c>
    </row>
    <row r="266">
      <c r="A266" s="5" t="str">
        <f t="shared" si="27"/>
        <v>NAME_ITEM_BLACKAUGURITE</v>
      </c>
      <c r="B266" s="3" t="s">
        <v>24654</v>
      </c>
      <c r="C266" s="3" t="s">
        <v>24655</v>
      </c>
      <c r="D266" s="3" t="s">
        <v>24656</v>
      </c>
      <c r="E266" s="3" t="s">
        <v>24657</v>
      </c>
      <c r="F266" s="3" t="s">
        <v>24658</v>
      </c>
      <c r="G266" s="3" t="s">
        <v>24659</v>
      </c>
      <c r="H266" s="3" t="s">
        <v>24660</v>
      </c>
      <c r="I266" s="5" t="str">
        <f>J266</f>
        <v>黑奇石</v>
      </c>
      <c r="J266" s="27" t="s">
        <v>24661</v>
      </c>
    </row>
    <row r="267">
      <c r="A267" s="5" t="str">
        <f t="shared" si="27"/>
        <v>NAME_ITEM_PEATBLOCK</v>
      </c>
      <c r="B267" s="3" t="s">
        <v>24662</v>
      </c>
      <c r="C267" s="3" t="s">
        <v>24663</v>
      </c>
      <c r="D267" s="3" t="s">
        <v>24664</v>
      </c>
      <c r="E267" s="3" t="s">
        <v>24665</v>
      </c>
      <c r="F267" s="3" t="s">
        <v>24666</v>
      </c>
      <c r="G267" s="3" t="s">
        <v>24667</v>
      </c>
      <c r="H267" s="3" t="s">
        <v>24668</v>
      </c>
      <c r="I267" s="3" t="str">
        <f>IFERROR(__xludf.DUMMYFUNCTION("GOOGLETRANSLATE(J267,""zh_HANS"",""zh_HANT"")"),"泥炭塊")</f>
        <v>泥炭塊</v>
      </c>
      <c r="J267" s="3" t="s">
        <v>24669</v>
      </c>
    </row>
    <row r="268">
      <c r="A268" s="5" t="str">
        <f t="shared" si="27"/>
        <v>NAME_ITEM_SCROLLOFDARKNESS</v>
      </c>
      <c r="B268" s="3" t="s">
        <v>24670</v>
      </c>
      <c r="C268" s="3" t="s">
        <v>24671</v>
      </c>
      <c r="D268" s="3" t="s">
        <v>24672</v>
      </c>
      <c r="E268" s="3" t="s">
        <v>24673</v>
      </c>
      <c r="F268" s="3" t="s">
        <v>24674</v>
      </c>
      <c r="G268" s="3" t="s">
        <v>24675</v>
      </c>
      <c r="H268" s="3" t="s">
        <v>24676</v>
      </c>
      <c r="I268" s="3" t="str">
        <f>IFERROR(__xludf.DUMMYFUNCTION("GOOGLETRANSLATE(J268,""zh_HANS"",""zh_HANT"")"),"惡之掛軸")</f>
        <v>惡之掛軸</v>
      </c>
      <c r="J268" s="3" t="s">
        <v>24677</v>
      </c>
    </row>
    <row r="269">
      <c r="A269" s="5" t="str">
        <f t="shared" si="27"/>
        <v>NAME_ITEM_SCROLLOFWATERS</v>
      </c>
      <c r="B269" s="3" t="s">
        <v>24678</v>
      </c>
      <c r="C269" s="3" t="s">
        <v>24679</v>
      </c>
      <c r="D269" s="3" t="s">
        <v>24680</v>
      </c>
      <c r="E269" s="3" t="s">
        <v>24681</v>
      </c>
      <c r="F269" s="3" t="s">
        <v>24682</v>
      </c>
      <c r="G269" s="3" t="s">
        <v>24683</v>
      </c>
      <c r="H269" s="3" t="s">
        <v>24684</v>
      </c>
      <c r="I269" s="3" t="str">
        <f>IFERROR(__xludf.DUMMYFUNCTION("GOOGLETRANSLATE(J269,""zh_HANS"",""zh_HANT"")"),"水之掛軸")</f>
        <v>水之掛軸</v>
      </c>
      <c r="J269" s="3" t="s">
        <v>24685</v>
      </c>
    </row>
    <row r="270">
      <c r="A270" s="5" t="str">
        <f t="shared" si="27"/>
        <v>NAME_ITEM_MALICIOUSARMOR</v>
      </c>
      <c r="B270" s="3" t="s">
        <v>24686</v>
      </c>
      <c r="C270" s="3" t="s">
        <v>24687</v>
      </c>
      <c r="D270" s="3" t="s">
        <v>24688</v>
      </c>
      <c r="E270" s="3" t="s">
        <v>24689</v>
      </c>
      <c r="F270" s="3" t="s">
        <v>24690</v>
      </c>
      <c r="G270" s="3" t="s">
        <v>24691</v>
      </c>
      <c r="H270" s="3" t="s">
        <v>24692</v>
      </c>
      <c r="I270" s="3" t="str">
        <f>IFERROR(__xludf.DUMMYFUNCTION("GOOGLETRANSLATE(J270,""zh_HANS"",""zh_HANT"")"),"詛咒之鎧")</f>
        <v>詛咒之鎧</v>
      </c>
      <c r="J270" s="3" t="s">
        <v>24693</v>
      </c>
    </row>
    <row r="271">
      <c r="A271" s="5" t="str">
        <f t="shared" si="27"/>
        <v>NAME_ITEM_AUSPICIOUSARMOR</v>
      </c>
      <c r="B271" s="3" t="s">
        <v>24694</v>
      </c>
      <c r="C271" s="3" t="s">
        <v>24695</v>
      </c>
      <c r="D271" s="3" t="s">
        <v>24696</v>
      </c>
      <c r="E271" s="3" t="s">
        <v>24697</v>
      </c>
      <c r="F271" s="3" t="s">
        <v>24698</v>
      </c>
      <c r="G271" s="3" t="s">
        <v>24699</v>
      </c>
      <c r="H271" s="3" t="s">
        <v>24700</v>
      </c>
      <c r="I271" s="3" t="str">
        <f>IFERROR(__xludf.DUMMYFUNCTION("GOOGLETRANSLATE(J271,""zh_HANS"",""zh_HANT"")"),"慶祝之鎧")</f>
        <v>慶祝之鎧</v>
      </c>
      <c r="J271" s="3" t="s">
        <v>24701</v>
      </c>
    </row>
    <row r="272">
      <c r="A272" s="5" t="str">
        <f t="shared" si="27"/>
        <v>NAME_ITEM_SYRUPYAPPLE</v>
      </c>
      <c r="B272" s="3" t="s">
        <v>24702</v>
      </c>
      <c r="C272" s="3" t="s">
        <v>24703</v>
      </c>
      <c r="D272" s="3" t="s">
        <v>24704</v>
      </c>
      <c r="E272" s="3" t="s">
        <v>24705</v>
      </c>
      <c r="F272" s="3" t="s">
        <v>24706</v>
      </c>
      <c r="G272" s="3" t="s">
        <v>24707</v>
      </c>
      <c r="H272" s="3" t="s">
        <v>24708</v>
      </c>
      <c r="I272" s="3" t="str">
        <f>IFERROR(__xludf.DUMMYFUNCTION("GOOGLETRANSLATE(J272,""zh_HANS"",""zh_HANT"")"),"蜜汁蘋果")</f>
        <v>蜜汁蘋果</v>
      </c>
      <c r="J272" s="3" t="s">
        <v>24709</v>
      </c>
    </row>
    <row r="273">
      <c r="A273" s="5" t="str">
        <f t="shared" si="27"/>
        <v>NAME_ITEM_UNREMARKABLETEACUP</v>
      </c>
      <c r="B273" s="3" t="s">
        <v>24710</v>
      </c>
      <c r="C273" s="3" t="s">
        <v>24711</v>
      </c>
      <c r="D273" s="3" t="s">
        <v>24712</v>
      </c>
      <c r="E273" s="3" t="s">
        <v>24713</v>
      </c>
      <c r="F273" s="3" t="s">
        <v>24714</v>
      </c>
      <c r="G273" s="3" t="s">
        <v>24715</v>
      </c>
      <c r="H273" s="3" t="s">
        <v>24716</v>
      </c>
      <c r="I273" s="3" t="str">
        <f>J273</f>
        <v>凡作茶碗</v>
      </c>
      <c r="J273" s="3" t="s">
        <v>24717</v>
      </c>
    </row>
    <row r="274">
      <c r="A274" s="5" t="str">
        <f t="shared" si="27"/>
        <v>NAME_ITEM_MASTERPIECETEACUP</v>
      </c>
      <c r="B274" s="3" t="s">
        <v>24718</v>
      </c>
      <c r="C274" s="3" t="s">
        <v>24719</v>
      </c>
      <c r="D274" s="3" t="s">
        <v>24720</v>
      </c>
      <c r="E274" s="3" t="s">
        <v>24721</v>
      </c>
      <c r="F274" s="3" t="s">
        <v>24722</v>
      </c>
      <c r="G274" s="3" t="s">
        <v>24723</v>
      </c>
      <c r="H274" s="3" t="s">
        <v>24724</v>
      </c>
      <c r="I274" s="3" t="str">
        <f>IFERROR(__xludf.DUMMYFUNCTION("GOOGLETRANSLATE(J274,""zh_HANS"",""zh_HANT"")"),"傑作茶碗")</f>
        <v>傑作茶碗</v>
      </c>
      <c r="J274" s="3" t="s">
        <v>24725</v>
      </c>
    </row>
    <row r="275">
      <c r="A275" s="5" t="str">
        <f t="shared" si="27"/>
        <v>NAME_ITEM_METALALLOY</v>
      </c>
      <c r="B275" s="3" t="s">
        <v>24726</v>
      </c>
      <c r="C275" s="3" t="s">
        <v>24727</v>
      </c>
      <c r="D275" s="3" t="s">
        <v>24728</v>
      </c>
      <c r="E275" s="3" t="s">
        <v>24729</v>
      </c>
      <c r="F275" s="3" t="s">
        <v>24730</v>
      </c>
      <c r="G275" s="3" t="s">
        <v>24731</v>
      </c>
      <c r="H275" s="3" t="s">
        <v>24732</v>
      </c>
      <c r="I275" s="3" t="str">
        <f>IFERROR(__xludf.DUMMYFUNCTION("GOOGLETRANSLATE(J275,""zh_HANS"",""zh_HANT"")"),"複合金屬")</f>
        <v>複合金屬</v>
      </c>
      <c r="J275" s="3" t="s">
        <v>24733</v>
      </c>
    </row>
    <row r="276">
      <c r="A276" s="5" t="str">
        <f t="shared" si="27"/>
        <v>NAME_ITEM_MOONSTONE</v>
      </c>
      <c r="B276" s="3" t="s">
        <v>24734</v>
      </c>
      <c r="C276" s="3" t="s">
        <v>24735</v>
      </c>
      <c r="D276" s="3" t="s">
        <v>24736</v>
      </c>
      <c r="E276" s="3" t="s">
        <v>24737</v>
      </c>
      <c r="F276" s="3" t="s">
        <v>24738</v>
      </c>
      <c r="G276" s="3" t="s">
        <v>24739</v>
      </c>
      <c r="H276" s="3" t="s">
        <v>24740</v>
      </c>
      <c r="I276" s="3" t="s">
        <v>24741</v>
      </c>
      <c r="J276" s="5" t="str">
        <f t="shared" ref="J276:J279" si="29">I276</f>
        <v>月之石</v>
      </c>
    </row>
    <row r="277">
      <c r="A277" s="5" t="str">
        <f t="shared" si="27"/>
        <v>NAME_ITEM_FIRESTONE</v>
      </c>
      <c r="B277" s="3" t="s">
        <v>24742</v>
      </c>
      <c r="C277" s="3" t="s">
        <v>24743</v>
      </c>
      <c r="D277" s="3" t="s">
        <v>24744</v>
      </c>
      <c r="E277" s="3" t="s">
        <v>24745</v>
      </c>
      <c r="F277" s="3" t="s">
        <v>24746</v>
      </c>
      <c r="G277" s="3" t="s">
        <v>24747</v>
      </c>
      <c r="H277" s="3" t="s">
        <v>24748</v>
      </c>
      <c r="I277" s="3" t="s">
        <v>24749</v>
      </c>
      <c r="J277" s="5" t="str">
        <f t="shared" si="29"/>
        <v>火之石</v>
      </c>
    </row>
    <row r="278">
      <c r="A278" s="5" t="str">
        <f t="shared" si="27"/>
        <v>NAME_ITEM_THUNDERSTONE</v>
      </c>
      <c r="B278" s="3" t="s">
        <v>24750</v>
      </c>
      <c r="C278" s="3" t="s">
        <v>24751</v>
      </c>
      <c r="D278" s="3" t="s">
        <v>24752</v>
      </c>
      <c r="E278" s="3" t="s">
        <v>24753</v>
      </c>
      <c r="F278" s="3" t="s">
        <v>24754</v>
      </c>
      <c r="G278" s="3" t="s">
        <v>24755</v>
      </c>
      <c r="H278" s="3" t="s">
        <v>24756</v>
      </c>
      <c r="I278" s="3" t="s">
        <v>24757</v>
      </c>
      <c r="J278" s="5" t="str">
        <f t="shared" si="29"/>
        <v>雷之石</v>
      </c>
    </row>
    <row r="279">
      <c r="A279" s="5" t="str">
        <f t="shared" si="27"/>
        <v>NAME_ITEM_WATERSTONE</v>
      </c>
      <c r="B279" s="3" t="s">
        <v>24758</v>
      </c>
      <c r="C279" s="3" t="s">
        <v>24759</v>
      </c>
      <c r="D279" s="3" t="s">
        <v>24760</v>
      </c>
      <c r="E279" s="3" t="s">
        <v>24761</v>
      </c>
      <c r="F279" s="3" t="s">
        <v>24762</v>
      </c>
      <c r="G279" s="3" t="s">
        <v>24763</v>
      </c>
      <c r="H279" s="3" t="s">
        <v>24764</v>
      </c>
      <c r="I279" s="3" t="s">
        <v>24765</v>
      </c>
      <c r="J279" s="5" t="str">
        <f t="shared" si="29"/>
        <v>水之石</v>
      </c>
    </row>
    <row r="280">
      <c r="A280" s="5" t="str">
        <f t="shared" si="27"/>
        <v>NAME_ITEM_LEAFSTONE</v>
      </c>
      <c r="B280" s="3" t="s">
        <v>24766</v>
      </c>
      <c r="C280" s="3" t="s">
        <v>24767</v>
      </c>
      <c r="D280" s="3" t="s">
        <v>24768</v>
      </c>
      <c r="E280" s="3" t="s">
        <v>24769</v>
      </c>
      <c r="F280" s="3" t="s">
        <v>24770</v>
      </c>
      <c r="G280" s="3" t="s">
        <v>24771</v>
      </c>
      <c r="H280" s="3" t="s">
        <v>24772</v>
      </c>
      <c r="I280" s="3" t="s">
        <v>24773</v>
      </c>
      <c r="J280" s="5" t="str">
        <f>IFERROR(__xludf.DUMMYFUNCTION("GOOGLETRANSLATE(I280,""zh_HANT"",""zh_HANS"")"),"叶之石")</f>
        <v>叶之石</v>
      </c>
    </row>
    <row r="281">
      <c r="A281" s="5" t="str">
        <f t="shared" si="27"/>
        <v>NAME_ITEM_SUNSTONE</v>
      </c>
      <c r="B281" s="3" t="s">
        <v>24774</v>
      </c>
      <c r="C281" s="3" t="s">
        <v>24775</v>
      </c>
      <c r="D281" s="3" t="s">
        <v>24776</v>
      </c>
      <c r="E281" s="3" t="s">
        <v>24777</v>
      </c>
      <c r="F281" s="3" t="s">
        <v>24778</v>
      </c>
      <c r="G281" s="3" t="s">
        <v>24779</v>
      </c>
      <c r="H281" s="3" t="s">
        <v>24780</v>
      </c>
      <c r="I281" s="3" t="s">
        <v>24781</v>
      </c>
      <c r="J281" s="5" t="str">
        <f t="shared" ref="J281:J283" si="30">I281</f>
        <v>日之石</v>
      </c>
    </row>
    <row r="282">
      <c r="A282" s="5" t="str">
        <f t="shared" si="27"/>
        <v>NAME_ITEM_SHINYSTONE</v>
      </c>
      <c r="B282" s="3" t="s">
        <v>24782</v>
      </c>
      <c r="C282" s="3" t="s">
        <v>24783</v>
      </c>
      <c r="D282" s="3" t="s">
        <v>24784</v>
      </c>
      <c r="E282" s="3" t="s">
        <v>24785</v>
      </c>
      <c r="F282" s="3" t="s">
        <v>24786</v>
      </c>
      <c r="G282" s="3" t="s">
        <v>24787</v>
      </c>
      <c r="H282" s="3" t="s">
        <v>24788</v>
      </c>
      <c r="I282" s="3" t="s">
        <v>24789</v>
      </c>
      <c r="J282" s="5" t="str">
        <f t="shared" si="30"/>
        <v>光之石</v>
      </c>
    </row>
    <row r="283">
      <c r="A283" s="5" t="str">
        <f t="shared" si="27"/>
        <v>NAME_ITEM_DUSKSTONE</v>
      </c>
      <c r="B283" s="3" t="s">
        <v>24790</v>
      </c>
      <c r="C283" s="3" t="s">
        <v>24791</v>
      </c>
      <c r="D283" s="3" t="s">
        <v>24792</v>
      </c>
      <c r="E283" s="3" t="s">
        <v>24793</v>
      </c>
      <c r="F283" s="3" t="s">
        <v>24794</v>
      </c>
      <c r="G283" s="3" t="s">
        <v>24795</v>
      </c>
      <c r="H283" s="3" t="s">
        <v>24796</v>
      </c>
      <c r="I283" s="3" t="s">
        <v>24797</v>
      </c>
      <c r="J283" s="5" t="str">
        <f t="shared" si="30"/>
        <v>暗之石</v>
      </c>
    </row>
    <row r="284">
      <c r="A284" s="5" t="str">
        <f t="shared" si="27"/>
        <v>NAME_ITEM_DAWNSTONE</v>
      </c>
      <c r="B284" s="3" t="s">
        <v>24798</v>
      </c>
      <c r="C284" s="3" t="s">
        <v>24799</v>
      </c>
      <c r="D284" s="3" t="s">
        <v>24800</v>
      </c>
      <c r="E284" s="3" t="s">
        <v>24801</v>
      </c>
      <c r="F284" s="3" t="s">
        <v>24802</v>
      </c>
      <c r="G284" s="3" t="s">
        <v>24803</v>
      </c>
      <c r="H284" s="3" t="s">
        <v>24804</v>
      </c>
      <c r="I284" s="3" t="s">
        <v>24805</v>
      </c>
      <c r="J284" s="5" t="str">
        <f>IFERROR(__xludf.DUMMYFUNCTION("GOOGLETRANSLATE(I284,""zh_HANT"",""zh_HANS"")"),"觉醒之石")</f>
        <v>觉醒之石</v>
      </c>
    </row>
    <row r="285">
      <c r="A285" s="5" t="str">
        <f t="shared" si="27"/>
        <v>NAME_ITEM_ICESTONE</v>
      </c>
      <c r="B285" s="3" t="s">
        <v>24806</v>
      </c>
      <c r="C285" s="3" t="s">
        <v>24807</v>
      </c>
      <c r="D285" s="3" t="s">
        <v>24808</v>
      </c>
      <c r="E285" s="3" t="s">
        <v>24809</v>
      </c>
      <c r="F285" s="3" t="s">
        <v>24810</v>
      </c>
      <c r="G285" s="3" t="s">
        <v>24811</v>
      </c>
      <c r="H285" s="3" t="s">
        <v>24812</v>
      </c>
      <c r="I285" s="3" t="s">
        <v>24813</v>
      </c>
      <c r="J285" s="5" t="str">
        <f t="shared" ref="J285:J287" si="31">I285</f>
        <v>冰之石</v>
      </c>
    </row>
    <row r="286">
      <c r="A286" s="5" t="str">
        <f t="shared" si="27"/>
        <v>NAME_ITEM_BRIGHTPOWDER</v>
      </c>
      <c r="B286" s="3" t="s">
        <v>24814</v>
      </c>
      <c r="C286" s="3" t="s">
        <v>24815</v>
      </c>
      <c r="D286" s="3" t="s">
        <v>24816</v>
      </c>
      <c r="E286" s="3" t="s">
        <v>24817</v>
      </c>
      <c r="F286" s="3" t="s">
        <v>24818</v>
      </c>
      <c r="G286" s="3" t="s">
        <v>24819</v>
      </c>
      <c r="H286" s="3" t="s">
        <v>24820</v>
      </c>
      <c r="I286" s="3" t="s">
        <v>24821</v>
      </c>
      <c r="J286" s="5" t="str">
        <f t="shared" si="31"/>
        <v>光粉</v>
      </c>
    </row>
    <row r="287">
      <c r="A287" s="5" t="str">
        <f t="shared" si="27"/>
        <v>NAME_ITEM_QUICKCLAW</v>
      </c>
      <c r="B287" s="3" t="s">
        <v>24822</v>
      </c>
      <c r="C287" s="3" t="s">
        <v>24823</v>
      </c>
      <c r="D287" s="3" t="s">
        <v>24824</v>
      </c>
      <c r="E287" s="3" t="s">
        <v>24825</v>
      </c>
      <c r="F287" s="3" t="s">
        <v>24826</v>
      </c>
      <c r="G287" s="3" t="s">
        <v>24827</v>
      </c>
      <c r="H287" s="3" t="s">
        <v>24828</v>
      </c>
      <c r="I287" s="3" t="s">
        <v>24829</v>
      </c>
      <c r="J287" s="5" t="str">
        <f t="shared" si="31"/>
        <v>先制之爪</v>
      </c>
    </row>
    <row r="288">
      <c r="A288" s="3" t="s">
        <v>24830</v>
      </c>
      <c r="B288" s="3" t="s">
        <v>24831</v>
      </c>
      <c r="C288" s="3" t="s">
        <v>24832</v>
      </c>
      <c r="D288" s="3" t="s">
        <v>24833</v>
      </c>
      <c r="E288" s="3" t="s">
        <v>24834</v>
      </c>
      <c r="F288" s="3" t="s">
        <v>24835</v>
      </c>
      <c r="G288" s="3" t="s">
        <v>24836</v>
      </c>
      <c r="H288" s="3" t="s">
        <v>24837</v>
      </c>
      <c r="I288" s="3" t="s">
        <v>24838</v>
      </c>
      <c r="J288" s="5" t="str">
        <f>IFERROR(__xludf.DUMMYFUNCTION("GOOGLETRANSLATE(I288,""zh_HANT"",""zh_HANS"")"),"王者之证")</f>
        <v>王者之证</v>
      </c>
    </row>
    <row r="289">
      <c r="A289" s="5" t="str">
        <f t="shared" ref="A289:A309" si="32">CONCATENATE("NAME_ITEM_", SUBSTITUTE(SUBSTITUTE(UPPER(B289), " ", ""), ".", ""))</f>
        <v>NAME_ITEM_SILVERPOWDER</v>
      </c>
      <c r="B289" s="3" t="s">
        <v>24839</v>
      </c>
      <c r="C289" s="3" t="s">
        <v>24840</v>
      </c>
      <c r="D289" s="3" t="s">
        <v>24841</v>
      </c>
      <c r="E289" s="3" t="s">
        <v>24842</v>
      </c>
      <c r="F289" s="3" t="s">
        <v>24843</v>
      </c>
      <c r="G289" s="3" t="s">
        <v>24844</v>
      </c>
      <c r="H289" s="3" t="s">
        <v>24845</v>
      </c>
      <c r="I289" s="3" t="s">
        <v>24846</v>
      </c>
      <c r="J289" s="5" t="str">
        <f>IFERROR(__xludf.DUMMYFUNCTION("GOOGLETRANSLATE(I289,""zh_HANT"",""zh_HANS"")"),"银粉")</f>
        <v>银粉</v>
      </c>
    </row>
    <row r="290">
      <c r="A290" s="5" t="str">
        <f t="shared" si="32"/>
        <v>NAME_ITEM_AMULETCOIN</v>
      </c>
      <c r="B290" s="3" t="s">
        <v>24847</v>
      </c>
      <c r="C290" s="3" t="s">
        <v>24848</v>
      </c>
      <c r="D290" s="3" t="s">
        <v>24849</v>
      </c>
      <c r="E290" s="3" t="s">
        <v>24850</v>
      </c>
      <c r="F290" s="3" t="s">
        <v>24851</v>
      </c>
      <c r="G290" s="3" t="s">
        <v>24852</v>
      </c>
      <c r="H290" s="3" t="s">
        <v>24853</v>
      </c>
      <c r="I290" s="3" t="s">
        <v>24854</v>
      </c>
      <c r="J290" s="5" t="str">
        <f>IFERROR(__xludf.DUMMYFUNCTION("GOOGLETRANSLATE(I290,""zh_HANT"",""zh_HANS"")"),"护符金币")</f>
        <v>护符金币</v>
      </c>
    </row>
    <row r="291">
      <c r="A291" s="5" t="str">
        <f t="shared" si="32"/>
        <v>NAME_ITEM_CLEANSETAG</v>
      </c>
      <c r="B291" s="3" t="s">
        <v>24855</v>
      </c>
      <c r="C291" s="3" t="s">
        <v>24856</v>
      </c>
      <c r="D291" s="3" t="s">
        <v>24857</v>
      </c>
      <c r="E291" s="3" t="s">
        <v>24858</v>
      </c>
      <c r="F291" s="3" t="s">
        <v>24859</v>
      </c>
      <c r="G291" s="3" t="s">
        <v>24860</v>
      </c>
      <c r="H291" s="3" t="s">
        <v>24861</v>
      </c>
      <c r="I291" s="3" t="s">
        <v>24862</v>
      </c>
      <c r="J291" s="5" t="str">
        <f>IFERROR(__xludf.DUMMYFUNCTION("GOOGLETRANSLATE(I291,""zh_HANT"",""zh_HANS"")"),"洁净之符")</f>
        <v>洁净之符</v>
      </c>
    </row>
    <row r="292">
      <c r="A292" s="5" t="str">
        <f t="shared" si="32"/>
        <v>NAME_ITEM_SMOKEBALL</v>
      </c>
      <c r="B292" s="3" t="s">
        <v>24863</v>
      </c>
      <c r="C292" s="3" t="s">
        <v>24864</v>
      </c>
      <c r="D292" s="3" t="s">
        <v>24865</v>
      </c>
      <c r="E292" s="3" t="s">
        <v>24866</v>
      </c>
      <c r="F292" s="3" t="s">
        <v>24867</v>
      </c>
      <c r="G292" s="3" t="s">
        <v>24868</v>
      </c>
      <c r="H292" s="3" t="s">
        <v>24869</v>
      </c>
      <c r="I292" s="3" t="s">
        <v>24870</v>
      </c>
      <c r="J292" s="5" t="str">
        <f>IFERROR(__xludf.DUMMYFUNCTION("GOOGLETRANSLATE(I292,""zh_HANT"",""zh_HANS"")"),"烟雾球")</f>
        <v>烟雾球</v>
      </c>
    </row>
    <row r="293">
      <c r="A293" s="5" t="str">
        <f t="shared" si="32"/>
        <v>NAME_ITEM_EVERSTONE</v>
      </c>
      <c r="B293" s="3" t="s">
        <v>24871</v>
      </c>
      <c r="C293" s="3" t="s">
        <v>24872</v>
      </c>
      <c r="D293" s="3" t="s">
        <v>24873</v>
      </c>
      <c r="E293" s="3" t="s">
        <v>24874</v>
      </c>
      <c r="F293" s="3" t="s">
        <v>24875</v>
      </c>
      <c r="G293" s="3" t="s">
        <v>24876</v>
      </c>
      <c r="H293" s="3" t="s">
        <v>24877</v>
      </c>
      <c r="I293" s="3" t="s">
        <v>24878</v>
      </c>
      <c r="J293" s="5" t="str">
        <f>IFERROR(__xludf.DUMMYFUNCTION("GOOGLETRANSLATE(I293,""zh_HANT"",""zh_HANS"")"),"不变之石")</f>
        <v>不变之石</v>
      </c>
    </row>
    <row r="294">
      <c r="A294" s="5" t="str">
        <f t="shared" si="32"/>
        <v>NAME_ITEM_FOCUSBAND</v>
      </c>
      <c r="B294" s="3" t="s">
        <v>24879</v>
      </c>
      <c r="C294" s="3" t="s">
        <v>24880</v>
      </c>
      <c r="D294" s="3" t="s">
        <v>24881</v>
      </c>
      <c r="E294" s="3" t="s">
        <v>24882</v>
      </c>
      <c r="F294" s="3" t="s">
        <v>24883</v>
      </c>
      <c r="G294" s="3" t="s">
        <v>24884</v>
      </c>
      <c r="H294" s="3" t="s">
        <v>24885</v>
      </c>
      <c r="I294" s="3" t="s">
        <v>24886</v>
      </c>
      <c r="J294" s="5" t="str">
        <f>IFERROR(__xludf.DUMMYFUNCTION("GOOGLETRANSLATE(I294,""zh_HANT"",""zh_HANS"")"),"气势头带")</f>
        <v>气势头带</v>
      </c>
    </row>
    <row r="295">
      <c r="A295" s="5" t="str">
        <f t="shared" si="32"/>
        <v>NAME_ITEM_LUCKYEGG</v>
      </c>
      <c r="B295" s="3" t="s">
        <v>24887</v>
      </c>
      <c r="C295" s="3" t="s">
        <v>24888</v>
      </c>
      <c r="D295" s="3" t="s">
        <v>24889</v>
      </c>
      <c r="E295" s="3" t="s">
        <v>24890</v>
      </c>
      <c r="F295" s="3" t="s">
        <v>24891</v>
      </c>
      <c r="G295" s="3" t="s">
        <v>24892</v>
      </c>
      <c r="H295" s="3" t="s">
        <v>24893</v>
      </c>
      <c r="I295" s="3" t="s">
        <v>24894</v>
      </c>
      <c r="J295" s="5" t="str">
        <f>IFERROR(__xludf.DUMMYFUNCTION("GOOGLETRANSLATE(I295,""zh_HANT"",""zh_HANS"")"),"幸运蛋")</f>
        <v>幸运蛋</v>
      </c>
    </row>
    <row r="296">
      <c r="A296" s="5" t="str">
        <f t="shared" si="32"/>
        <v>NAME_ITEM_SCOPELENS</v>
      </c>
      <c r="B296" s="3" t="s">
        <v>24895</v>
      </c>
      <c r="C296" s="3" t="s">
        <v>24896</v>
      </c>
      <c r="D296" s="3" t="s">
        <v>24897</v>
      </c>
      <c r="E296" s="3" t="s">
        <v>24898</v>
      </c>
      <c r="F296" s="3" t="s">
        <v>24899</v>
      </c>
      <c r="G296" s="3" t="s">
        <v>24900</v>
      </c>
      <c r="H296" s="3" t="s">
        <v>24901</v>
      </c>
      <c r="I296" s="3" t="s">
        <v>24902</v>
      </c>
      <c r="J296" s="5" t="str">
        <f>IFERROR(__xludf.DUMMYFUNCTION("GOOGLETRANSLATE(I296,""zh_HANT"",""zh_HANS"")"),"焦点镜")</f>
        <v>焦点镜</v>
      </c>
    </row>
    <row r="297">
      <c r="A297" s="5" t="str">
        <f t="shared" si="32"/>
        <v>NAME_ITEM_METALCOAT</v>
      </c>
      <c r="B297" s="3" t="s">
        <v>24903</v>
      </c>
      <c r="C297" s="3" t="s">
        <v>24904</v>
      </c>
      <c r="D297" s="3" t="s">
        <v>24905</v>
      </c>
      <c r="E297" s="3" t="s">
        <v>24906</v>
      </c>
      <c r="F297" s="3" t="s">
        <v>24907</v>
      </c>
      <c r="G297" s="3" t="s">
        <v>24908</v>
      </c>
      <c r="H297" s="3" t="s">
        <v>24909</v>
      </c>
      <c r="I297" s="3" t="s">
        <v>24910</v>
      </c>
      <c r="J297" s="5" t="str">
        <f>IFERROR(__xludf.DUMMYFUNCTION("GOOGLETRANSLATE(I297,""zh_HANT"",""zh_HANS"")"),"金属膜")</f>
        <v>金属膜</v>
      </c>
    </row>
    <row r="298">
      <c r="A298" s="5" t="str">
        <f t="shared" si="32"/>
        <v>NAME_ITEM_LEFTOVERS</v>
      </c>
      <c r="B298" s="3" t="s">
        <v>24911</v>
      </c>
      <c r="C298" s="3" t="s">
        <v>24912</v>
      </c>
      <c r="D298" s="3" t="s">
        <v>24913</v>
      </c>
      <c r="E298" s="3" t="s">
        <v>24914</v>
      </c>
      <c r="F298" s="3" t="s">
        <v>24915</v>
      </c>
      <c r="G298" s="3" t="s">
        <v>24916</v>
      </c>
      <c r="H298" s="3" t="s">
        <v>24917</v>
      </c>
      <c r="I298" s="3" t="s">
        <v>24918</v>
      </c>
      <c r="J298" s="5" t="str">
        <f>IFERROR(__xludf.DUMMYFUNCTION("GOOGLETRANSLATE(I298,""zh_HANT"",""zh_HANS"")"),"吃剩的东西")</f>
        <v>吃剩的东西</v>
      </c>
    </row>
    <row r="299">
      <c r="A299" s="5" t="str">
        <f t="shared" si="32"/>
        <v>NAME_ITEM_DRAGONSCALE</v>
      </c>
      <c r="B299" s="3" t="s">
        <v>24919</v>
      </c>
      <c r="C299" s="3" t="s">
        <v>24920</v>
      </c>
      <c r="D299" s="3" t="s">
        <v>24921</v>
      </c>
      <c r="E299" s="3" t="s">
        <v>24922</v>
      </c>
      <c r="F299" s="3" t="s">
        <v>24923</v>
      </c>
      <c r="G299" s="3" t="s">
        <v>24924</v>
      </c>
      <c r="H299" s="3" t="s">
        <v>24925</v>
      </c>
      <c r="I299" s="3" t="s">
        <v>24926</v>
      </c>
      <c r="J299" s="5" t="str">
        <f>IFERROR(__xludf.DUMMYFUNCTION("GOOGLETRANSLATE(I299,""zh_HANT"",""zh_HANS"")"),"龙之鳞片")</f>
        <v>龙之鳞片</v>
      </c>
    </row>
    <row r="300">
      <c r="A300" s="5" t="str">
        <f t="shared" si="32"/>
        <v>NAME_ITEM_LIGHTBALL</v>
      </c>
      <c r="B300" s="3" t="s">
        <v>24927</v>
      </c>
      <c r="C300" s="3" t="s">
        <v>24928</v>
      </c>
      <c r="D300" s="3" t="s">
        <v>24929</v>
      </c>
      <c r="E300" s="3" t="s">
        <v>24930</v>
      </c>
      <c r="F300" s="3" t="s">
        <v>24931</v>
      </c>
      <c r="G300" s="3" t="s">
        <v>24932</v>
      </c>
      <c r="H300" s="3" t="s">
        <v>24933</v>
      </c>
      <c r="I300" s="3" t="s">
        <v>24934</v>
      </c>
      <c r="J300" s="5" t="str">
        <f>IFERROR(__xludf.DUMMYFUNCTION("GOOGLETRANSLATE(I300,""zh_HANT"",""zh_HANS"")"),"电气球")</f>
        <v>电气球</v>
      </c>
    </row>
    <row r="301">
      <c r="A301" s="5" t="str">
        <f t="shared" si="32"/>
        <v>NAME_ITEM_SOFTSAND</v>
      </c>
      <c r="B301" s="3" t="s">
        <v>24935</v>
      </c>
      <c r="C301" s="3" t="s">
        <v>24936</v>
      </c>
      <c r="D301" s="3" t="s">
        <v>24937</v>
      </c>
      <c r="E301" s="3" t="s">
        <v>24938</v>
      </c>
      <c r="F301" s="3" t="s">
        <v>24939</v>
      </c>
      <c r="G301" s="3" t="s">
        <v>24940</v>
      </c>
      <c r="H301" s="3" t="s">
        <v>24941</v>
      </c>
      <c r="I301" s="3" t="s">
        <v>24942</v>
      </c>
      <c r="J301" s="5" t="str">
        <f>IFERROR(__xludf.DUMMYFUNCTION("GOOGLETRANSLATE(I301,""zh_HANT"",""zh_HANS"")"),"柔软沙子")</f>
        <v>柔软沙子</v>
      </c>
    </row>
    <row r="302">
      <c r="A302" s="5" t="str">
        <f t="shared" si="32"/>
        <v>NAME_ITEM_HARDSTONE</v>
      </c>
      <c r="B302" s="3" t="s">
        <v>24943</v>
      </c>
      <c r="C302" s="3" t="s">
        <v>24944</v>
      </c>
      <c r="D302" s="3" t="s">
        <v>24945</v>
      </c>
      <c r="E302" s="3" t="s">
        <v>24946</v>
      </c>
      <c r="F302" s="3" t="s">
        <v>24947</v>
      </c>
      <c r="G302" s="3" t="s">
        <v>24948</v>
      </c>
      <c r="H302" s="3" t="s">
        <v>24949</v>
      </c>
      <c r="I302" s="3" t="s">
        <v>24950</v>
      </c>
      <c r="J302" s="5" t="str">
        <f>IFERROR(__xludf.DUMMYFUNCTION("GOOGLETRANSLATE(I302,""zh_HANT"",""zh_HANS"")"),"硬石头")</f>
        <v>硬石头</v>
      </c>
    </row>
    <row r="303">
      <c r="A303" s="5" t="str">
        <f t="shared" si="32"/>
        <v>NAME_ITEM_MIRACLESEED</v>
      </c>
      <c r="B303" s="3" t="s">
        <v>24951</v>
      </c>
      <c r="C303" s="3" t="s">
        <v>24952</v>
      </c>
      <c r="D303" s="3" t="s">
        <v>24953</v>
      </c>
      <c r="E303" s="3" t="s">
        <v>24954</v>
      </c>
      <c r="F303" s="3" t="s">
        <v>24955</v>
      </c>
      <c r="G303" s="3" t="s">
        <v>24956</v>
      </c>
      <c r="H303" s="3" t="s">
        <v>24957</v>
      </c>
      <c r="I303" s="3" t="s">
        <v>24958</v>
      </c>
      <c r="J303" s="5" t="str">
        <f>IFERROR(__xludf.DUMMYFUNCTION("GOOGLETRANSLATE(I303,""zh_HANT"",""zh_HANS"")"),"奇迹种子")</f>
        <v>奇迹种子</v>
      </c>
    </row>
    <row r="304">
      <c r="A304" s="5" t="str">
        <f t="shared" si="32"/>
        <v>NAME_ITEM_BLACKGLASSES</v>
      </c>
      <c r="B304" s="3" t="s">
        <v>24959</v>
      </c>
      <c r="C304" s="3" t="s">
        <v>24960</v>
      </c>
      <c r="D304" s="3" t="s">
        <v>24961</v>
      </c>
      <c r="E304" s="3" t="s">
        <v>24962</v>
      </c>
      <c r="F304" s="3" t="s">
        <v>24963</v>
      </c>
      <c r="G304" s="3" t="s">
        <v>24964</v>
      </c>
      <c r="H304" s="3" t="s">
        <v>24965</v>
      </c>
      <c r="I304" s="3" t="s">
        <v>24966</v>
      </c>
      <c r="J304" s="5" t="str">
        <f>IFERROR(__xludf.DUMMYFUNCTION("GOOGLETRANSLATE(I304,""zh_HANT"",""zh_HANS"")"),"黑色眼镜")</f>
        <v>黑色眼镜</v>
      </c>
    </row>
    <row r="305">
      <c r="A305" s="5" t="str">
        <f t="shared" si="32"/>
        <v>NAME_ITEM_BLACKBELT</v>
      </c>
      <c r="B305" s="3" t="s">
        <v>24967</v>
      </c>
      <c r="C305" s="3" t="s">
        <v>24968</v>
      </c>
      <c r="D305" s="3" t="s">
        <v>24969</v>
      </c>
      <c r="E305" s="3" t="s">
        <v>24970</v>
      </c>
      <c r="F305" s="3" t="s">
        <v>24971</v>
      </c>
      <c r="G305" s="3" t="s">
        <v>24972</v>
      </c>
      <c r="H305" s="3" t="s">
        <v>24973</v>
      </c>
      <c r="I305" s="3" t="s">
        <v>24974</v>
      </c>
      <c r="J305" s="5" t="str">
        <f>IFERROR(__xludf.DUMMYFUNCTION("GOOGLETRANSLATE(I305,""zh_HANT"",""zh_HANS"")"),"黑带")</f>
        <v>黑带</v>
      </c>
    </row>
    <row r="306">
      <c r="A306" s="5" t="str">
        <f t="shared" si="32"/>
        <v>NAME_ITEM_MAGNET</v>
      </c>
      <c r="B306" s="3" t="s">
        <v>24975</v>
      </c>
      <c r="C306" s="3" t="s">
        <v>24976</v>
      </c>
      <c r="D306" s="3" t="s">
        <v>9795</v>
      </c>
      <c r="E306" s="5" t="str">
        <f>B306</f>
        <v>Magnet</v>
      </c>
      <c r="F306" s="3" t="s">
        <v>20427</v>
      </c>
      <c r="G306" s="3" t="s">
        <v>24977</v>
      </c>
      <c r="H306" s="3" t="s">
        <v>7689</v>
      </c>
      <c r="I306" s="3" t="s">
        <v>7690</v>
      </c>
      <c r="J306" s="5" t="str">
        <f>IFERROR(__xludf.DUMMYFUNCTION("GOOGLETRANSLATE(I306,""zh_HANT"",""zh_HANS"")"),"磁铁")</f>
        <v>磁铁</v>
      </c>
    </row>
    <row r="307">
      <c r="A307" s="5" t="str">
        <f t="shared" si="32"/>
        <v>NAME_ITEM_MYSTICWATER</v>
      </c>
      <c r="B307" s="3" t="s">
        <v>24978</v>
      </c>
      <c r="C307" s="3" t="s">
        <v>24979</v>
      </c>
      <c r="D307" s="3" t="s">
        <v>24980</v>
      </c>
      <c r="E307" s="3" t="s">
        <v>24981</v>
      </c>
      <c r="F307" s="3" t="s">
        <v>24982</v>
      </c>
      <c r="G307" s="3" t="s">
        <v>24983</v>
      </c>
      <c r="H307" s="3" t="s">
        <v>24984</v>
      </c>
      <c r="I307" s="3" t="s">
        <v>24985</v>
      </c>
      <c r="J307" s="5" t="str">
        <f>I307</f>
        <v>神秘水滴</v>
      </c>
    </row>
    <row r="308">
      <c r="A308" s="5" t="str">
        <f t="shared" si="32"/>
        <v>NAME_ITEM_SHARPBEAK</v>
      </c>
      <c r="B308" s="3" t="s">
        <v>24986</v>
      </c>
      <c r="C308" s="3" t="s">
        <v>24987</v>
      </c>
      <c r="D308" s="3" t="s">
        <v>24988</v>
      </c>
      <c r="E308" s="3" t="s">
        <v>24989</v>
      </c>
      <c r="F308" s="3" t="s">
        <v>24990</v>
      </c>
      <c r="G308" s="3" t="s">
        <v>24991</v>
      </c>
      <c r="H308" s="3" t="s">
        <v>24992</v>
      </c>
      <c r="I308" s="3" t="s">
        <v>24993</v>
      </c>
      <c r="J308" s="5" t="str">
        <f>IFERROR(__xludf.DUMMYFUNCTION("GOOGLETRANSLATE(I308,""zh_HANT"",""zh_HANS"")"),"锐利鸟嘴")</f>
        <v>锐利鸟嘴</v>
      </c>
    </row>
    <row r="309">
      <c r="A309" s="5" t="str">
        <f t="shared" si="32"/>
        <v>NAME_ITEM_POISONBARB</v>
      </c>
      <c r="B309" s="3" t="s">
        <v>24994</v>
      </c>
      <c r="C309" s="3" t="s">
        <v>24995</v>
      </c>
      <c r="D309" s="3" t="s">
        <v>24996</v>
      </c>
      <c r="E309" s="3" t="s">
        <v>24997</v>
      </c>
      <c r="F309" s="3" t="s">
        <v>24998</v>
      </c>
      <c r="G309" s="3" t="s">
        <v>24999</v>
      </c>
      <c r="H309" s="3" t="s">
        <v>25000</v>
      </c>
      <c r="I309" s="3" t="s">
        <v>7479</v>
      </c>
      <c r="J309" s="5" t="str">
        <f>IFERROR(__xludf.DUMMYFUNCTION("GOOGLETRANSLATE(I309,""zh_HANT"",""zh_HANS"")"),"毒针")</f>
        <v>毒针</v>
      </c>
    </row>
    <row r="310">
      <c r="A310" s="3" t="s">
        <v>25001</v>
      </c>
      <c r="B310" s="3" t="s">
        <v>25002</v>
      </c>
      <c r="C310" s="3" t="s">
        <v>25003</v>
      </c>
      <c r="D310" s="3" t="s">
        <v>25004</v>
      </c>
      <c r="E310" s="3" t="s">
        <v>25005</v>
      </c>
      <c r="F310" s="3" t="s">
        <v>25006</v>
      </c>
      <c r="G310" s="3" t="s">
        <v>25007</v>
      </c>
      <c r="H310" s="3" t="s">
        <v>25008</v>
      </c>
      <c r="I310" s="3" t="s">
        <v>25009</v>
      </c>
      <c r="J310" s="5" t="str">
        <f>I310</f>
        <v>不融冰</v>
      </c>
    </row>
    <row r="311">
      <c r="A311" s="5" t="str">
        <f t="shared" ref="A311:A563" si="33">CONCATENATE("NAME_ITEM_", SUBSTITUTE(SUBSTITUTE(UPPER(B311), " ", ""), ".", ""))</f>
        <v>NAME_ITEM_SPELLTAG</v>
      </c>
      <c r="B311" s="3" t="s">
        <v>25010</v>
      </c>
      <c r="C311" s="3" t="s">
        <v>25011</v>
      </c>
      <c r="D311" s="3" t="s">
        <v>25012</v>
      </c>
      <c r="E311" s="3" t="s">
        <v>25013</v>
      </c>
      <c r="F311" s="3" t="s">
        <v>25014</v>
      </c>
      <c r="G311" s="3" t="s">
        <v>25015</v>
      </c>
      <c r="H311" s="3" t="s">
        <v>25016</v>
      </c>
      <c r="I311" s="3" t="s">
        <v>25017</v>
      </c>
      <c r="J311" s="5" t="str">
        <f>IFERROR(__xludf.DUMMYFUNCTION("GOOGLETRANSLATE(I311,""zh_HANT"",""zh_HANS"")"),"诅咒之符")</f>
        <v>诅咒之符</v>
      </c>
    </row>
    <row r="312">
      <c r="A312" s="5" t="str">
        <f t="shared" si="33"/>
        <v>NAME_ITEM_TWISTEDSPOON</v>
      </c>
      <c r="B312" s="3" t="s">
        <v>25018</v>
      </c>
      <c r="C312" s="3" t="s">
        <v>25019</v>
      </c>
      <c r="D312" s="3" t="s">
        <v>25020</v>
      </c>
      <c r="E312" s="3" t="s">
        <v>25021</v>
      </c>
      <c r="F312" s="3" t="s">
        <v>25022</v>
      </c>
      <c r="G312" s="3" t="s">
        <v>25023</v>
      </c>
      <c r="H312" s="3" t="s">
        <v>25024</v>
      </c>
      <c r="I312" s="3" t="s">
        <v>25025</v>
      </c>
      <c r="J312" s="5" t="str">
        <f>IFERROR(__xludf.DUMMYFUNCTION("GOOGLETRANSLATE(I312,""zh_HANT"",""zh_HANS"")"),"弯曲的汤匙")</f>
        <v>弯曲的汤匙</v>
      </c>
    </row>
    <row r="313">
      <c r="A313" s="5" t="str">
        <f t="shared" si="33"/>
        <v>NAME_ITEM_CHARCOAL</v>
      </c>
      <c r="B313" s="3" t="s">
        <v>25026</v>
      </c>
      <c r="C313" s="3" t="s">
        <v>25027</v>
      </c>
      <c r="D313" s="3" t="s">
        <v>8527</v>
      </c>
      <c r="E313" s="3" t="s">
        <v>25028</v>
      </c>
      <c r="F313" s="3" t="s">
        <v>8982</v>
      </c>
      <c r="G313" s="3" t="s">
        <v>25029</v>
      </c>
      <c r="H313" s="3" t="s">
        <v>25030</v>
      </c>
      <c r="I313" s="3" t="s">
        <v>25031</v>
      </c>
      <c r="J313" s="5" t="str">
        <f>I313</f>
        <v>木炭</v>
      </c>
    </row>
    <row r="314">
      <c r="A314" s="5" t="str">
        <f t="shared" si="33"/>
        <v>NAME_ITEM_DRAGONFANG</v>
      </c>
      <c r="B314" s="3" t="s">
        <v>25032</v>
      </c>
      <c r="C314" s="3" t="s">
        <v>25033</v>
      </c>
      <c r="D314" s="3" t="s">
        <v>25034</v>
      </c>
      <c r="E314" s="3" t="s">
        <v>25035</v>
      </c>
      <c r="F314" s="3" t="s">
        <v>25036</v>
      </c>
      <c r="G314" s="3" t="s">
        <v>25037</v>
      </c>
      <c r="H314" s="3" t="s">
        <v>25038</v>
      </c>
      <c r="I314" s="3" t="s">
        <v>25039</v>
      </c>
      <c r="J314" s="5" t="str">
        <f>IFERROR(__xludf.DUMMYFUNCTION("GOOGLETRANSLATE(I314,""zh_HANT"",""zh_HANS"")"),"龙之牙")</f>
        <v>龙之牙</v>
      </c>
    </row>
    <row r="315">
      <c r="A315" s="5" t="str">
        <f t="shared" si="33"/>
        <v>NAME_ITEM_UPGRADE</v>
      </c>
      <c r="B315" s="3" t="s">
        <v>25040</v>
      </c>
      <c r="C315" s="3" t="s">
        <v>25041</v>
      </c>
      <c r="D315" s="3" t="s">
        <v>25042</v>
      </c>
      <c r="E315" s="3" t="s">
        <v>25043</v>
      </c>
      <c r="F315" s="3" t="s">
        <v>25044</v>
      </c>
      <c r="G315" s="5" t="str">
        <f>B315</f>
        <v>Upgrade</v>
      </c>
      <c r="H315" s="3" t="s">
        <v>25045</v>
      </c>
      <c r="I315" s="3" t="s">
        <v>25046</v>
      </c>
      <c r="J315" s="3" t="s">
        <v>25047</v>
      </c>
    </row>
    <row r="316">
      <c r="A316" s="5" t="str">
        <f t="shared" si="33"/>
        <v>NAME_ITEM_LUCKYPUNCH</v>
      </c>
      <c r="B316" s="3" t="s">
        <v>25048</v>
      </c>
      <c r="C316" s="3" t="s">
        <v>25049</v>
      </c>
      <c r="D316" s="3" t="s">
        <v>25050</v>
      </c>
      <c r="E316" s="5" t="str">
        <f>B316</f>
        <v>Lucky Punch</v>
      </c>
      <c r="F316" s="3" t="s">
        <v>25051</v>
      </c>
      <c r="G316" s="3" t="s">
        <v>25052</v>
      </c>
      <c r="H316" s="3" t="s">
        <v>25053</v>
      </c>
      <c r="I316" s="3" t="s">
        <v>25054</v>
      </c>
      <c r="J316" s="5" t="str">
        <f>I316</f>
        <v>吉利拳</v>
      </c>
    </row>
    <row r="317">
      <c r="A317" s="5" t="str">
        <f t="shared" si="33"/>
        <v>NAME_ITEM_METALPOWDER</v>
      </c>
      <c r="B317" s="3" t="s">
        <v>25055</v>
      </c>
      <c r="C317" s="3" t="s">
        <v>25056</v>
      </c>
      <c r="D317" s="3" t="s">
        <v>25057</v>
      </c>
      <c r="E317" s="3" t="s">
        <v>25058</v>
      </c>
      <c r="F317" s="3" t="s">
        <v>25059</v>
      </c>
      <c r="G317" s="3" t="s">
        <v>25060</v>
      </c>
      <c r="H317" s="3" t="s">
        <v>25061</v>
      </c>
      <c r="I317" s="3" t="s">
        <v>25062</v>
      </c>
      <c r="J317" s="5" t="str">
        <f>IFERROR(__xludf.DUMMYFUNCTION("GOOGLETRANSLATE(I317,""zh_HANT"",""zh_HANS"")"),"金属粉")</f>
        <v>金属粉</v>
      </c>
    </row>
    <row r="318">
      <c r="A318" s="5" t="str">
        <f t="shared" si="33"/>
        <v>NAME_ITEM_THICKCLUB</v>
      </c>
      <c r="B318" s="3" t="s">
        <v>25063</v>
      </c>
      <c r="C318" s="3" t="s">
        <v>25064</v>
      </c>
      <c r="D318" s="3" t="s">
        <v>25065</v>
      </c>
      <c r="E318" s="3" t="s">
        <v>25066</v>
      </c>
      <c r="F318" s="3" t="s">
        <v>25067</v>
      </c>
      <c r="G318" s="3" t="s">
        <v>25068</v>
      </c>
      <c r="H318" s="3" t="s">
        <v>25069</v>
      </c>
      <c r="I318" s="3" t="s">
        <v>25070</v>
      </c>
      <c r="J318" s="5" t="str">
        <f>IFERROR(__xludf.DUMMYFUNCTION("GOOGLETRANSLATE(I318,""zh_HANT"",""zh_HANS"")"),"粗骨头")</f>
        <v>粗骨头</v>
      </c>
    </row>
    <row r="319">
      <c r="A319" s="5" t="str">
        <f t="shared" si="33"/>
        <v>NAME_ITEM_LEEK</v>
      </c>
      <c r="B319" s="3" t="s">
        <v>25071</v>
      </c>
      <c r="C319" s="3" t="s">
        <v>25072</v>
      </c>
      <c r="D319" s="3" t="s">
        <v>25073</v>
      </c>
      <c r="E319" s="3" t="s">
        <v>25074</v>
      </c>
      <c r="F319" s="3" t="s">
        <v>25075</v>
      </c>
      <c r="G319" s="3" t="s">
        <v>25076</v>
      </c>
      <c r="H319" s="3" t="s">
        <v>25077</v>
      </c>
      <c r="I319" s="3" t="s">
        <v>25078</v>
      </c>
      <c r="J319" s="5" t="str">
        <f>IFERROR(__xludf.DUMMYFUNCTION("GOOGLETRANSLATE(I319,""zh_HANT"",""zh_HANS"")"),"大葱")</f>
        <v>大葱</v>
      </c>
    </row>
    <row r="320">
      <c r="A320" s="5" t="str">
        <f t="shared" si="33"/>
        <v>NAME_ITEM_WHITEHERB</v>
      </c>
      <c r="B320" s="3" t="s">
        <v>25079</v>
      </c>
      <c r="C320" s="3" t="s">
        <v>25080</v>
      </c>
      <c r="D320" s="3" t="s">
        <v>25081</v>
      </c>
      <c r="E320" s="3" t="s">
        <v>25082</v>
      </c>
      <c r="F320" s="3" t="s">
        <v>25083</v>
      </c>
      <c r="G320" s="3" t="s">
        <v>25084</v>
      </c>
      <c r="H320" s="3" t="s">
        <v>25085</v>
      </c>
      <c r="I320" s="3" t="s">
        <v>25086</v>
      </c>
      <c r="J320" s="5" t="str">
        <f>I320</f>
        <v>白色香草</v>
      </c>
    </row>
    <row r="321">
      <c r="A321" s="5" t="str">
        <f t="shared" si="33"/>
        <v>NAME_ITEM_MACHOBRACE</v>
      </c>
      <c r="B321" s="3" t="s">
        <v>25087</v>
      </c>
      <c r="C321" s="3" t="s">
        <v>25088</v>
      </c>
      <c r="D321" s="3" t="s">
        <v>25089</v>
      </c>
      <c r="E321" s="3" t="s">
        <v>25090</v>
      </c>
      <c r="F321" s="3" t="s">
        <v>25091</v>
      </c>
      <c r="G321" s="3" t="s">
        <v>25092</v>
      </c>
      <c r="H321" s="3" t="s">
        <v>25093</v>
      </c>
      <c r="I321" s="3" t="s">
        <v>25094</v>
      </c>
      <c r="J321" s="5" t="str">
        <f>IFERROR(__xludf.DUMMYFUNCTION("GOOGLETRANSLATE(I321,""zh_HANT"",""zh_HANS"")"),"强制锻炼器")</f>
        <v>强制锻炼器</v>
      </c>
    </row>
    <row r="322">
      <c r="A322" s="5" t="str">
        <f t="shared" si="33"/>
        <v>NAME_ITEM_SOOTHEBELL</v>
      </c>
      <c r="B322" s="3" t="s">
        <v>25095</v>
      </c>
      <c r="C322" s="3" t="s">
        <v>25096</v>
      </c>
      <c r="D322" s="3" t="s">
        <v>25097</v>
      </c>
      <c r="E322" s="3" t="s">
        <v>25098</v>
      </c>
      <c r="F322" s="3" t="s">
        <v>25099</v>
      </c>
      <c r="G322" s="3" t="s">
        <v>25100</v>
      </c>
      <c r="H322" s="3" t="s">
        <v>25101</v>
      </c>
      <c r="I322" s="3" t="s">
        <v>25102</v>
      </c>
      <c r="J322" s="5" t="str">
        <f>IFERROR(__xludf.DUMMYFUNCTION("GOOGLETRANSLATE(I322,""zh_HANT"",""zh_HANS"")"),"安抚之铃")</f>
        <v>安抚之铃</v>
      </c>
    </row>
    <row r="323">
      <c r="A323" s="5" t="str">
        <f t="shared" si="33"/>
        <v>NAME_ITEM_MENTALHERB</v>
      </c>
      <c r="B323" s="3" t="s">
        <v>25103</v>
      </c>
      <c r="C323" s="3" t="s">
        <v>25104</v>
      </c>
      <c r="D323" s="3" t="s">
        <v>25105</v>
      </c>
      <c r="E323" s="3" t="s">
        <v>25106</v>
      </c>
      <c r="F323" s="3" t="s">
        <v>25107</v>
      </c>
      <c r="G323" s="3" t="s">
        <v>25108</v>
      </c>
      <c r="H323" s="3" t="s">
        <v>25109</v>
      </c>
      <c r="I323" s="3" t="s">
        <v>25110</v>
      </c>
      <c r="J323" s="5" t="str">
        <f>IFERROR(__xludf.DUMMYFUNCTION("GOOGLETRANSLATE(I323,""zh_HANT"",""zh_HANS"")"),"心灵香草")</f>
        <v>心灵香草</v>
      </c>
    </row>
    <row r="324">
      <c r="A324" s="5" t="str">
        <f t="shared" si="33"/>
        <v>NAME_ITEM_CHOICEBAND</v>
      </c>
      <c r="B324" s="3" t="s">
        <v>25111</v>
      </c>
      <c r="C324" s="11" t="s">
        <v>25112</v>
      </c>
      <c r="D324" s="3" t="s">
        <v>25113</v>
      </c>
      <c r="E324" s="3" t="s">
        <v>25114</v>
      </c>
      <c r="F324" s="3" t="s">
        <v>25115</v>
      </c>
      <c r="G324" s="3" t="s">
        <v>25116</v>
      </c>
      <c r="H324" s="3" t="s">
        <v>25117</v>
      </c>
      <c r="I324" s="3" t="s">
        <v>25118</v>
      </c>
      <c r="J324" s="5" t="str">
        <f>IFERROR(__xludf.DUMMYFUNCTION("GOOGLETRANSLATE(I324,""zh_HANT"",""zh_HANS"")"),"讲究头带")</f>
        <v>讲究头带</v>
      </c>
    </row>
    <row r="325">
      <c r="A325" s="5" t="str">
        <f t="shared" si="33"/>
        <v>NAME_ITEM_SOULDEW</v>
      </c>
      <c r="B325" s="3" t="s">
        <v>25119</v>
      </c>
      <c r="C325" s="3" t="s">
        <v>25120</v>
      </c>
      <c r="D325" s="3" t="s">
        <v>25121</v>
      </c>
      <c r="E325" s="3" t="s">
        <v>25122</v>
      </c>
      <c r="F325" s="3" t="s">
        <v>25123</v>
      </c>
      <c r="G325" s="3" t="s">
        <v>25124</v>
      </c>
      <c r="H325" s="3" t="s">
        <v>25125</v>
      </c>
      <c r="I325" s="5" t="str">
        <f>J325</f>
        <v>心之水滴</v>
      </c>
      <c r="J325" s="3" t="s">
        <v>25126</v>
      </c>
    </row>
    <row r="326">
      <c r="A326" s="5" t="str">
        <f t="shared" si="33"/>
        <v>NAME_ITEM_DEEPSEATOOTH</v>
      </c>
      <c r="B326" s="3" t="s">
        <v>25127</v>
      </c>
      <c r="C326" s="3" t="s">
        <v>25128</v>
      </c>
      <c r="D326" s="3" t="s">
        <v>25129</v>
      </c>
      <c r="E326" s="3" t="s">
        <v>25130</v>
      </c>
      <c r="F326" s="3" t="s">
        <v>25131</v>
      </c>
      <c r="G326" s="3" t="s">
        <v>25132</v>
      </c>
      <c r="H326" s="3" t="s">
        <v>25133</v>
      </c>
      <c r="I326" s="3" t="s">
        <v>25134</v>
      </c>
      <c r="J326" s="5" t="str">
        <f>I326</f>
        <v>深海之牙</v>
      </c>
    </row>
    <row r="327">
      <c r="A327" s="5" t="str">
        <f t="shared" si="33"/>
        <v>NAME_ITEM_DEEPSEASCALE</v>
      </c>
      <c r="B327" s="3" t="s">
        <v>25135</v>
      </c>
      <c r="C327" s="3" t="s">
        <v>25136</v>
      </c>
      <c r="D327" s="3" t="s">
        <v>25137</v>
      </c>
      <c r="E327" s="3" t="s">
        <v>25138</v>
      </c>
      <c r="F327" s="3" t="s">
        <v>25139</v>
      </c>
      <c r="G327" s="3" t="s">
        <v>25140</v>
      </c>
      <c r="H327" s="3" t="s">
        <v>25141</v>
      </c>
      <c r="I327" s="3" t="s">
        <v>25142</v>
      </c>
      <c r="J327" s="5" t="str">
        <f>IFERROR(__xludf.DUMMYFUNCTION("GOOGLETRANSLATE(I327,""zh_HANT"",""zh_HANS"")"),"深海鳞片")</f>
        <v>深海鳞片</v>
      </c>
    </row>
    <row r="328">
      <c r="A328" s="5" t="str">
        <f t="shared" si="33"/>
        <v>NAME_ITEM_SILKSCARF</v>
      </c>
      <c r="B328" s="3" t="s">
        <v>25143</v>
      </c>
      <c r="C328" s="3" t="s">
        <v>25144</v>
      </c>
      <c r="D328" s="3" t="s">
        <v>25145</v>
      </c>
      <c r="E328" s="3" t="s">
        <v>25146</v>
      </c>
      <c r="F328" s="3" t="s">
        <v>25147</v>
      </c>
      <c r="G328" s="3" t="s">
        <v>25148</v>
      </c>
      <c r="H328" s="3" t="s">
        <v>25149</v>
      </c>
      <c r="I328" s="3" t="s">
        <v>25150</v>
      </c>
      <c r="J328" s="5" t="str">
        <f>IFERROR(__xludf.DUMMYFUNCTION("GOOGLETRANSLATE(I328,""zh_HANT"",""zh_HANS"")"),"丝绸围巾")</f>
        <v>丝绸围巾</v>
      </c>
    </row>
    <row r="329">
      <c r="A329" s="5" t="str">
        <f t="shared" si="33"/>
        <v>NAME_ITEM_SHELLBELL</v>
      </c>
      <c r="B329" s="3" t="s">
        <v>25151</v>
      </c>
      <c r="C329" s="3" t="s">
        <v>25152</v>
      </c>
      <c r="D329" s="3" t="s">
        <v>25153</v>
      </c>
      <c r="E329" s="3" t="s">
        <v>25154</v>
      </c>
      <c r="F329" s="3" t="s">
        <v>25155</v>
      </c>
      <c r="G329" s="3" t="s">
        <v>25156</v>
      </c>
      <c r="H329" s="3" t="s">
        <v>25157</v>
      </c>
      <c r="I329" s="3" t="s">
        <v>25158</v>
      </c>
      <c r="J329" s="5" t="str">
        <f>IFERROR(__xludf.DUMMYFUNCTION("GOOGLETRANSLATE(I329,""zh_HANT"",""zh_HANS"")"),"贝壳之铃")</f>
        <v>贝壳之铃</v>
      </c>
    </row>
    <row r="330">
      <c r="A330" s="5" t="str">
        <f t="shared" si="33"/>
        <v>NAME_ITEM_SEAINCENSE</v>
      </c>
      <c r="B330" s="3" t="s">
        <v>25159</v>
      </c>
      <c r="C330" s="3" t="s">
        <v>25160</v>
      </c>
      <c r="D330" s="3" t="s">
        <v>25161</v>
      </c>
      <c r="E330" s="3" t="s">
        <v>25162</v>
      </c>
      <c r="F330" s="3" t="s">
        <v>25163</v>
      </c>
      <c r="G330" s="3" t="s">
        <v>25164</v>
      </c>
      <c r="H330" s="3" t="s">
        <v>25165</v>
      </c>
      <c r="I330" s="3" t="s">
        <v>25166</v>
      </c>
      <c r="J330" s="5" t="str">
        <f>I330</f>
        <v>海潮薰香</v>
      </c>
    </row>
    <row r="331">
      <c r="A331" s="5" t="str">
        <f t="shared" si="33"/>
        <v>NAME_ITEM_LAXINCENSE</v>
      </c>
      <c r="B331" s="3" t="s">
        <v>25167</v>
      </c>
      <c r="C331" s="3" t="s">
        <v>25168</v>
      </c>
      <c r="D331" s="3" t="s">
        <v>25169</v>
      </c>
      <c r="E331" s="3" t="s">
        <v>25170</v>
      </c>
      <c r="F331" s="3" t="s">
        <v>25171</v>
      </c>
      <c r="G331" s="3" t="s">
        <v>25172</v>
      </c>
      <c r="H331" s="3" t="s">
        <v>25173</v>
      </c>
      <c r="I331" s="3" t="s">
        <v>25174</v>
      </c>
      <c r="J331" s="5" t="str">
        <f>IFERROR(__xludf.DUMMYFUNCTION("GOOGLETRANSLATE(I331,""zh_HANT"",""zh_HANS"")"),"悠闲薰香")</f>
        <v>悠闲薰香</v>
      </c>
    </row>
    <row r="332">
      <c r="A332" s="5" t="str">
        <f t="shared" si="33"/>
        <v>NAME_ITEM_REDSCARF</v>
      </c>
      <c r="B332" s="3" t="s">
        <v>25175</v>
      </c>
      <c r="C332" s="3" t="s">
        <v>25176</v>
      </c>
      <c r="D332" s="3" t="s">
        <v>25177</v>
      </c>
      <c r="E332" s="3" t="s">
        <v>25178</v>
      </c>
      <c r="F332" s="3" t="s">
        <v>25179</v>
      </c>
      <c r="G332" s="3" t="s">
        <v>25180</v>
      </c>
      <c r="H332" s="3" t="s">
        <v>25181</v>
      </c>
      <c r="I332" s="3" t="s">
        <v>25182</v>
      </c>
      <c r="J332" s="5" t="str">
        <f>IFERROR(__xludf.DUMMYFUNCTION("GOOGLETRANSLATE(I332,""zh_HANT"",""zh_HANS"")"),"红色头巾")</f>
        <v>红色头巾</v>
      </c>
    </row>
    <row r="333">
      <c r="A333" s="5" t="str">
        <f t="shared" si="33"/>
        <v>NAME_ITEM_BLUESCARF</v>
      </c>
      <c r="B333" s="3" t="s">
        <v>25183</v>
      </c>
      <c r="C333" s="3" t="s">
        <v>25184</v>
      </c>
      <c r="D333" s="3" t="s">
        <v>25185</v>
      </c>
      <c r="E333" s="3" t="s">
        <v>25186</v>
      </c>
      <c r="F333" s="3" t="s">
        <v>25187</v>
      </c>
      <c r="G333" s="3" t="s">
        <v>25188</v>
      </c>
      <c r="H333" s="3" t="s">
        <v>25189</v>
      </c>
      <c r="I333" s="3" t="s">
        <v>25190</v>
      </c>
      <c r="J333" s="5" t="str">
        <f>IFERROR(__xludf.DUMMYFUNCTION("GOOGLETRANSLATE(I333,""zh_HANT"",""zh_HANS"")"),"蓝色头巾")</f>
        <v>蓝色头巾</v>
      </c>
    </row>
    <row r="334">
      <c r="A334" s="5" t="str">
        <f t="shared" si="33"/>
        <v>NAME_ITEM_PINKSCARF</v>
      </c>
      <c r="B334" s="3" t="s">
        <v>25191</v>
      </c>
      <c r="C334" s="3" t="s">
        <v>25192</v>
      </c>
      <c r="D334" s="3" t="s">
        <v>25193</v>
      </c>
      <c r="E334" s="3" t="s">
        <v>25194</v>
      </c>
      <c r="F334" s="3" t="s">
        <v>25195</v>
      </c>
      <c r="G334" s="3" t="s">
        <v>25196</v>
      </c>
      <c r="H334" s="3" t="s">
        <v>25197</v>
      </c>
      <c r="I334" s="3" t="s">
        <v>25198</v>
      </c>
      <c r="J334" s="5" t="str">
        <f>IFERROR(__xludf.DUMMYFUNCTION("GOOGLETRANSLATE(I334,""zh_HANT"",""zh_HANS"")"),"粉红头巾")</f>
        <v>粉红头巾</v>
      </c>
    </row>
    <row r="335">
      <c r="A335" s="5" t="str">
        <f t="shared" si="33"/>
        <v>NAME_ITEM_GREENSCARF</v>
      </c>
      <c r="B335" s="3" t="s">
        <v>25199</v>
      </c>
      <c r="C335" s="3" t="s">
        <v>25200</v>
      </c>
      <c r="D335" s="3" t="s">
        <v>25201</v>
      </c>
      <c r="E335" s="3" t="s">
        <v>25202</v>
      </c>
      <c r="F335" s="3" t="s">
        <v>25203</v>
      </c>
      <c r="G335" s="3" t="s">
        <v>25204</v>
      </c>
      <c r="H335" s="3" t="s">
        <v>25205</v>
      </c>
      <c r="I335" s="3" t="s">
        <v>25206</v>
      </c>
      <c r="J335" s="5" t="str">
        <f>IFERROR(__xludf.DUMMYFUNCTION("GOOGLETRANSLATE(I335,""zh_HANT"",""zh_HANS"")"),"绿色头巾")</f>
        <v>绿色头巾</v>
      </c>
    </row>
    <row r="336">
      <c r="A336" s="5" t="str">
        <f t="shared" si="33"/>
        <v>NAME_ITEM_YELLOWSCARF</v>
      </c>
      <c r="B336" s="3" t="s">
        <v>25207</v>
      </c>
      <c r="C336" s="3" t="s">
        <v>25208</v>
      </c>
      <c r="D336" s="3" t="s">
        <v>25209</v>
      </c>
      <c r="E336" s="3" t="s">
        <v>25210</v>
      </c>
      <c r="F336" s="3" t="s">
        <v>25211</v>
      </c>
      <c r="G336" s="3" t="s">
        <v>25212</v>
      </c>
      <c r="H336" s="3" t="s">
        <v>25213</v>
      </c>
      <c r="I336" s="3" t="s">
        <v>25214</v>
      </c>
      <c r="J336" s="5" t="str">
        <f>IFERROR(__xludf.DUMMYFUNCTION("GOOGLETRANSLATE(I336,""zh_HANT"",""zh_HANS"")"),"黄色头巾")</f>
        <v>黄色头巾</v>
      </c>
    </row>
    <row r="337">
      <c r="A337" s="5" t="str">
        <f t="shared" si="33"/>
        <v>NAME_ITEM_REDORB</v>
      </c>
      <c r="B337" s="3" t="s">
        <v>25215</v>
      </c>
      <c r="C337" s="3" t="s">
        <v>25216</v>
      </c>
      <c r="D337" s="3" t="s">
        <v>25217</v>
      </c>
      <c r="E337" s="3" t="s">
        <v>25218</v>
      </c>
      <c r="F337" s="3" t="s">
        <v>25219</v>
      </c>
      <c r="G337" s="3" t="s">
        <v>25220</v>
      </c>
      <c r="H337" s="3" t="s">
        <v>25221</v>
      </c>
      <c r="I337" s="3" t="s">
        <v>25222</v>
      </c>
      <c r="J337" s="5" t="str">
        <f>IFERROR(__xludf.DUMMYFUNCTION("GOOGLETRANSLATE(I337,""zh_HANT"",""zh_HANS"")"),"朱红色宝珠")</f>
        <v>朱红色宝珠</v>
      </c>
    </row>
    <row r="338">
      <c r="A338" s="5" t="str">
        <f t="shared" si="33"/>
        <v>NAME_ITEM_BLUEORB</v>
      </c>
      <c r="B338" s="3" t="s">
        <v>25223</v>
      </c>
      <c r="C338" s="3" t="s">
        <v>25224</v>
      </c>
      <c r="D338" s="3" t="s">
        <v>25225</v>
      </c>
      <c r="E338" s="3" t="s">
        <v>25226</v>
      </c>
      <c r="F338" s="3" t="s">
        <v>25227</v>
      </c>
      <c r="G338" s="3" t="s">
        <v>25228</v>
      </c>
      <c r="H338" s="3" t="s">
        <v>25229</v>
      </c>
      <c r="I338" s="3" t="s">
        <v>25230</v>
      </c>
      <c r="J338" s="5" t="str">
        <f>IFERROR(__xludf.DUMMYFUNCTION("GOOGLETRANSLATE(I338,""zh_HANT"",""zh_HANS"")"),"靛蓝色宝珠")</f>
        <v>靛蓝色宝珠</v>
      </c>
    </row>
    <row r="339">
      <c r="A339" s="5" t="str">
        <f t="shared" si="33"/>
        <v>NAME_ITEM_FLAMEPLATE</v>
      </c>
      <c r="B339" s="3" t="s">
        <v>25231</v>
      </c>
      <c r="C339" s="5" t="str">
        <f>CONCATENATE("ひのたま","プレート")</f>
        <v>ひのたまプレート</v>
      </c>
      <c r="D339" s="3" t="s">
        <v>25232</v>
      </c>
      <c r="E339" s="3" t="s">
        <v>25233</v>
      </c>
      <c r="F339" s="3" t="s">
        <v>25234</v>
      </c>
      <c r="G339" s="3" t="s">
        <v>25235</v>
      </c>
      <c r="H339" s="3" t="s">
        <v>25236</v>
      </c>
      <c r="I339" s="3" t="s">
        <v>25237</v>
      </c>
      <c r="J339" s="5" t="str">
        <f t="shared" ref="J339:J340" si="34">I339</f>
        <v>火球石板</v>
      </c>
    </row>
    <row r="340">
      <c r="A340" s="5" t="str">
        <f t="shared" si="33"/>
        <v>NAME_ITEM_SPLASHPLATE</v>
      </c>
      <c r="B340" s="3" t="s">
        <v>25238</v>
      </c>
      <c r="C340" s="5" t="str">
        <f>CONCATENATE("しずく","プレート")</f>
        <v>しずくプレート</v>
      </c>
      <c r="D340" s="3" t="s">
        <v>25239</v>
      </c>
      <c r="E340" s="3" t="s">
        <v>25240</v>
      </c>
      <c r="F340" s="3" t="s">
        <v>25241</v>
      </c>
      <c r="G340" s="3" t="s">
        <v>25242</v>
      </c>
      <c r="H340" s="3" t="s">
        <v>25243</v>
      </c>
      <c r="I340" s="3" t="s">
        <v>25244</v>
      </c>
      <c r="J340" s="5" t="str">
        <f t="shared" si="34"/>
        <v>水滴石板</v>
      </c>
    </row>
    <row r="341">
      <c r="A341" s="5" t="str">
        <f t="shared" si="33"/>
        <v>NAME_ITEM_ZAPPLATE</v>
      </c>
      <c r="B341" s="3" t="s">
        <v>25245</v>
      </c>
      <c r="C341" s="5" t="str">
        <f>CONCATENATE("いかずち","プレート")</f>
        <v>いかずちプレート</v>
      </c>
      <c r="D341" s="3" t="s">
        <v>25246</v>
      </c>
      <c r="E341" s="3" t="s">
        <v>25247</v>
      </c>
      <c r="F341" s="3" t="s">
        <v>25248</v>
      </c>
      <c r="G341" s="3" t="s">
        <v>25249</v>
      </c>
      <c r="H341" s="3" t="s">
        <v>25250</v>
      </c>
      <c r="I341" s="3" t="s">
        <v>25251</v>
      </c>
      <c r="J341" s="5" t="str">
        <f>IFERROR(__xludf.DUMMYFUNCTION("GOOGLETRANSLATE(I341,""zh_HANT"",""zh_HANS"")"),"雷电石板")</f>
        <v>雷电石板</v>
      </c>
    </row>
    <row r="342">
      <c r="A342" s="5" t="str">
        <f t="shared" si="33"/>
        <v>NAME_ITEM_MEADOWPLATE</v>
      </c>
      <c r="B342" s="3" t="s">
        <v>25252</v>
      </c>
      <c r="C342" s="5" t="str">
        <f>CONCATENATE("みどりの","プレート")</f>
        <v>みどりのプレート</v>
      </c>
      <c r="D342" s="3" t="s">
        <v>25253</v>
      </c>
      <c r="E342" s="3" t="s">
        <v>25254</v>
      </c>
      <c r="F342" s="3" t="s">
        <v>25255</v>
      </c>
      <c r="G342" s="3" t="s">
        <v>25256</v>
      </c>
      <c r="H342" s="3" t="s">
        <v>25257</v>
      </c>
      <c r="I342" s="3" t="s">
        <v>25258</v>
      </c>
      <c r="J342" s="5" t="str">
        <f>IFERROR(__xludf.DUMMYFUNCTION("GOOGLETRANSLATE(I342,""zh_HANT"",""zh_HANS"")"),"碧绿石板")</f>
        <v>碧绿石板</v>
      </c>
    </row>
    <row r="343">
      <c r="A343" s="5" t="str">
        <f t="shared" si="33"/>
        <v>NAME_ITEM_ICICLEPLATE</v>
      </c>
      <c r="B343" s="3" t="s">
        <v>25259</v>
      </c>
      <c r="C343" s="5" t="str">
        <f>CONCATENATE("つららの","プレート")</f>
        <v>つららのプレート</v>
      </c>
      <c r="D343" s="3" t="s">
        <v>25260</v>
      </c>
      <c r="E343" s="3" t="s">
        <v>25261</v>
      </c>
      <c r="F343" s="3" t="s">
        <v>25262</v>
      </c>
      <c r="G343" s="3" t="s">
        <v>25263</v>
      </c>
      <c r="H343" s="3" t="s">
        <v>25264</v>
      </c>
      <c r="I343" s="3" t="s">
        <v>25265</v>
      </c>
      <c r="J343" s="5" t="str">
        <f>I343</f>
        <v>冰柱石板</v>
      </c>
    </row>
    <row r="344">
      <c r="A344" s="5" t="str">
        <f t="shared" si="33"/>
        <v>NAME_ITEM_FISTPLATE</v>
      </c>
      <c r="B344" s="3" t="s">
        <v>25266</v>
      </c>
      <c r="C344" s="5" t="str">
        <f>CONCATENATE("こぶしの","プレート")</f>
        <v>こぶしのプレート</v>
      </c>
      <c r="D344" s="3" t="s">
        <v>25267</v>
      </c>
      <c r="E344" s="3" t="s">
        <v>25268</v>
      </c>
      <c r="F344" s="3" t="s">
        <v>25269</v>
      </c>
      <c r="G344" s="3" t="s">
        <v>25270</v>
      </c>
      <c r="H344" s="3" t="s">
        <v>25271</v>
      </c>
      <c r="I344" s="3" t="s">
        <v>25272</v>
      </c>
      <c r="J344" s="5" t="str">
        <f>IFERROR(__xludf.DUMMYFUNCTION("GOOGLETRANSLATE(I344,""zh_HANT"",""zh_HANS"")"),"拳头石板")</f>
        <v>拳头石板</v>
      </c>
    </row>
    <row r="345">
      <c r="A345" s="5" t="str">
        <f t="shared" si="33"/>
        <v>NAME_ITEM_TOXICPLATE</v>
      </c>
      <c r="B345" s="3" t="s">
        <v>25273</v>
      </c>
      <c r="C345" s="5" t="str">
        <f>CONCATENATE("もうどく","プレート")</f>
        <v>もうどくプレート</v>
      </c>
      <c r="D345" s="3" t="s">
        <v>25274</v>
      </c>
      <c r="E345" s="3" t="s">
        <v>25275</v>
      </c>
      <c r="F345" s="3" t="s">
        <v>25276</v>
      </c>
      <c r="G345" s="3" t="s">
        <v>25277</v>
      </c>
      <c r="H345" s="3" t="s">
        <v>25278</v>
      </c>
      <c r="I345" s="3" t="s">
        <v>25279</v>
      </c>
      <c r="J345" s="5" t="str">
        <f>IFERROR(__xludf.DUMMYFUNCTION("GOOGLETRANSLATE(I345,""zh_HANT"",""zh_HANS"")"),"剧毒石板")</f>
        <v>剧毒石板</v>
      </c>
    </row>
    <row r="346">
      <c r="A346" s="5" t="str">
        <f t="shared" si="33"/>
        <v>NAME_ITEM_EARTHPLATE</v>
      </c>
      <c r="B346" s="3" t="s">
        <v>25280</v>
      </c>
      <c r="C346" s="5" t="str">
        <f>CONCATENATE("だいちの","プレート")</f>
        <v>だいちのプレート</v>
      </c>
      <c r="D346" s="3" t="s">
        <v>25281</v>
      </c>
      <c r="E346" s="3" t="s">
        <v>25282</v>
      </c>
      <c r="F346" s="3" t="s">
        <v>25283</v>
      </c>
      <c r="G346" s="3" t="s">
        <v>25284</v>
      </c>
      <c r="H346" s="3" t="s">
        <v>25285</v>
      </c>
      <c r="I346" s="3" t="s">
        <v>25286</v>
      </c>
      <c r="J346" s="5" t="str">
        <f>I346</f>
        <v>大地石板</v>
      </c>
    </row>
    <row r="347">
      <c r="A347" s="5" t="str">
        <f t="shared" si="33"/>
        <v>NAME_ITEM_SKYPLATE</v>
      </c>
      <c r="B347" s="3" t="s">
        <v>25287</v>
      </c>
      <c r="C347" s="5" t="str">
        <f>CONCATENATE("あおぞら","プレート")</f>
        <v>あおぞらプレート</v>
      </c>
      <c r="D347" s="3" t="s">
        <v>25288</v>
      </c>
      <c r="E347" s="3" t="s">
        <v>25289</v>
      </c>
      <c r="F347" s="3" t="s">
        <v>25290</v>
      </c>
      <c r="G347" s="3" t="s">
        <v>25291</v>
      </c>
      <c r="H347" s="3" t="s">
        <v>25292</v>
      </c>
      <c r="I347" s="3" t="s">
        <v>25293</v>
      </c>
      <c r="J347" s="5" t="str">
        <f>IFERROR(__xludf.DUMMYFUNCTION("GOOGLETRANSLATE(I347,""zh_HANT"",""zh_HANS"")"),"蓝天石板")</f>
        <v>蓝天石板</v>
      </c>
    </row>
    <row r="348">
      <c r="A348" s="5" t="str">
        <f t="shared" si="33"/>
        <v>NAME_ITEM_MINDPLATE</v>
      </c>
      <c r="B348" s="3" t="s">
        <v>25294</v>
      </c>
      <c r="C348" s="5" t="str">
        <f>CONCATENATE("ふしぎの","プレート")</f>
        <v>ふしぎのプレート</v>
      </c>
      <c r="D348" s="3" t="s">
        <v>25295</v>
      </c>
      <c r="E348" s="3" t="s">
        <v>25296</v>
      </c>
      <c r="F348" s="3" t="s">
        <v>25297</v>
      </c>
      <c r="G348" s="3" t="s">
        <v>25298</v>
      </c>
      <c r="H348" s="3" t="s">
        <v>25299</v>
      </c>
      <c r="I348" s="3" t="s">
        <v>25300</v>
      </c>
      <c r="J348" s="5" t="str">
        <f>I348</f>
        <v>神奇石板</v>
      </c>
    </row>
    <row r="349">
      <c r="A349" s="5" t="str">
        <f t="shared" si="33"/>
        <v>NAME_ITEM_INSECTPLATE</v>
      </c>
      <c r="B349" s="3" t="s">
        <v>25301</v>
      </c>
      <c r="C349" s="5" t="str">
        <f>CONCATENATE("たまむし","プレート")</f>
        <v>たまむしプレート</v>
      </c>
      <c r="D349" s="3" t="s">
        <v>25302</v>
      </c>
      <c r="E349" s="3" t="s">
        <v>25303</v>
      </c>
      <c r="F349" s="3" t="s">
        <v>25304</v>
      </c>
      <c r="G349" s="3" t="s">
        <v>25305</v>
      </c>
      <c r="H349" s="3" t="s">
        <v>25306</v>
      </c>
      <c r="I349" s="3" t="s">
        <v>25307</v>
      </c>
      <c r="J349" s="5" t="str">
        <f>IFERROR(__xludf.DUMMYFUNCTION("GOOGLETRANSLATE(I349,""zh_HANT"",""zh_HANS"")"),"玉虫石板")</f>
        <v>玉虫石板</v>
      </c>
    </row>
    <row r="350">
      <c r="A350" s="5" t="str">
        <f t="shared" si="33"/>
        <v>NAME_ITEM_STONEPLATE</v>
      </c>
      <c r="B350" s="3" t="s">
        <v>25308</v>
      </c>
      <c r="C350" s="5" t="str">
        <f>CONCATENATE("がんせき","プレート")</f>
        <v>がんせきプレート</v>
      </c>
      <c r="D350" s="3" t="s">
        <v>25309</v>
      </c>
      <c r="E350" s="3" t="s">
        <v>25310</v>
      </c>
      <c r="F350" s="3" t="s">
        <v>25311</v>
      </c>
      <c r="G350" s="3" t="s">
        <v>25312</v>
      </c>
      <c r="H350" s="3" t="s">
        <v>25313</v>
      </c>
      <c r="I350" s="3" t="s">
        <v>25314</v>
      </c>
      <c r="J350" s="5" t="str">
        <f t="shared" ref="J350:J351" si="35">I350</f>
        <v>岩石石板</v>
      </c>
    </row>
    <row r="351">
      <c r="A351" s="5" t="str">
        <f t="shared" si="33"/>
        <v>NAME_ITEM_SPOOKYPLATE</v>
      </c>
      <c r="B351" s="3" t="s">
        <v>25315</v>
      </c>
      <c r="C351" s="5" t="str">
        <f>CONCATENATE("もののけ","プレート")</f>
        <v>もののけプレート</v>
      </c>
      <c r="D351" s="3" t="s">
        <v>25316</v>
      </c>
      <c r="E351" s="3" t="s">
        <v>25317</v>
      </c>
      <c r="F351" s="3" t="s">
        <v>25318</v>
      </c>
      <c r="G351" s="3" t="s">
        <v>25319</v>
      </c>
      <c r="H351" s="3" t="s">
        <v>25320</v>
      </c>
      <c r="I351" s="3" t="s">
        <v>25321</v>
      </c>
      <c r="J351" s="5" t="str">
        <f t="shared" si="35"/>
        <v>妖怪石板</v>
      </c>
    </row>
    <row r="352">
      <c r="A352" s="5" t="str">
        <f t="shared" si="33"/>
        <v>NAME_ITEM_DRACOPLATE</v>
      </c>
      <c r="B352" s="3" t="s">
        <v>25322</v>
      </c>
      <c r="C352" s="5" t="str">
        <f>CONCATENATE("りゅうの","プレート")</f>
        <v>りゅうのプレート</v>
      </c>
      <c r="D352" s="3" t="s">
        <v>25323</v>
      </c>
      <c r="E352" s="3" t="s">
        <v>25324</v>
      </c>
      <c r="F352" s="3" t="s">
        <v>25325</v>
      </c>
      <c r="G352" s="3" t="s">
        <v>25326</v>
      </c>
      <c r="H352" s="3" t="s">
        <v>25327</v>
      </c>
      <c r="I352" s="3" t="s">
        <v>25328</v>
      </c>
      <c r="J352" s="5" t="str">
        <f>IFERROR(__xludf.DUMMYFUNCTION("GOOGLETRANSLATE(I352,""zh_HANT"",""zh_HANS"")"),"龙之石板")</f>
        <v>龙之石板</v>
      </c>
    </row>
    <row r="353">
      <c r="A353" s="5" t="str">
        <f t="shared" si="33"/>
        <v>NAME_ITEM_DREADPLATE</v>
      </c>
      <c r="B353" s="3" t="s">
        <v>25329</v>
      </c>
      <c r="C353" s="5" t="str">
        <f>CONCATENATE("こわもて","プレート")</f>
        <v>こわもてプレート</v>
      </c>
      <c r="D353" s="3" t="s">
        <v>25330</v>
      </c>
      <c r="E353" s="3" t="s">
        <v>25331</v>
      </c>
      <c r="F353" s="3" t="s">
        <v>25332</v>
      </c>
      <c r="G353" s="3" t="s">
        <v>25333</v>
      </c>
      <c r="H353" s="3" t="s">
        <v>25334</v>
      </c>
      <c r="I353" s="3" t="s">
        <v>25335</v>
      </c>
      <c r="J353" s="5" t="str">
        <f>IFERROR(__xludf.DUMMYFUNCTION("GOOGLETRANSLATE(I353,""zh_HANT"",""zh_HANS"")"),"恶颜石板")</f>
        <v>恶颜石板</v>
      </c>
    </row>
    <row r="354">
      <c r="A354" s="5" t="str">
        <f t="shared" si="33"/>
        <v>NAME_ITEM_IRONPLATE</v>
      </c>
      <c r="B354" s="3" t="s">
        <v>25336</v>
      </c>
      <c r="C354" s="5" t="str">
        <f>CONCATENATE("こうけつ","プレート")</f>
        <v>こうけつプレート</v>
      </c>
      <c r="D354" s="3" t="s">
        <v>25337</v>
      </c>
      <c r="E354" s="3" t="s">
        <v>25338</v>
      </c>
      <c r="F354" s="3" t="s">
        <v>25339</v>
      </c>
      <c r="G354" s="3" t="s">
        <v>25340</v>
      </c>
      <c r="H354" s="3" t="s">
        <v>25341</v>
      </c>
      <c r="I354" s="3" t="s">
        <v>25342</v>
      </c>
      <c r="J354" s="5" t="str">
        <f>IFERROR(__xludf.DUMMYFUNCTION("GOOGLETRANSLATE(I354,""zh_HANT"",""zh_HANS"")"),"钢铁石板")</f>
        <v>钢铁石板</v>
      </c>
    </row>
    <row r="355">
      <c r="A355" s="5" t="str">
        <f t="shared" si="33"/>
        <v>NAME_ITEM_ODDINCENSE</v>
      </c>
      <c r="B355" s="3" t="s">
        <v>25343</v>
      </c>
      <c r="C355" s="3" t="s">
        <v>25344</v>
      </c>
      <c r="D355" s="3" t="s">
        <v>25345</v>
      </c>
      <c r="E355" s="3" t="s">
        <v>25346</v>
      </c>
      <c r="F355" s="3" t="s">
        <v>25347</v>
      </c>
      <c r="G355" s="3" t="s">
        <v>25348</v>
      </c>
      <c r="H355" s="3" t="s">
        <v>25349</v>
      </c>
      <c r="I355" s="3" t="s">
        <v>25350</v>
      </c>
      <c r="J355" s="5" t="str">
        <f>IFERROR(__xludf.DUMMYFUNCTION("GOOGLETRANSLATE(I355,""zh_HANT"",""zh_HANS"")"),"奇异薰香")</f>
        <v>奇异薰香</v>
      </c>
    </row>
    <row r="356">
      <c r="A356" s="5" t="str">
        <f t="shared" si="33"/>
        <v>NAME_ITEM_ROCKINCENSE</v>
      </c>
      <c r="B356" s="3" t="s">
        <v>25351</v>
      </c>
      <c r="C356" s="3" t="s">
        <v>25352</v>
      </c>
      <c r="D356" s="3" t="s">
        <v>25353</v>
      </c>
      <c r="E356" s="3" t="s">
        <v>25354</v>
      </c>
      <c r="F356" s="3" t="s">
        <v>25355</v>
      </c>
      <c r="G356" s="3" t="s">
        <v>25356</v>
      </c>
      <c r="H356" s="3" t="s">
        <v>25357</v>
      </c>
      <c r="I356" s="3" t="s">
        <v>25358</v>
      </c>
      <c r="J356" s="5" t="str">
        <f>I356</f>
        <v>岩石薰香</v>
      </c>
    </row>
    <row r="357">
      <c r="A357" s="5" t="str">
        <f t="shared" si="33"/>
        <v>NAME_ITEM_FULLINCENSE</v>
      </c>
      <c r="B357" s="3" t="s">
        <v>25359</v>
      </c>
      <c r="C357" s="3" t="s">
        <v>25360</v>
      </c>
      <c r="D357" s="3" t="s">
        <v>25361</v>
      </c>
      <c r="E357" s="3" t="s">
        <v>25362</v>
      </c>
      <c r="F357" s="3" t="s">
        <v>25363</v>
      </c>
      <c r="G357" s="3" t="s">
        <v>25364</v>
      </c>
      <c r="H357" s="3" t="s">
        <v>25365</v>
      </c>
      <c r="I357" s="3" t="s">
        <v>25366</v>
      </c>
      <c r="J357" s="5" t="str">
        <f>IFERROR(__xludf.DUMMYFUNCTION("GOOGLETRANSLATE(I357,""zh_HANT"",""zh_HANS"")"),"饱腹薰香")</f>
        <v>饱腹薰香</v>
      </c>
    </row>
    <row r="358">
      <c r="A358" s="5" t="str">
        <f t="shared" si="33"/>
        <v>NAME_ITEM_WAVEINCENSE</v>
      </c>
      <c r="B358" s="3" t="s">
        <v>25367</v>
      </c>
      <c r="C358" s="3" t="s">
        <v>25368</v>
      </c>
      <c r="D358" s="3" t="s">
        <v>25369</v>
      </c>
      <c r="E358" s="3" t="s">
        <v>25370</v>
      </c>
      <c r="F358" s="3" t="s">
        <v>25371</v>
      </c>
      <c r="G358" s="3" t="s">
        <v>25372</v>
      </c>
      <c r="H358" s="3" t="s">
        <v>25373</v>
      </c>
      <c r="I358" s="3" t="s">
        <v>25374</v>
      </c>
      <c r="J358" s="5" t="str">
        <f>IFERROR(__xludf.DUMMYFUNCTION("GOOGLETRANSLATE(I358,""zh_HANT"",""zh_HANS"")"),"涟漪薰香")</f>
        <v>涟漪薰香</v>
      </c>
    </row>
    <row r="359">
      <c r="A359" s="5" t="str">
        <f t="shared" si="33"/>
        <v>NAME_ITEM_ROSEINCENSE</v>
      </c>
      <c r="B359" s="3" t="s">
        <v>25375</v>
      </c>
      <c r="C359" s="3" t="s">
        <v>25376</v>
      </c>
      <c r="D359" s="3" t="s">
        <v>25377</v>
      </c>
      <c r="E359" s="3" t="s">
        <v>25378</v>
      </c>
      <c r="F359" s="3" t="s">
        <v>25379</v>
      </c>
      <c r="G359" s="3" t="s">
        <v>25380</v>
      </c>
      <c r="H359" s="3" t="s">
        <v>25381</v>
      </c>
      <c r="I359" s="3" t="s">
        <v>25382</v>
      </c>
      <c r="J359" s="5" t="str">
        <f>I359</f>
        <v>花朵薰香</v>
      </c>
    </row>
    <row r="360">
      <c r="A360" s="5" t="str">
        <f t="shared" si="33"/>
        <v>NAME_ITEM_LUCKINCENSE</v>
      </c>
      <c r="B360" s="3" t="s">
        <v>25383</v>
      </c>
      <c r="C360" s="3" t="s">
        <v>25384</v>
      </c>
      <c r="D360" s="3" t="s">
        <v>25385</v>
      </c>
      <c r="E360" s="3" t="s">
        <v>25386</v>
      </c>
      <c r="F360" s="3" t="s">
        <v>25387</v>
      </c>
      <c r="G360" s="3" t="s">
        <v>25388</v>
      </c>
      <c r="H360" s="3" t="s">
        <v>25389</v>
      </c>
      <c r="I360" s="3" t="s">
        <v>25390</v>
      </c>
      <c r="J360" s="5" t="str">
        <f>IFERROR(__xludf.DUMMYFUNCTION("GOOGLETRANSLATE(I360,""zh_HANT"",""zh_HANS"")"),"幸运薰香")</f>
        <v>幸运薰香</v>
      </c>
    </row>
    <row r="361">
      <c r="A361" s="5" t="str">
        <f t="shared" si="33"/>
        <v>NAME_ITEM_PUREINCENSE</v>
      </c>
      <c r="B361" s="3" t="s">
        <v>25391</v>
      </c>
      <c r="C361" s="3" t="s">
        <v>25392</v>
      </c>
      <c r="D361" s="3" t="s">
        <v>25393</v>
      </c>
      <c r="E361" s="3" t="s">
        <v>25394</v>
      </c>
      <c r="F361" s="3" t="s">
        <v>25395</v>
      </c>
      <c r="G361" s="3" t="s">
        <v>25396</v>
      </c>
      <c r="H361" s="3" t="s">
        <v>25397</v>
      </c>
      <c r="I361" s="3" t="s">
        <v>25398</v>
      </c>
      <c r="J361" s="5" t="str">
        <f>IFERROR(__xludf.DUMMYFUNCTION("GOOGLETRANSLATE(I361,""zh_HANT"",""zh_HANS"")"),"洁净薰香")</f>
        <v>洁净薰香</v>
      </c>
    </row>
    <row r="362">
      <c r="A362" s="5" t="str">
        <f t="shared" si="33"/>
        <v>NAME_ITEM_PROTECTOR</v>
      </c>
      <c r="B362" s="3" t="s">
        <v>25399</v>
      </c>
      <c r="C362" s="3" t="s">
        <v>25400</v>
      </c>
      <c r="D362" s="3" t="s">
        <v>25401</v>
      </c>
      <c r="E362" s="3" t="s">
        <v>25402</v>
      </c>
      <c r="F362" s="5" t="str">
        <f>B362</f>
        <v>Protector</v>
      </c>
      <c r="G362" s="3" t="s">
        <v>25403</v>
      </c>
      <c r="H362" s="3" t="s">
        <v>25404</v>
      </c>
      <c r="I362" s="3" t="s">
        <v>25405</v>
      </c>
      <c r="J362" s="5" t="str">
        <f>IFERROR(__xludf.DUMMYFUNCTION("GOOGLETRANSLATE(I362,""zh_HANT"",""zh_HANS"")"),"护具")</f>
        <v>护具</v>
      </c>
    </row>
    <row r="363">
      <c r="A363" s="5" t="str">
        <f t="shared" si="33"/>
        <v>NAME_ITEM_ELECTIRIZER</v>
      </c>
      <c r="B363" s="3" t="s">
        <v>25406</v>
      </c>
      <c r="C363" s="3" t="s">
        <v>25407</v>
      </c>
      <c r="D363" s="3" t="s">
        <v>25408</v>
      </c>
      <c r="E363" s="3" t="s">
        <v>25409</v>
      </c>
      <c r="F363" s="3" t="s">
        <v>25410</v>
      </c>
      <c r="G363" s="3" t="s">
        <v>25411</v>
      </c>
      <c r="H363" s="3" t="s">
        <v>25412</v>
      </c>
      <c r="I363" s="3" t="s">
        <v>25413</v>
      </c>
      <c r="J363" s="5" t="str">
        <f>IFERROR(__xludf.DUMMYFUNCTION("GOOGLETRANSLATE(I363,""zh_HANT"",""zh_HANS"")"),"电力增幅器")</f>
        <v>电力增幅器</v>
      </c>
    </row>
    <row r="364">
      <c r="A364" s="5" t="str">
        <f t="shared" si="33"/>
        <v>NAME_ITEM_MAGMARIZER</v>
      </c>
      <c r="B364" s="3" t="s">
        <v>25414</v>
      </c>
      <c r="C364" s="3" t="s">
        <v>25415</v>
      </c>
      <c r="D364" s="3" t="s">
        <v>25416</v>
      </c>
      <c r="E364" s="3" t="s">
        <v>25417</v>
      </c>
      <c r="F364" s="3" t="s">
        <v>25418</v>
      </c>
      <c r="G364" s="3" t="s">
        <v>25419</v>
      </c>
      <c r="H364" s="3" t="s">
        <v>25420</v>
      </c>
      <c r="I364" s="3" t="s">
        <v>25421</v>
      </c>
      <c r="J364" s="5" t="str">
        <f>I364</f>
        <v>熔岩增幅器</v>
      </c>
    </row>
    <row r="365">
      <c r="A365" s="5" t="str">
        <f t="shared" si="33"/>
        <v>NAME_ITEM_DUBIOUSDISC</v>
      </c>
      <c r="B365" s="3" t="s">
        <v>25422</v>
      </c>
      <c r="C365" s="3" t="s">
        <v>25423</v>
      </c>
      <c r="D365" s="3" t="s">
        <v>25424</v>
      </c>
      <c r="E365" s="3" t="s">
        <v>25425</v>
      </c>
      <c r="F365" s="3" t="s">
        <v>25426</v>
      </c>
      <c r="G365" s="3" t="s">
        <v>25427</v>
      </c>
      <c r="H365" s="3" t="s">
        <v>25428</v>
      </c>
      <c r="I365" s="3" t="s">
        <v>25429</v>
      </c>
      <c r="J365" s="5" t="str">
        <f>IFERROR(__xludf.DUMMYFUNCTION("GOOGLETRANSLATE(I365,""zh_HANT"",""zh_HANS"")"),"可疑补丁")</f>
        <v>可疑补丁</v>
      </c>
    </row>
    <row r="366">
      <c r="A366" s="5" t="str">
        <f t="shared" si="33"/>
        <v>NAME_ITEM_REAPERCLOTH</v>
      </c>
      <c r="B366" s="3" t="s">
        <v>25430</v>
      </c>
      <c r="C366" s="3" t="s">
        <v>25431</v>
      </c>
      <c r="D366" s="3" t="s">
        <v>25432</v>
      </c>
      <c r="E366" s="3" t="s">
        <v>25433</v>
      </c>
      <c r="F366" s="3" t="s">
        <v>25434</v>
      </c>
      <c r="G366" s="3" t="s">
        <v>25435</v>
      </c>
      <c r="H366" s="3" t="s">
        <v>25436</v>
      </c>
      <c r="I366" s="3" t="s">
        <v>25437</v>
      </c>
      <c r="J366" s="5" t="str">
        <f>IFERROR(__xludf.DUMMYFUNCTION("GOOGLETRANSLATE(I366,""zh_HANT"",""zh_HANS"")"),"灵界之布")</f>
        <v>灵界之布</v>
      </c>
    </row>
    <row r="367">
      <c r="A367" s="5" t="str">
        <f t="shared" si="33"/>
        <v>NAME_ITEM_RAZORCLAW</v>
      </c>
      <c r="B367" s="3" t="s">
        <v>25438</v>
      </c>
      <c r="C367" s="3" t="s">
        <v>25439</v>
      </c>
      <c r="D367" s="3" t="s">
        <v>25440</v>
      </c>
      <c r="E367" s="3" t="s">
        <v>25441</v>
      </c>
      <c r="F367" s="3" t="s">
        <v>25442</v>
      </c>
      <c r="G367" s="3" t="s">
        <v>25443</v>
      </c>
      <c r="H367" s="3" t="s">
        <v>25444</v>
      </c>
      <c r="I367" s="3" t="s">
        <v>25445</v>
      </c>
      <c r="J367" s="5" t="str">
        <f>IFERROR(__xludf.DUMMYFUNCTION("GOOGLETRANSLATE(I367,""zh_HANT"",""zh_HANS"")"),"锐利之爪")</f>
        <v>锐利之爪</v>
      </c>
    </row>
    <row r="368">
      <c r="A368" s="5" t="str">
        <f t="shared" si="33"/>
        <v>NAME_ITEM_RAZORFANG</v>
      </c>
      <c r="B368" s="3" t="s">
        <v>25446</v>
      </c>
      <c r="C368" s="3" t="s">
        <v>25447</v>
      </c>
      <c r="D368" s="3" t="s">
        <v>25448</v>
      </c>
      <c r="E368" s="3" t="s">
        <v>25449</v>
      </c>
      <c r="F368" s="3" t="s">
        <v>25450</v>
      </c>
      <c r="G368" s="3" t="s">
        <v>25451</v>
      </c>
      <c r="H368" s="3" t="s">
        <v>25452</v>
      </c>
      <c r="I368" s="3" t="s">
        <v>25453</v>
      </c>
      <c r="J368" s="5" t="str">
        <f>IFERROR(__xludf.DUMMYFUNCTION("GOOGLETRANSLATE(I368,""zh_HANT"",""zh_HANS"")"),"锐利之牙")</f>
        <v>锐利之牙</v>
      </c>
    </row>
    <row r="369">
      <c r="A369" s="5" t="str">
        <f t="shared" si="33"/>
        <v>NAME_ITEM_OVALSTONE</v>
      </c>
      <c r="B369" s="3" t="s">
        <v>25454</v>
      </c>
      <c r="C369" s="3" t="s">
        <v>25455</v>
      </c>
      <c r="D369" s="3" t="s">
        <v>25456</v>
      </c>
      <c r="E369" s="3" t="s">
        <v>25457</v>
      </c>
      <c r="F369" s="3" t="s">
        <v>25458</v>
      </c>
      <c r="G369" s="3" t="s">
        <v>25459</v>
      </c>
      <c r="H369" s="3" t="s">
        <v>25460</v>
      </c>
      <c r="I369" s="3" t="s">
        <v>25461</v>
      </c>
      <c r="J369" s="5" t="str">
        <f>IFERROR(__xludf.DUMMYFUNCTION("GOOGLETRANSLATE(I369,""zh_HANT"",""zh_HANS"")"),"浑圆之石")</f>
        <v>浑圆之石</v>
      </c>
    </row>
    <row r="370">
      <c r="A370" s="5" t="str">
        <f t="shared" si="33"/>
        <v>NAME_ITEM_ADAMANTORB</v>
      </c>
      <c r="B370" s="3" t="s">
        <v>25462</v>
      </c>
      <c r="C370" s="3" t="s">
        <v>25463</v>
      </c>
      <c r="D370" s="3" t="s">
        <v>25464</v>
      </c>
      <c r="E370" s="3" t="s">
        <v>25465</v>
      </c>
      <c r="F370" s="3" t="s">
        <v>25466</v>
      </c>
      <c r="G370" s="3" t="s">
        <v>25467</v>
      </c>
      <c r="H370" s="3" t="s">
        <v>25468</v>
      </c>
      <c r="I370" s="3" t="s">
        <v>25469</v>
      </c>
      <c r="J370" s="5" t="str">
        <f>IFERROR(__xludf.DUMMYFUNCTION("GOOGLETRANSLATE(I370,""zh_HANT"",""zh_HANS"")"),"金刚宝珠")</f>
        <v>金刚宝珠</v>
      </c>
    </row>
    <row r="371">
      <c r="A371" s="5" t="str">
        <f t="shared" si="33"/>
        <v>NAME_ITEM_LUSTROUSORB</v>
      </c>
      <c r="B371" s="3" t="s">
        <v>25470</v>
      </c>
      <c r="C371" s="3" t="s">
        <v>25471</v>
      </c>
      <c r="D371" s="3" t="s">
        <v>25472</v>
      </c>
      <c r="E371" s="3" t="s">
        <v>25473</v>
      </c>
      <c r="F371" s="3" t="s">
        <v>25474</v>
      </c>
      <c r="G371" s="3" t="s">
        <v>25475</v>
      </c>
      <c r="H371" s="3" t="s">
        <v>25476</v>
      </c>
      <c r="I371" s="3" t="s">
        <v>25477</v>
      </c>
      <c r="J371" s="5" t="str">
        <f>IFERROR(__xludf.DUMMYFUNCTION("GOOGLETRANSLATE(I371,""zh_HANT"",""zh_HANS"")"),"白玉宝珠")</f>
        <v>白玉宝珠</v>
      </c>
    </row>
    <row r="372">
      <c r="A372" s="5" t="str">
        <f t="shared" si="33"/>
        <v>NAME_ITEM_GRISEOUSORB</v>
      </c>
      <c r="B372" s="3" t="s">
        <v>25478</v>
      </c>
      <c r="C372" s="3" t="s">
        <v>25479</v>
      </c>
      <c r="D372" s="3" t="s">
        <v>25480</v>
      </c>
      <c r="E372" s="3" t="s">
        <v>25481</v>
      </c>
      <c r="F372" s="3" t="s">
        <v>25482</v>
      </c>
      <c r="G372" s="3" t="s">
        <v>25483</v>
      </c>
      <c r="H372" s="3" t="s">
        <v>25484</v>
      </c>
      <c r="I372" s="3" t="s">
        <v>25485</v>
      </c>
      <c r="J372" s="5" t="str">
        <f>IFERROR(__xludf.DUMMYFUNCTION("GOOGLETRANSLATE(I372,""zh_HANT"",""zh_HANS"")"),"白金宝珠")</f>
        <v>白金宝珠</v>
      </c>
    </row>
    <row r="373">
      <c r="A373" s="5" t="str">
        <f t="shared" si="33"/>
        <v>NAME_ITEM_WIDELENS</v>
      </c>
      <c r="B373" s="3" t="s">
        <v>25486</v>
      </c>
      <c r="C373" s="3" t="s">
        <v>25487</v>
      </c>
      <c r="D373" s="3" t="s">
        <v>25488</v>
      </c>
      <c r="E373" s="3" t="s">
        <v>25489</v>
      </c>
      <c r="F373" s="3" t="s">
        <v>25490</v>
      </c>
      <c r="G373" s="3" t="s">
        <v>25491</v>
      </c>
      <c r="H373" s="3" t="s">
        <v>25492</v>
      </c>
      <c r="I373" s="3" t="s">
        <v>25493</v>
      </c>
      <c r="J373" s="5" t="str">
        <f>IFERROR(__xludf.DUMMYFUNCTION("GOOGLETRANSLATE(I373,""zh_HANT"",""zh_HANS"")"),"广角镜")</f>
        <v>广角镜</v>
      </c>
    </row>
    <row r="374">
      <c r="A374" s="5" t="str">
        <f t="shared" si="33"/>
        <v>NAME_ITEM_MUSCLEBAND</v>
      </c>
      <c r="B374" s="3" t="s">
        <v>25494</v>
      </c>
      <c r="C374" s="3" t="s">
        <v>25495</v>
      </c>
      <c r="D374" s="3" t="s">
        <v>25496</v>
      </c>
      <c r="E374" s="3" t="s">
        <v>25497</v>
      </c>
      <c r="F374" s="3" t="s">
        <v>25498</v>
      </c>
      <c r="G374" s="3" t="s">
        <v>25499</v>
      </c>
      <c r="H374" s="3" t="s">
        <v>25500</v>
      </c>
      <c r="I374" s="3" t="s">
        <v>25501</v>
      </c>
      <c r="J374" s="5" t="str">
        <f>IFERROR(__xludf.DUMMYFUNCTION("GOOGLETRANSLATE(I374,""zh_HANT"",""zh_HANS"")"),"力量头带")</f>
        <v>力量头带</v>
      </c>
    </row>
    <row r="375">
      <c r="A375" s="5" t="str">
        <f t="shared" si="33"/>
        <v>NAME_ITEM_WISEGLASSES</v>
      </c>
      <c r="B375" s="3" t="s">
        <v>25502</v>
      </c>
      <c r="C375" s="3" t="s">
        <v>25503</v>
      </c>
      <c r="D375" s="3" t="s">
        <v>25504</v>
      </c>
      <c r="E375" s="3" t="s">
        <v>25505</v>
      </c>
      <c r="F375" s="3" t="s">
        <v>25506</v>
      </c>
      <c r="G375" s="3" t="s">
        <v>25507</v>
      </c>
      <c r="H375" s="3" t="s">
        <v>25508</v>
      </c>
      <c r="I375" s="3" t="s">
        <v>25509</v>
      </c>
      <c r="J375" s="5" t="str">
        <f>IFERROR(__xludf.DUMMYFUNCTION("GOOGLETRANSLATE(I375,""zh_HANT"",""zh_HANS"")"),"博识眼镜")</f>
        <v>博识眼镜</v>
      </c>
    </row>
    <row r="376">
      <c r="A376" s="5" t="str">
        <f t="shared" si="33"/>
        <v>NAME_ITEM_EXPERTBELT</v>
      </c>
      <c r="B376" s="3" t="s">
        <v>25510</v>
      </c>
      <c r="C376" s="3" t="s">
        <v>25511</v>
      </c>
      <c r="D376" s="3" t="s">
        <v>25512</v>
      </c>
      <c r="E376" s="3" t="s">
        <v>25513</v>
      </c>
      <c r="F376" s="3" t="s">
        <v>25514</v>
      </c>
      <c r="G376" s="3" t="s">
        <v>25515</v>
      </c>
      <c r="H376" s="3" t="s">
        <v>25516</v>
      </c>
      <c r="I376" s="3" t="s">
        <v>25517</v>
      </c>
      <c r="J376" s="5" t="str">
        <f>IFERROR(__xludf.DUMMYFUNCTION("GOOGLETRANSLATE(I376,""zh_HANT"",""zh_HANS"")"),"达人带")</f>
        <v>达人带</v>
      </c>
    </row>
    <row r="377">
      <c r="A377" s="5" t="str">
        <f t="shared" si="33"/>
        <v>NAME_ITEM_LIGHTCLAY</v>
      </c>
      <c r="B377" s="3" t="s">
        <v>25518</v>
      </c>
      <c r="C377" s="3" t="s">
        <v>25519</v>
      </c>
      <c r="D377" s="3" t="s">
        <v>25520</v>
      </c>
      <c r="E377" s="3" t="s">
        <v>25521</v>
      </c>
      <c r="F377" s="3" t="s">
        <v>25522</v>
      </c>
      <c r="G377" s="3" t="s">
        <v>25523</v>
      </c>
      <c r="H377" s="3" t="s">
        <v>25524</v>
      </c>
      <c r="I377" s="3" t="s">
        <v>25525</v>
      </c>
      <c r="J377" s="5" t="str">
        <f>I377</f>
        <v>光之黏土</v>
      </c>
    </row>
    <row r="378">
      <c r="A378" s="5" t="str">
        <f t="shared" si="33"/>
        <v>NAME_ITEM_LIFEORB</v>
      </c>
      <c r="B378" s="3" t="s">
        <v>25526</v>
      </c>
      <c r="C378" s="3" t="s">
        <v>25527</v>
      </c>
      <c r="D378" s="3" t="s">
        <v>25528</v>
      </c>
      <c r="E378" s="3" t="s">
        <v>25529</v>
      </c>
      <c r="F378" s="3" t="s">
        <v>25530</v>
      </c>
      <c r="G378" s="3" t="s">
        <v>25531</v>
      </c>
      <c r="H378" s="3" t="s">
        <v>25532</v>
      </c>
      <c r="I378" s="3" t="s">
        <v>25533</v>
      </c>
      <c r="J378" s="3" t="str">
        <f>IFERROR(__xludf.DUMMYFUNCTION("GOOGLETRANSLATE(I378,""zh_HANT"",""zh_HANS"")"),"生命宝珠")</f>
        <v>生命宝珠</v>
      </c>
    </row>
    <row r="379">
      <c r="A379" s="5" t="str">
        <f t="shared" si="33"/>
        <v>NAME_ITEM_POWERHERB</v>
      </c>
      <c r="B379" s="3" t="s">
        <v>25534</v>
      </c>
      <c r="C379" s="3" t="s">
        <v>25535</v>
      </c>
      <c r="D379" s="3" t="s">
        <v>25536</v>
      </c>
      <c r="E379" s="3" t="s">
        <v>25537</v>
      </c>
      <c r="F379" s="3" t="s">
        <v>25538</v>
      </c>
      <c r="G379" s="3" t="s">
        <v>25539</v>
      </c>
      <c r="H379" s="3" t="s">
        <v>25540</v>
      </c>
      <c r="I379" s="3" t="s">
        <v>25541</v>
      </c>
      <c r="J379" s="3" t="str">
        <f>IFERROR(__xludf.DUMMYFUNCTION("GOOGLETRANSLATE(I379,""zh_HANT"",""zh_HANS"")"),"强力香草")</f>
        <v>强力香草</v>
      </c>
    </row>
    <row r="380">
      <c r="A380" s="5" t="str">
        <f t="shared" si="33"/>
        <v>NAME_ITEM_TOXICORB</v>
      </c>
      <c r="B380" s="3" t="s">
        <v>25542</v>
      </c>
      <c r="C380" s="3" t="s">
        <v>25543</v>
      </c>
      <c r="D380" s="3" t="s">
        <v>25544</v>
      </c>
      <c r="E380" s="3" t="s">
        <v>25545</v>
      </c>
      <c r="F380" s="3" t="s">
        <v>25546</v>
      </c>
      <c r="G380" s="3" t="s">
        <v>25547</v>
      </c>
      <c r="H380" s="3" t="s">
        <v>25548</v>
      </c>
      <c r="I380" s="3" t="s">
        <v>25549</v>
      </c>
      <c r="J380" s="3" t="str">
        <f>IFERROR(__xludf.DUMMYFUNCTION("GOOGLETRANSLATE(I380,""zh_HANT"",""zh_HANS"")"),"剧毒宝珠")</f>
        <v>剧毒宝珠</v>
      </c>
    </row>
    <row r="381">
      <c r="A381" s="5" t="str">
        <f t="shared" si="33"/>
        <v>NAME_ITEM_FLAMEORB</v>
      </c>
      <c r="B381" s="3" t="s">
        <v>25550</v>
      </c>
      <c r="C381" s="3" t="s">
        <v>25551</v>
      </c>
      <c r="D381" s="3" t="s">
        <v>25552</v>
      </c>
      <c r="E381" s="3" t="s">
        <v>25553</v>
      </c>
      <c r="F381" s="3" t="s">
        <v>25554</v>
      </c>
      <c r="G381" s="3" t="s">
        <v>25555</v>
      </c>
      <c r="H381" s="3" t="s">
        <v>25556</v>
      </c>
      <c r="I381" s="3" t="s">
        <v>25557</v>
      </c>
      <c r="J381" s="3" t="str">
        <f>IFERROR(__xludf.DUMMYFUNCTION("GOOGLETRANSLATE(I381,""zh_HANT"",""zh_HANS"")"),"火焰宝珠")</f>
        <v>火焰宝珠</v>
      </c>
    </row>
    <row r="382">
      <c r="A382" s="5" t="str">
        <f t="shared" si="33"/>
        <v>NAME_ITEM_QUICKPOWDER</v>
      </c>
      <c r="B382" s="3" t="s">
        <v>25558</v>
      </c>
      <c r="C382" s="3" t="s">
        <v>25559</v>
      </c>
      <c r="D382" s="3" t="s">
        <v>25560</v>
      </c>
      <c r="E382" s="3" t="s">
        <v>25561</v>
      </c>
      <c r="F382" s="3" t="s">
        <v>25562</v>
      </c>
      <c r="G382" s="3" t="s">
        <v>25563</v>
      </c>
      <c r="H382" s="3" t="s">
        <v>25564</v>
      </c>
      <c r="I382" s="3" t="s">
        <v>25565</v>
      </c>
      <c r="J382" s="5" t="str">
        <f>I382</f>
        <v>速度粉</v>
      </c>
    </row>
    <row r="383">
      <c r="A383" s="5" t="str">
        <f t="shared" si="33"/>
        <v>NAME_ITEM_FOCUSSASH</v>
      </c>
      <c r="B383" s="3" t="s">
        <v>25566</v>
      </c>
      <c r="C383" s="3" t="s">
        <v>25567</v>
      </c>
      <c r="D383" s="3" t="s">
        <v>25568</v>
      </c>
      <c r="E383" s="3" t="s">
        <v>25569</v>
      </c>
      <c r="F383" s="3" t="s">
        <v>25570</v>
      </c>
      <c r="G383" s="3" t="s">
        <v>25571</v>
      </c>
      <c r="H383" s="3" t="s">
        <v>25572</v>
      </c>
      <c r="I383" s="3" t="s">
        <v>25573</v>
      </c>
      <c r="J383" s="3" t="str">
        <f>IFERROR(__xludf.DUMMYFUNCTION("GOOGLETRANSLATE(I383,""zh_HANT"",""zh_HANS"")"),"气势披带")</f>
        <v>气势披带</v>
      </c>
    </row>
    <row r="384">
      <c r="A384" s="5" t="str">
        <f t="shared" si="33"/>
        <v>NAME_ITEM_ZOOMLENS</v>
      </c>
      <c r="B384" s="3" t="s">
        <v>25574</v>
      </c>
      <c r="C384" s="3" t="s">
        <v>25575</v>
      </c>
      <c r="D384" s="3" t="s">
        <v>25576</v>
      </c>
      <c r="E384" s="3" t="s">
        <v>25577</v>
      </c>
      <c r="F384" s="3" t="s">
        <v>25578</v>
      </c>
      <c r="G384" s="3" t="s">
        <v>25579</v>
      </c>
      <c r="H384" s="3" t="s">
        <v>25580</v>
      </c>
      <c r="I384" s="3" t="s">
        <v>25581</v>
      </c>
      <c r="J384" s="3" t="str">
        <f>IFERROR(__xludf.DUMMYFUNCTION("GOOGLETRANSLATE(I384,""zh_HANT"",""zh_HANS"")"),"对焦镜")</f>
        <v>对焦镜</v>
      </c>
    </row>
    <row r="385">
      <c r="A385" s="5" t="str">
        <f t="shared" si="33"/>
        <v>NAME_ITEM_METRONOME</v>
      </c>
      <c r="B385" s="3" t="str">
        <f>Moves!B119</f>
        <v>Metronome</v>
      </c>
      <c r="C385" s="3" t="s">
        <v>25582</v>
      </c>
      <c r="D385" s="3" t="str">
        <f>Moves!D119</f>
        <v>Métronome</v>
      </c>
      <c r="E385" s="3" t="str">
        <f>Moves!E119</f>
        <v>Metronom</v>
      </c>
      <c r="F385" s="3" t="str">
        <f>Moves!F119</f>
        <v>Metrónomo</v>
      </c>
      <c r="G385" s="3" t="s">
        <v>25583</v>
      </c>
      <c r="H385" s="3" t="s">
        <v>25584</v>
      </c>
      <c r="I385" s="3" t="s">
        <v>25585</v>
      </c>
      <c r="J385" s="3" t="str">
        <f>IFERROR(__xludf.DUMMYFUNCTION("GOOGLETRANSLATE(I385,""zh_HANT"",""zh_HANS"")"),"节拍器")</f>
        <v>节拍器</v>
      </c>
    </row>
    <row r="386">
      <c r="A386" s="5" t="str">
        <f t="shared" si="33"/>
        <v>NAME_ITEM_IRONBALL</v>
      </c>
      <c r="B386" s="3" t="s">
        <v>9296</v>
      </c>
      <c r="C386" s="3" t="s">
        <v>25586</v>
      </c>
      <c r="D386" s="3" t="s">
        <v>25587</v>
      </c>
      <c r="E386" s="3" t="s">
        <v>9299</v>
      </c>
      <c r="F386" s="3" t="s">
        <v>25588</v>
      </c>
      <c r="G386" s="3" t="s">
        <v>25589</v>
      </c>
      <c r="H386" s="3" t="s">
        <v>25590</v>
      </c>
      <c r="I386" s="3" t="s">
        <v>25591</v>
      </c>
      <c r="J386" s="3" t="str">
        <f>IFERROR(__xludf.DUMMYFUNCTION("GOOGLETRANSLATE(I386,""zh_HANT"",""zh_HANS"")"),"黑色铁球")</f>
        <v>黑色铁球</v>
      </c>
    </row>
    <row r="387">
      <c r="A387" s="5" t="str">
        <f t="shared" si="33"/>
        <v>NAME_ITEM_LAGGINGTAIL</v>
      </c>
      <c r="B387" s="3" t="s">
        <v>25592</v>
      </c>
      <c r="C387" s="3" t="s">
        <v>25593</v>
      </c>
      <c r="D387" s="3" t="s">
        <v>25594</v>
      </c>
      <c r="E387" s="3" t="s">
        <v>25595</v>
      </c>
      <c r="F387" s="3" t="s">
        <v>25596</v>
      </c>
      <c r="G387" s="3" t="s">
        <v>25597</v>
      </c>
      <c r="H387" s="3" t="s">
        <v>25598</v>
      </c>
      <c r="I387" s="3" t="s">
        <v>25599</v>
      </c>
      <c r="J387" s="3" t="str">
        <f>IFERROR(__xludf.DUMMYFUNCTION("GOOGLETRANSLATE(I387,""zh_HANT"",""zh_HANS"")"),"后攻之尾")</f>
        <v>后攻之尾</v>
      </c>
    </row>
    <row r="388">
      <c r="A388" s="5" t="str">
        <f t="shared" si="33"/>
        <v>NAME_ITEM_DESTINYKNOT</v>
      </c>
      <c r="B388" s="3" t="s">
        <v>25600</v>
      </c>
      <c r="C388" s="3" t="s">
        <v>25601</v>
      </c>
      <c r="D388" s="3" t="s">
        <v>25602</v>
      </c>
      <c r="E388" s="3" t="s">
        <v>25603</v>
      </c>
      <c r="F388" s="3" t="s">
        <v>25604</v>
      </c>
      <c r="G388" s="3" t="s">
        <v>25605</v>
      </c>
      <c r="H388" s="3" t="s">
        <v>25606</v>
      </c>
      <c r="I388" s="3" t="s">
        <v>25607</v>
      </c>
      <c r="J388" s="3" t="str">
        <f>IFERROR(__xludf.DUMMYFUNCTION("GOOGLETRANSLATE(I388,""zh_HANT"",""zh_HANS"")"),"红线")</f>
        <v>红线</v>
      </c>
    </row>
    <row r="389">
      <c r="A389" s="5" t="str">
        <f t="shared" si="33"/>
        <v>NAME_ITEM_BLACKSLUDGE</v>
      </c>
      <c r="B389" s="3" t="s">
        <v>25608</v>
      </c>
      <c r="C389" s="3" t="s">
        <v>25609</v>
      </c>
      <c r="D389" s="3" t="s">
        <v>25610</v>
      </c>
      <c r="E389" s="3" t="s">
        <v>25611</v>
      </c>
      <c r="F389" s="3" t="s">
        <v>25612</v>
      </c>
      <c r="G389" s="3" t="s">
        <v>25613</v>
      </c>
      <c r="H389" s="3" t="s">
        <v>25614</v>
      </c>
      <c r="I389" s="3" t="s">
        <v>25615</v>
      </c>
      <c r="J389" s="5" t="str">
        <f t="shared" ref="J389:J391" si="36">I389</f>
        <v>黑色污泥</v>
      </c>
    </row>
    <row r="390">
      <c r="A390" s="5" t="str">
        <f t="shared" si="33"/>
        <v>NAME_ITEM_ICYROCK</v>
      </c>
      <c r="B390" s="3" t="s">
        <v>25616</v>
      </c>
      <c r="C390" s="3" t="s">
        <v>25617</v>
      </c>
      <c r="D390" s="3" t="s">
        <v>25618</v>
      </c>
      <c r="E390" s="3" t="s">
        <v>25619</v>
      </c>
      <c r="F390" s="3" t="s">
        <v>25620</v>
      </c>
      <c r="G390" s="3" t="s">
        <v>25621</v>
      </c>
      <c r="H390" s="3" t="s">
        <v>25622</v>
      </c>
      <c r="I390" s="3" t="s">
        <v>25623</v>
      </c>
      <c r="J390" s="5" t="str">
        <f t="shared" si="36"/>
        <v>冰冷岩石</v>
      </c>
    </row>
    <row r="391">
      <c r="A391" s="5" t="str">
        <f t="shared" si="33"/>
        <v>NAME_ITEM_SMOOTHROCK</v>
      </c>
      <c r="B391" s="3" t="s">
        <v>25624</v>
      </c>
      <c r="C391" s="3" t="s">
        <v>25625</v>
      </c>
      <c r="D391" s="3" t="s">
        <v>25626</v>
      </c>
      <c r="E391" s="3" t="s">
        <v>25627</v>
      </c>
      <c r="F391" s="3" t="s">
        <v>25628</v>
      </c>
      <c r="G391" s="3" t="s">
        <v>25629</v>
      </c>
      <c r="H391" s="3" t="s">
        <v>25630</v>
      </c>
      <c r="I391" s="3" t="s">
        <v>25631</v>
      </c>
      <c r="J391" s="5" t="str">
        <f t="shared" si="36"/>
        <v>沙沙岩石</v>
      </c>
    </row>
    <row r="392">
      <c r="A392" s="5" t="str">
        <f t="shared" si="33"/>
        <v>NAME_ITEM_HEATROCK</v>
      </c>
      <c r="B392" s="3" t="s">
        <v>25632</v>
      </c>
      <c r="C392" s="3" t="s">
        <v>25633</v>
      </c>
      <c r="D392" s="3" t="s">
        <v>25634</v>
      </c>
      <c r="E392" s="3" t="s">
        <v>25635</v>
      </c>
      <c r="F392" s="3" t="s">
        <v>25636</v>
      </c>
      <c r="G392" s="3" t="s">
        <v>25637</v>
      </c>
      <c r="H392" s="3" t="s">
        <v>25638</v>
      </c>
      <c r="I392" s="3" t="s">
        <v>25639</v>
      </c>
      <c r="J392" s="3" t="str">
        <f>IFERROR(__xludf.DUMMYFUNCTION("GOOGLETRANSLATE(I392,""zh_HANT"",""zh_HANS"")"),"炽热岩石")</f>
        <v>炽热岩石</v>
      </c>
    </row>
    <row r="393">
      <c r="A393" s="5" t="str">
        <f t="shared" si="33"/>
        <v>NAME_ITEM_DAMPROCK</v>
      </c>
      <c r="B393" s="3" t="s">
        <v>25640</v>
      </c>
      <c r="C393" s="3" t="s">
        <v>25641</v>
      </c>
      <c r="D393" s="3" t="s">
        <v>25642</v>
      </c>
      <c r="E393" s="3" t="s">
        <v>25643</v>
      </c>
      <c r="F393" s="3" t="s">
        <v>25644</v>
      </c>
      <c r="G393" s="3" t="s">
        <v>25645</v>
      </c>
      <c r="H393" s="3" t="s">
        <v>25646</v>
      </c>
      <c r="I393" s="3" t="s">
        <v>25647</v>
      </c>
      <c r="J393" s="3" t="str">
        <f>IFERROR(__xludf.DUMMYFUNCTION("GOOGLETRANSLATE(I393,""zh_HANT"",""zh_HANS"")"),"潮湿岩石")</f>
        <v>潮湿岩石</v>
      </c>
    </row>
    <row r="394">
      <c r="A394" s="5" t="str">
        <f t="shared" si="33"/>
        <v>NAME_ITEM_GRIPCLAW</v>
      </c>
      <c r="B394" s="3" t="s">
        <v>25648</v>
      </c>
      <c r="C394" s="3" t="s">
        <v>25649</v>
      </c>
      <c r="D394" s="3" t="s">
        <v>25650</v>
      </c>
      <c r="E394" s="3" t="s">
        <v>25651</v>
      </c>
      <c r="F394" s="3" t="s">
        <v>25652</v>
      </c>
      <c r="G394" s="3" t="s">
        <v>25653</v>
      </c>
      <c r="H394" s="3" t="s">
        <v>25654</v>
      </c>
      <c r="I394" s="3" t="s">
        <v>25655</v>
      </c>
      <c r="J394" s="3" t="str">
        <f>IFERROR(__xludf.DUMMYFUNCTION("GOOGLETRANSLATE(I394,""zh_HANT"",""zh_HANS"")"),"紧缠钩爪")</f>
        <v>紧缠钩爪</v>
      </c>
    </row>
    <row r="395">
      <c r="A395" s="5" t="str">
        <f t="shared" si="33"/>
        <v>NAME_ITEM_CHOICESCARF</v>
      </c>
      <c r="B395" s="3" t="s">
        <v>25656</v>
      </c>
      <c r="C395" s="3" t="s">
        <v>25657</v>
      </c>
      <c r="D395" s="3" t="s">
        <v>25658</v>
      </c>
      <c r="E395" s="3" t="s">
        <v>25659</v>
      </c>
      <c r="F395" s="3" t="s">
        <v>25660</v>
      </c>
      <c r="G395" s="3" t="s">
        <v>25661</v>
      </c>
      <c r="H395" s="3" t="s">
        <v>25662</v>
      </c>
      <c r="I395" s="3" t="s">
        <v>25663</v>
      </c>
      <c r="J395" s="3" t="str">
        <f>IFERROR(__xludf.DUMMYFUNCTION("GOOGLETRANSLATE(I395,""zh_HANT"",""zh_HANS"")"),"讲究围巾")</f>
        <v>讲究围巾</v>
      </c>
    </row>
    <row r="396">
      <c r="A396" s="5" t="str">
        <f t="shared" si="33"/>
        <v>NAME_ITEM_STICKYBARB</v>
      </c>
      <c r="B396" s="3" t="s">
        <v>25664</v>
      </c>
      <c r="C396" s="3" t="s">
        <v>25665</v>
      </c>
      <c r="D396" s="3" t="s">
        <v>25666</v>
      </c>
      <c r="E396" s="3" t="s">
        <v>25667</v>
      </c>
      <c r="F396" s="3" t="s">
        <v>25668</v>
      </c>
      <c r="G396" s="3" t="s">
        <v>25669</v>
      </c>
      <c r="H396" s="3" t="s">
        <v>25670</v>
      </c>
      <c r="I396" s="3" t="s">
        <v>25671</v>
      </c>
      <c r="J396" s="3" t="str">
        <f>IFERROR(__xludf.DUMMYFUNCTION("GOOGLETRANSLATE(I396,""zh_HANT"",""zh_HANS"")"),"附着针")</f>
        <v>附着针</v>
      </c>
    </row>
    <row r="397">
      <c r="A397" s="5" t="str">
        <f t="shared" si="33"/>
        <v>NAME_ITEM_POWERBRACER</v>
      </c>
      <c r="B397" s="3" t="s">
        <v>25672</v>
      </c>
      <c r="C397" s="3" t="s">
        <v>25673</v>
      </c>
      <c r="D397" s="3" t="s">
        <v>25674</v>
      </c>
      <c r="E397" s="3" t="s">
        <v>25675</v>
      </c>
      <c r="F397" s="3" t="s">
        <v>25676</v>
      </c>
      <c r="G397" s="3" t="s">
        <v>25677</v>
      </c>
      <c r="H397" s="3" t="s">
        <v>25678</v>
      </c>
      <c r="I397" s="3" t="s">
        <v>25679</v>
      </c>
      <c r="J397" s="3" t="str">
        <f>IFERROR(__xludf.DUMMYFUNCTION("GOOGLETRANSLATE(I397,""zh_HANT"",""zh_HANS"")"),"力量护腕")</f>
        <v>力量护腕</v>
      </c>
    </row>
    <row r="398">
      <c r="A398" s="5" t="str">
        <f t="shared" si="33"/>
        <v>NAME_ITEM_POWERBELT</v>
      </c>
      <c r="B398" s="3" t="s">
        <v>25680</v>
      </c>
      <c r="C398" s="3" t="s">
        <v>25681</v>
      </c>
      <c r="D398" s="3" t="s">
        <v>25682</v>
      </c>
      <c r="E398" s="3" t="s">
        <v>25683</v>
      </c>
      <c r="F398" s="3" t="s">
        <v>25684</v>
      </c>
      <c r="G398" s="3" t="s">
        <v>25685</v>
      </c>
      <c r="H398" s="3" t="s">
        <v>25686</v>
      </c>
      <c r="I398" s="3" t="s">
        <v>25687</v>
      </c>
      <c r="J398" s="3" t="str">
        <f>IFERROR(__xludf.DUMMYFUNCTION("GOOGLETRANSLATE(I398,""zh_HANT"",""zh_HANS"")"),"力量腰带")</f>
        <v>力量腰带</v>
      </c>
    </row>
    <row r="399">
      <c r="A399" s="5" t="str">
        <f t="shared" si="33"/>
        <v>NAME_ITEM_POWERLENS</v>
      </c>
      <c r="B399" s="3" t="s">
        <v>25688</v>
      </c>
      <c r="C399" s="3" t="s">
        <v>25689</v>
      </c>
      <c r="D399" s="3" t="s">
        <v>25690</v>
      </c>
      <c r="E399" s="3" t="s">
        <v>25691</v>
      </c>
      <c r="F399" s="3" t="s">
        <v>25692</v>
      </c>
      <c r="G399" s="3" t="s">
        <v>25693</v>
      </c>
      <c r="H399" s="3" t="s">
        <v>25694</v>
      </c>
      <c r="I399" s="3" t="s">
        <v>25695</v>
      </c>
      <c r="J399" s="3" t="str">
        <f>IFERROR(__xludf.DUMMYFUNCTION("GOOGLETRANSLATE(I399,""zh_HANT"",""zh_HANS"")"),"力量镜")</f>
        <v>力量镜</v>
      </c>
    </row>
    <row r="400">
      <c r="A400" s="5" t="str">
        <f t="shared" si="33"/>
        <v>NAME_ITEM_POWERBAND</v>
      </c>
      <c r="B400" s="3" t="s">
        <v>25696</v>
      </c>
      <c r="C400" s="3" t="s">
        <v>25697</v>
      </c>
      <c r="D400" s="3" t="s">
        <v>25698</v>
      </c>
      <c r="E400" s="3" t="s">
        <v>25699</v>
      </c>
      <c r="F400" s="3" t="s">
        <v>25700</v>
      </c>
      <c r="G400" s="3" t="s">
        <v>25701</v>
      </c>
      <c r="H400" s="3" t="s">
        <v>25702</v>
      </c>
      <c r="I400" s="3" t="s">
        <v>25703</v>
      </c>
      <c r="J400" s="3" t="str">
        <f>IFERROR(__xludf.DUMMYFUNCTION("GOOGLETRANSLATE(I400,""zh_HANT"",""zh_HANS"")"),"力量束带")</f>
        <v>力量束带</v>
      </c>
    </row>
    <row r="401">
      <c r="A401" s="5" t="str">
        <f t="shared" si="33"/>
        <v>NAME_ITEM_POWERANKLET</v>
      </c>
      <c r="B401" s="3" t="s">
        <v>25704</v>
      </c>
      <c r="C401" s="3" t="s">
        <v>25705</v>
      </c>
      <c r="D401" s="3" t="s">
        <v>25706</v>
      </c>
      <c r="E401" s="3" t="s">
        <v>25707</v>
      </c>
      <c r="F401" s="3" t="s">
        <v>25708</v>
      </c>
      <c r="G401" s="3" t="s">
        <v>25709</v>
      </c>
      <c r="H401" s="3" t="s">
        <v>25710</v>
      </c>
      <c r="I401" s="3" t="s">
        <v>25711</v>
      </c>
      <c r="J401" s="3" t="str">
        <f>IFERROR(__xludf.DUMMYFUNCTION("GOOGLETRANSLATE(I401,""zh_HANT"",""zh_HANS"")"),"力量护踝")</f>
        <v>力量护踝</v>
      </c>
    </row>
    <row r="402">
      <c r="A402" s="5" t="str">
        <f t="shared" si="33"/>
        <v>NAME_ITEM_POWERWEIGHT</v>
      </c>
      <c r="B402" s="3" t="s">
        <v>25712</v>
      </c>
      <c r="C402" s="3" t="s">
        <v>25713</v>
      </c>
      <c r="D402" s="3" t="s">
        <v>25714</v>
      </c>
      <c r="E402" s="3" t="s">
        <v>25715</v>
      </c>
      <c r="F402" s="3" t="s">
        <v>25716</v>
      </c>
      <c r="G402" s="3" t="s">
        <v>25717</v>
      </c>
      <c r="H402" s="3" t="s">
        <v>25718</v>
      </c>
      <c r="I402" s="3" t="s">
        <v>25719</v>
      </c>
      <c r="J402" s="3" t="str">
        <f>IFERROR(__xludf.DUMMYFUNCTION("GOOGLETRANSLATE(I402,""zh_HANT"",""zh_HANS"")"),"力量负重")</f>
        <v>力量负重</v>
      </c>
    </row>
    <row r="403">
      <c r="A403" s="5" t="str">
        <f t="shared" si="33"/>
        <v>NAME_ITEM_SHEDSHELL</v>
      </c>
      <c r="B403" s="3" t="s">
        <v>25720</v>
      </c>
      <c r="C403" s="3" t="s">
        <v>25721</v>
      </c>
      <c r="D403" s="3" t="s">
        <v>25722</v>
      </c>
      <c r="E403" s="3" t="s">
        <v>25723</v>
      </c>
      <c r="F403" s="3" t="s">
        <v>25724</v>
      </c>
      <c r="G403" s="3" t="s">
        <v>25725</v>
      </c>
      <c r="H403" s="3" t="s">
        <v>25726</v>
      </c>
      <c r="I403" s="3" t="s">
        <v>25727</v>
      </c>
      <c r="J403" s="3" t="str">
        <f>IFERROR(__xludf.DUMMYFUNCTION("GOOGLETRANSLATE(I403,""zh_HANT"",""zh_HANS"")"),"美丽空壳")</f>
        <v>美丽空壳</v>
      </c>
    </row>
    <row r="404">
      <c r="A404" s="5" t="str">
        <f t="shared" si="33"/>
        <v>NAME_ITEM_BIGROOT</v>
      </c>
      <c r="B404" s="3" t="s">
        <v>25728</v>
      </c>
      <c r="C404" s="3" t="s">
        <v>25729</v>
      </c>
      <c r="D404" s="3" t="s">
        <v>25730</v>
      </c>
      <c r="E404" s="3" t="s">
        <v>25731</v>
      </c>
      <c r="F404" s="3" t="s">
        <v>25732</v>
      </c>
      <c r="G404" s="3" t="s">
        <v>25733</v>
      </c>
      <c r="H404" s="3" t="s">
        <v>25734</v>
      </c>
      <c r="I404" s="3" t="s">
        <v>25735</v>
      </c>
      <c r="J404" s="3" t="str">
        <f>IFERROR(__xludf.DUMMYFUNCTION("GOOGLETRANSLATE(I404,""zh_HANT"",""zh_HANS"")"),"大根茎")</f>
        <v>大根茎</v>
      </c>
    </row>
    <row r="405">
      <c r="A405" s="5" t="str">
        <f t="shared" si="33"/>
        <v>NAME_ITEM_CHOICESPECS</v>
      </c>
      <c r="B405" s="3" t="s">
        <v>25736</v>
      </c>
      <c r="C405" s="3" t="s">
        <v>25737</v>
      </c>
      <c r="D405" s="3" t="s">
        <v>25738</v>
      </c>
      <c r="E405" s="3" t="s">
        <v>25739</v>
      </c>
      <c r="F405" s="3" t="s">
        <v>25740</v>
      </c>
      <c r="G405" s="3" t="s">
        <v>25741</v>
      </c>
      <c r="H405" s="3" t="s">
        <v>25742</v>
      </c>
      <c r="I405" s="3" t="s">
        <v>25743</v>
      </c>
      <c r="J405" s="3" t="str">
        <f>IFERROR(__xludf.DUMMYFUNCTION("GOOGLETRANSLATE(I405,""zh_HANT"",""zh_HANS"")"),"讲究眼镜")</f>
        <v>讲究眼镜</v>
      </c>
    </row>
    <row r="406">
      <c r="A406" s="5" t="str">
        <f t="shared" si="33"/>
        <v>NAME_ITEM_DOUSEDRIVE</v>
      </c>
      <c r="B406" s="3" t="s">
        <v>25744</v>
      </c>
      <c r="C406" s="3" t="s">
        <v>25745</v>
      </c>
      <c r="D406" s="3" t="s">
        <v>25746</v>
      </c>
      <c r="E406" s="3" t="s">
        <v>25747</v>
      </c>
      <c r="F406" s="3" t="s">
        <v>25748</v>
      </c>
      <c r="G406" s="3" t="s">
        <v>25749</v>
      </c>
      <c r="H406" s="3" t="s">
        <v>25750</v>
      </c>
      <c r="I406" s="3" t="s">
        <v>25751</v>
      </c>
      <c r="J406" s="3" t="str">
        <f>IFERROR(__xludf.DUMMYFUNCTION("GOOGLETRANSLATE(I406,""zh_HANT"",""zh_HANS"")"),"水流卡带")</f>
        <v>水流卡带</v>
      </c>
    </row>
    <row r="407">
      <c r="A407" s="5" t="str">
        <f t="shared" si="33"/>
        <v>NAME_ITEM_SHOCKDRIVE</v>
      </c>
      <c r="B407" s="3" t="s">
        <v>25752</v>
      </c>
      <c r="C407" s="3" t="s">
        <v>25753</v>
      </c>
      <c r="D407" s="3" t="s">
        <v>25754</v>
      </c>
      <c r="E407" s="3" t="s">
        <v>25755</v>
      </c>
      <c r="F407" s="3" t="s">
        <v>25756</v>
      </c>
      <c r="G407" s="3" t="s">
        <v>25757</v>
      </c>
      <c r="H407" s="3" t="s">
        <v>25758</v>
      </c>
      <c r="I407" s="3" t="s">
        <v>25759</v>
      </c>
      <c r="J407" s="3" t="str">
        <f>IFERROR(__xludf.DUMMYFUNCTION("GOOGLETRANSLATE(I407,""zh_HANT"",""zh_HANS"")"),"闪电卡带")</f>
        <v>闪电卡带</v>
      </c>
    </row>
    <row r="408">
      <c r="A408" s="5" t="str">
        <f t="shared" si="33"/>
        <v>NAME_ITEM_BURNDRIVE</v>
      </c>
      <c r="B408" s="3" t="s">
        <v>25760</v>
      </c>
      <c r="C408" s="3" t="s">
        <v>25761</v>
      </c>
      <c r="D408" s="3" t="s">
        <v>25762</v>
      </c>
      <c r="E408" s="3" t="s">
        <v>25763</v>
      </c>
      <c r="F408" s="3" t="s">
        <v>25764</v>
      </c>
      <c r="G408" s="3" t="s">
        <v>25765</v>
      </c>
      <c r="H408" s="3" t="s">
        <v>25766</v>
      </c>
      <c r="I408" s="3" t="s">
        <v>25767</v>
      </c>
      <c r="J408" s="3" t="str">
        <f>IFERROR(__xludf.DUMMYFUNCTION("GOOGLETRANSLATE(I408,""zh_HANT"",""zh_HANS"")"),"火焰卡带")</f>
        <v>火焰卡带</v>
      </c>
    </row>
    <row r="409">
      <c r="A409" s="5" t="str">
        <f t="shared" si="33"/>
        <v>NAME_ITEM_CHILLDRIVE</v>
      </c>
      <c r="B409" s="3" t="s">
        <v>25768</v>
      </c>
      <c r="C409" s="3" t="s">
        <v>25769</v>
      </c>
      <c r="D409" s="3" t="s">
        <v>25770</v>
      </c>
      <c r="E409" s="3" t="s">
        <v>25771</v>
      </c>
      <c r="F409" s="3" t="s">
        <v>25772</v>
      </c>
      <c r="G409" s="3" t="s">
        <v>25773</v>
      </c>
      <c r="H409" s="3" t="s">
        <v>25774</v>
      </c>
      <c r="I409" s="3" t="s">
        <v>25775</v>
      </c>
      <c r="J409" s="3" t="str">
        <f>IFERROR(__xludf.DUMMYFUNCTION("GOOGLETRANSLATE(I409,""zh_HANT"",""zh_HANS"")"),"冰冻卡带")</f>
        <v>冰冻卡带</v>
      </c>
    </row>
    <row r="410">
      <c r="A410" s="5" t="str">
        <f t="shared" si="33"/>
        <v>NAME_ITEM_PRISMSCALE</v>
      </c>
      <c r="B410" s="3" t="s">
        <v>25776</v>
      </c>
      <c r="C410" s="3" t="s">
        <v>25777</v>
      </c>
      <c r="D410" s="3" t="s">
        <v>25778</v>
      </c>
      <c r="E410" s="3" t="s">
        <v>25779</v>
      </c>
      <c r="F410" s="3" t="s">
        <v>25780</v>
      </c>
      <c r="G410" s="3" t="s">
        <v>25781</v>
      </c>
      <c r="H410" s="3" t="s">
        <v>25782</v>
      </c>
      <c r="I410" s="3" t="s">
        <v>25783</v>
      </c>
      <c r="J410" s="3" t="str">
        <f>IFERROR(__xludf.DUMMYFUNCTION("GOOGLETRANSLATE(I410,""zh_HANT"",""zh_HANS"")"),"美丽鳞片")</f>
        <v>美丽鳞片</v>
      </c>
    </row>
    <row r="411">
      <c r="A411" s="5" t="str">
        <f t="shared" si="33"/>
        <v>NAME_ITEM_EVIOLITE</v>
      </c>
      <c r="B411" s="3" t="s">
        <v>25784</v>
      </c>
      <c r="C411" s="3" t="s">
        <v>25785</v>
      </c>
      <c r="D411" s="3" t="s">
        <v>25786</v>
      </c>
      <c r="E411" s="3" t="s">
        <v>25787</v>
      </c>
      <c r="F411" s="3" t="s">
        <v>25788</v>
      </c>
      <c r="G411" s="3" t="s">
        <v>25789</v>
      </c>
      <c r="H411" s="7" t="s">
        <v>25790</v>
      </c>
      <c r="I411" s="3" t="s">
        <v>25791</v>
      </c>
      <c r="J411" s="3" t="str">
        <f>IFERROR(__xludf.DUMMYFUNCTION("GOOGLETRANSLATE(I411,""zh_HANT"",""zh_HANS"")"),"进化奇石")</f>
        <v>进化奇石</v>
      </c>
    </row>
    <row r="412">
      <c r="A412" s="5" t="str">
        <f t="shared" si="33"/>
        <v>NAME_ITEM_FLOATSTONE</v>
      </c>
      <c r="B412" s="3" t="s">
        <v>25792</v>
      </c>
      <c r="C412" s="3" t="s">
        <v>25793</v>
      </c>
      <c r="D412" s="3" t="s">
        <v>25794</v>
      </c>
      <c r="E412" s="3" t="s">
        <v>25795</v>
      </c>
      <c r="F412" s="3" t="s">
        <v>25796</v>
      </c>
      <c r="G412" s="3" t="s">
        <v>25797</v>
      </c>
      <c r="H412" s="3" t="s">
        <v>25798</v>
      </c>
      <c r="I412" s="3" t="s">
        <v>25799</v>
      </c>
      <c r="J412" s="3" t="str">
        <f>IFERROR(__xludf.DUMMYFUNCTION("GOOGLETRANSLATE(I412,""zh_HANT"",""zh_HANS"")"),"轻石")</f>
        <v>轻石</v>
      </c>
    </row>
    <row r="413">
      <c r="A413" s="5" t="str">
        <f t="shared" si="33"/>
        <v>NAME_ITEM_ROCKYHELMET</v>
      </c>
      <c r="B413" s="3" t="s">
        <v>25800</v>
      </c>
      <c r="C413" s="3" t="s">
        <v>25801</v>
      </c>
      <c r="D413" s="3" t="s">
        <v>25802</v>
      </c>
      <c r="E413" s="3" t="s">
        <v>25803</v>
      </c>
      <c r="F413" s="3" t="s">
        <v>25804</v>
      </c>
      <c r="G413" s="3" t="s">
        <v>25805</v>
      </c>
      <c r="H413" s="3" t="s">
        <v>25806</v>
      </c>
      <c r="I413" s="3" t="s">
        <v>25807</v>
      </c>
      <c r="J413" s="3" t="str">
        <f>IFERROR(__xludf.DUMMYFUNCTION("GOOGLETRANSLATE(I413,""zh_HANT"",""zh_HANS"")"),"凸凸头盔")</f>
        <v>凸凸头盔</v>
      </c>
    </row>
    <row r="414">
      <c r="A414" s="5" t="str">
        <f t="shared" si="33"/>
        <v>NAME_ITEM_AIRBALLOON</v>
      </c>
      <c r="B414" s="3" t="s">
        <v>25808</v>
      </c>
      <c r="C414" s="3" t="s">
        <v>7501</v>
      </c>
      <c r="D414" s="3" t="s">
        <v>7503</v>
      </c>
      <c r="E414" s="3" t="s">
        <v>25809</v>
      </c>
      <c r="F414" s="3" t="s">
        <v>25810</v>
      </c>
      <c r="G414" s="3" t="s">
        <v>25811</v>
      </c>
      <c r="H414" s="3" t="s">
        <v>7506</v>
      </c>
      <c r="I414" s="3" t="s">
        <v>7507</v>
      </c>
      <c r="J414" s="3" t="str">
        <f>IFERROR(__xludf.DUMMYFUNCTION("GOOGLETRANSLATE(I414,""zh_HANT"",""zh_HANS"")"),"气球")</f>
        <v>气球</v>
      </c>
    </row>
    <row r="415">
      <c r="A415" s="5" t="str">
        <f t="shared" si="33"/>
        <v>NAME_ITEM_REDCARD</v>
      </c>
      <c r="B415" s="3" t="s">
        <v>25812</v>
      </c>
      <c r="C415" s="3" t="s">
        <v>25813</v>
      </c>
      <c r="D415" s="3" t="s">
        <v>25814</v>
      </c>
      <c r="E415" s="3" t="s">
        <v>25815</v>
      </c>
      <c r="F415" s="3" t="s">
        <v>25816</v>
      </c>
      <c r="G415" s="3" t="s">
        <v>25817</v>
      </c>
      <c r="H415" s="3" t="s">
        <v>25818</v>
      </c>
      <c r="I415" s="3" t="s">
        <v>25819</v>
      </c>
      <c r="J415" s="3" t="str">
        <f>IFERROR(__xludf.DUMMYFUNCTION("GOOGLETRANSLATE(I415,""zh_HANT"",""zh_HANS"")"),"红牌")</f>
        <v>红牌</v>
      </c>
    </row>
    <row r="416">
      <c r="A416" s="5" t="str">
        <f t="shared" si="33"/>
        <v>NAME_ITEM_RINGTARGET</v>
      </c>
      <c r="B416" s="3" t="s">
        <v>25820</v>
      </c>
      <c r="C416" s="3" t="s">
        <v>25821</v>
      </c>
      <c r="D416" s="3" t="s">
        <v>25822</v>
      </c>
      <c r="E416" s="3" t="s">
        <v>25823</v>
      </c>
      <c r="F416" s="3" t="s">
        <v>25824</v>
      </c>
      <c r="G416" s="3" t="s">
        <v>25825</v>
      </c>
      <c r="H416" s="3" t="s">
        <v>25826</v>
      </c>
      <c r="I416" s="3" t="s">
        <v>25827</v>
      </c>
      <c r="J416" s="3" t="str">
        <f>IFERROR(__xludf.DUMMYFUNCTION("GOOGLETRANSLATE(I416,""zh_HANT"",""zh_HANS"")"),"标靶")</f>
        <v>标靶</v>
      </c>
    </row>
    <row r="417">
      <c r="A417" s="5" t="str">
        <f t="shared" si="33"/>
        <v>NAME_ITEM_BINDINGBAND</v>
      </c>
      <c r="B417" s="3" t="s">
        <v>25828</v>
      </c>
      <c r="C417" s="3" t="s">
        <v>25829</v>
      </c>
      <c r="D417" s="3" t="s">
        <v>25830</v>
      </c>
      <c r="E417" s="3" t="s">
        <v>25831</v>
      </c>
      <c r="F417" s="3" t="s">
        <v>25832</v>
      </c>
      <c r="G417" s="3" t="s">
        <v>25833</v>
      </c>
      <c r="H417" s="3" t="s">
        <v>25834</v>
      </c>
      <c r="I417" s="3" t="s">
        <v>25835</v>
      </c>
      <c r="J417" s="3" t="str">
        <f>IFERROR(__xludf.DUMMYFUNCTION("GOOGLETRANSLATE(I417,""zh_HANT"",""zh_HANS"")"),"紧绑束带")</f>
        <v>紧绑束带</v>
      </c>
    </row>
    <row r="418">
      <c r="A418" s="5" t="str">
        <f t="shared" si="33"/>
        <v>NAME_ITEM_ABSORBBULB</v>
      </c>
      <c r="B418" s="3" t="s">
        <v>25836</v>
      </c>
      <c r="C418" s="3" t="s">
        <v>25837</v>
      </c>
      <c r="D418" s="3" t="s">
        <v>25838</v>
      </c>
      <c r="E418" s="3" t="s">
        <v>25839</v>
      </c>
      <c r="F418" s="3" t="s">
        <v>25840</v>
      </c>
      <c r="G418" s="3" t="s">
        <v>10300</v>
      </c>
      <c r="H418" s="3" t="s">
        <v>25841</v>
      </c>
      <c r="I418" s="3" t="s">
        <v>25842</v>
      </c>
      <c r="J418" s="5" t="str">
        <f>I418</f>
        <v>球根</v>
      </c>
    </row>
    <row r="419">
      <c r="A419" s="5" t="str">
        <f t="shared" si="33"/>
        <v>NAME_ITEM_CELLBATTERY</v>
      </c>
      <c r="B419" s="3" t="s">
        <v>25843</v>
      </c>
      <c r="C419" s="3" t="s">
        <v>25844</v>
      </c>
      <c r="D419" s="3" t="s">
        <v>25845</v>
      </c>
      <c r="E419" s="3" t="s">
        <v>25846</v>
      </c>
      <c r="F419" s="3" t="s">
        <v>25847</v>
      </c>
      <c r="G419" s="3" t="s">
        <v>25848</v>
      </c>
      <c r="H419" s="3" t="s">
        <v>25849</v>
      </c>
      <c r="I419" s="3" t="s">
        <v>25850</v>
      </c>
      <c r="J419" s="3" t="str">
        <f>IFERROR(__xludf.DUMMYFUNCTION("GOOGLETRANSLATE(I419,""zh_HANT"",""zh_HANS"")"),"充电电池")</f>
        <v>充电电池</v>
      </c>
    </row>
    <row r="420">
      <c r="A420" s="5" t="str">
        <f t="shared" si="33"/>
        <v>NAME_ITEM_EJECTBUTTON</v>
      </c>
      <c r="B420" s="3" t="s">
        <v>25851</v>
      </c>
      <c r="C420" s="3" t="s">
        <v>25852</v>
      </c>
      <c r="D420" s="3" t="s">
        <v>25853</v>
      </c>
      <c r="E420" s="3" t="s">
        <v>25854</v>
      </c>
      <c r="F420" s="3" t="s">
        <v>25855</v>
      </c>
      <c r="G420" s="3" t="s">
        <v>25856</v>
      </c>
      <c r="H420" s="3" t="s">
        <v>25857</v>
      </c>
      <c r="I420" s="3" t="s">
        <v>25858</v>
      </c>
      <c r="J420" s="3" t="str">
        <f>IFERROR(__xludf.DUMMYFUNCTION("GOOGLETRANSLATE(I420,""zh_HANT"",""zh_HANS"")"),"逃脱按键")</f>
        <v>逃脱按键</v>
      </c>
    </row>
    <row r="421">
      <c r="A421" s="5" t="str">
        <f t="shared" si="33"/>
        <v>NAME_ITEM_FIREGEM</v>
      </c>
      <c r="B421" s="3" t="s">
        <v>25859</v>
      </c>
      <c r="C421" s="5" t="str">
        <f>CONCATENATE(Types!C11,"のジュエル")</f>
        <v>ほのおのジュエル</v>
      </c>
      <c r="D421" s="3" t="s">
        <v>25860</v>
      </c>
      <c r="E421" s="5" t="str">
        <f>CONCATENATE(Types!E11,"juwel")</f>
        <v>Feuerjuwel</v>
      </c>
      <c r="F421" s="5" t="str">
        <f>CONCATENATE("Gema ",Types!F11)</f>
        <v>Gema Fuego</v>
      </c>
      <c r="G421" s="5" t="str">
        <f>CONCATENATE("Bijou",LOWER(Types!G11))</f>
        <v>Bijoufuoco</v>
      </c>
      <c r="H421" s="5" t="str">
        <f>CONCATENATE(Types!H11,"주얼")</f>
        <v>불꽃주얼</v>
      </c>
      <c r="I421" s="5" t="str">
        <f>IFERROR(__xludf.DUMMYFUNCTION("GOOGLETRANSLATE(J421,""zh_HANS"",""zh_HANT"")"),"火之寶石")</f>
        <v>火之寶石</v>
      </c>
      <c r="J421" s="5" t="str">
        <f>CONCATENATE(Types!J11,"之宝石")</f>
        <v>火之宝石</v>
      </c>
    </row>
    <row r="422">
      <c r="A422" s="5" t="str">
        <f t="shared" si="33"/>
        <v>NAME_ITEM_WATERGEM</v>
      </c>
      <c r="B422" s="3" t="s">
        <v>25861</v>
      </c>
      <c r="C422" s="5" t="str">
        <f>CONCATENATE(Types!C12,"のジュエル")</f>
        <v>みずのジュエル</v>
      </c>
      <c r="D422" s="3" t="s">
        <v>25862</v>
      </c>
      <c r="E422" s="5" t="str">
        <f>CONCATENATE(Types!E12,"juwel")</f>
        <v>Wasserjuwel</v>
      </c>
      <c r="F422" s="5" t="str">
        <f>CONCATENATE("Gema ",Types!F12)</f>
        <v>Gema Agua</v>
      </c>
      <c r="G422" s="5" t="str">
        <f>CONCATENATE("Bijou",LOWER(Types!G12))</f>
        <v>Bijouacqua</v>
      </c>
      <c r="H422" s="5" t="str">
        <f>CONCATENATE(Types!H12,"주얼")</f>
        <v>물주얼</v>
      </c>
      <c r="I422" s="5" t="str">
        <f>IFERROR(__xludf.DUMMYFUNCTION("GOOGLETRANSLATE(J422,""zh_HANS"",""zh_HANT"")"),"水之寶石")</f>
        <v>水之寶石</v>
      </c>
      <c r="J422" s="5" t="str">
        <f>CONCATENATE(Types!J12,"之宝石")</f>
        <v>水之宝石</v>
      </c>
    </row>
    <row r="423">
      <c r="A423" s="5" t="str">
        <f t="shared" si="33"/>
        <v>NAME_ITEM_ELECTRICGEM</v>
      </c>
      <c r="B423" s="3" t="s">
        <v>25863</v>
      </c>
      <c r="C423" s="5" t="str">
        <f>CONCATENATE(Types!C14,"のジュエル")</f>
        <v>でんきのジュエル</v>
      </c>
      <c r="D423" s="3" t="s">
        <v>25864</v>
      </c>
      <c r="E423" s="5" t="str">
        <f>CONCATENATE(Types!E14,"juwel")</f>
        <v>Elektrojuwel</v>
      </c>
      <c r="F423" s="5" t="str">
        <f>CONCATENATE("Gema ",Types!F14)</f>
        <v>Gema Eléctrico</v>
      </c>
      <c r="G423" s="5" t="str">
        <f>CONCATENATE("Bijou",LOWER(Types!G14))</f>
        <v>Bijouelettro</v>
      </c>
      <c r="H423" s="5" t="str">
        <f>CONCATENATE(Types!H14,"주얼")</f>
        <v>전기주얼</v>
      </c>
      <c r="I423" s="5" t="str">
        <f>IFERROR(__xludf.DUMMYFUNCTION("GOOGLETRANSLATE(J423,""zh_HANS"",""zh_HANT"")"),"電之寶石")</f>
        <v>電之寶石</v>
      </c>
      <c r="J423" s="5" t="str">
        <f>CONCATENATE(Types!J14,"之宝石")</f>
        <v>电之宝石</v>
      </c>
    </row>
    <row r="424">
      <c r="A424" s="5" t="str">
        <f t="shared" si="33"/>
        <v>NAME_ITEM_GRASSGEM</v>
      </c>
      <c r="B424" s="3" t="s">
        <v>25865</v>
      </c>
      <c r="C424" s="5" t="str">
        <f>CONCATENATE(Types!C13,"のジュエル")</f>
        <v>くさのジュエル</v>
      </c>
      <c r="D424" s="3" t="s">
        <v>25866</v>
      </c>
      <c r="E424" s="5" t="str">
        <f>CONCATENATE(Types!E13,"juwel")</f>
        <v>Pflanzejuwel</v>
      </c>
      <c r="F424" s="5" t="str">
        <f>CONCATENATE("Gema ",Types!F13)</f>
        <v>Gema Planta</v>
      </c>
      <c r="G424" s="5" t="str">
        <f>CONCATENATE("Bijou",LOWER(Types!G13))</f>
        <v>Bijouerba</v>
      </c>
      <c r="H424" s="5" t="str">
        <f>CONCATENATE(Types!H13,"주얼")</f>
        <v>풀주얼</v>
      </c>
      <c r="I424" s="5" t="str">
        <f>IFERROR(__xludf.DUMMYFUNCTION("GOOGLETRANSLATE(J424,""zh_HANS"",""zh_HANT"")"),"草之寶石")</f>
        <v>草之寶石</v>
      </c>
      <c r="J424" s="5" t="str">
        <f>CONCATENATE(Types!J13,"之宝石")</f>
        <v>草之宝石</v>
      </c>
    </row>
    <row r="425">
      <c r="A425" s="5" t="str">
        <f t="shared" si="33"/>
        <v>NAME_ITEM_ICEGEM</v>
      </c>
      <c r="B425" s="3" t="s">
        <v>25867</v>
      </c>
      <c r="C425" s="5" t="str">
        <f>CONCATENATE(Types!C16,"のジュエル")</f>
        <v>こおりのジュエル</v>
      </c>
      <c r="D425" s="3" t="s">
        <v>25868</v>
      </c>
      <c r="E425" s="5" t="str">
        <f>CONCATENATE(Types!E16,"juwel")</f>
        <v>Eisjuwel</v>
      </c>
      <c r="F425" s="5" t="str">
        <f>CONCATENATE("Gema ",Types!F16)</f>
        <v>Gema Hielo</v>
      </c>
      <c r="G425" s="5" t="str">
        <f>CONCATENATE("Bijou",LOWER(Types!G16))</f>
        <v>Bijoughiaccio</v>
      </c>
      <c r="H425" s="5" t="str">
        <f>CONCATENATE(Types!H16,"주얼")</f>
        <v>얼음주얼</v>
      </c>
      <c r="I425" s="5" t="str">
        <f>IFERROR(__xludf.DUMMYFUNCTION("GOOGLETRANSLATE(J425,""zh_HANS"",""zh_HANT"")"),"冰之寶石")</f>
        <v>冰之寶石</v>
      </c>
      <c r="J425" s="5" t="str">
        <f>CONCATENATE(Types!J16,"之宝石")</f>
        <v>冰之宝石</v>
      </c>
    </row>
    <row r="426">
      <c r="A426" s="5" t="str">
        <f t="shared" si="33"/>
        <v>NAME_ITEM_FIGHTINGGEM</v>
      </c>
      <c r="B426" s="3" t="s">
        <v>25869</v>
      </c>
      <c r="C426" s="5" t="str">
        <f>CONCATENATE(Types!C3,"ジュエル")</f>
        <v>かくとうジュエル</v>
      </c>
      <c r="D426" s="3" t="s">
        <v>25870</v>
      </c>
      <c r="E426" s="5" t="str">
        <f>CONCATENATE(Types!E3,"juwel")</f>
        <v>Kampfjuwel</v>
      </c>
      <c r="F426" s="5" t="str">
        <f>CONCATENATE("Gema ",Types!F3)</f>
        <v>Gema Lucha</v>
      </c>
      <c r="G426" s="5" t="str">
        <f>CONCATENATE("Bijou",LOWER(Types!G3))</f>
        <v>Bijoulotta</v>
      </c>
      <c r="H426" s="5" t="str">
        <f>CONCATENATE(Types!H3,"주얼")</f>
        <v>격투주얼</v>
      </c>
      <c r="I426" s="5" t="str">
        <f>IFERROR(__xludf.DUMMYFUNCTION("GOOGLETRANSLATE(J426,""zh_HANS"",""zh_HANT"")"),"格鬥寶石")</f>
        <v>格鬥寶石</v>
      </c>
      <c r="J426" s="5" t="str">
        <f>CONCATENATE(Types!J3,"宝石")</f>
        <v>格斗宝石</v>
      </c>
    </row>
    <row r="427">
      <c r="A427" s="5" t="str">
        <f t="shared" si="33"/>
        <v>NAME_ITEM_POISONGEM</v>
      </c>
      <c r="B427" s="3" t="s">
        <v>25871</v>
      </c>
      <c r="C427" s="5" t="str">
        <f>CONCATENATE(Types!C5,"のジュエル")</f>
        <v>どくのジュエル</v>
      </c>
      <c r="D427" s="3" t="s">
        <v>25872</v>
      </c>
      <c r="E427" s="5" t="str">
        <f>CONCATENATE(Types!E5,"juwel")</f>
        <v>Giftjuwel</v>
      </c>
      <c r="F427" s="5" t="str">
        <f>CONCATENATE("Gema ",Types!F5)</f>
        <v>Gema Veneno</v>
      </c>
      <c r="G427" s="5" t="str">
        <f>CONCATENATE("Bijou",LOWER(Types!G5))</f>
        <v>Bijouveleno</v>
      </c>
      <c r="H427" s="5" t="str">
        <f>CONCATENATE(Types!H5,"주얼")</f>
        <v>독주얼</v>
      </c>
      <c r="I427" s="5" t="str">
        <f>IFERROR(__xludf.DUMMYFUNCTION("GOOGLETRANSLATE(J427,""zh_HANS"",""zh_HANT"")"),"毒之寶石")</f>
        <v>毒之寶石</v>
      </c>
      <c r="J427" s="5" t="str">
        <f>CONCATENATE(Types!J5,"之宝石")</f>
        <v>毒之宝石</v>
      </c>
    </row>
    <row r="428">
      <c r="A428" s="5" t="str">
        <f t="shared" si="33"/>
        <v>NAME_ITEM_GROUNDGEM</v>
      </c>
      <c r="B428" s="3" t="s">
        <v>25873</v>
      </c>
      <c r="C428" s="5" t="str">
        <f>CONCATENATE(Types!C6,"のジュエル")</f>
        <v>じめんのジュエル</v>
      </c>
      <c r="D428" s="3" t="s">
        <v>25874</v>
      </c>
      <c r="E428" s="5" t="str">
        <f>CONCATENATE(Types!E6,"juwel")</f>
        <v>Bodenjuwel</v>
      </c>
      <c r="F428" s="5" t="str">
        <f>CONCATENATE("Gema ",Types!F6)</f>
        <v>Gema Tierra</v>
      </c>
      <c r="G428" s="5" t="str">
        <f>CONCATENATE("Bijou",LOWER(Types!G6))</f>
        <v>Bijouterra</v>
      </c>
      <c r="H428" s="5" t="str">
        <f>CONCATENATE(Types!H6,"주얼")</f>
        <v>땅주얼</v>
      </c>
      <c r="I428" s="5" t="str">
        <f>IFERROR(__xludf.DUMMYFUNCTION("GOOGLETRANSLATE(J428,""zh_HANS"",""zh_HANT"")"),"地面寶石")</f>
        <v>地面寶石</v>
      </c>
      <c r="J428" s="5" t="str">
        <f>CONCATENATE(Types!J6,"宝石")</f>
        <v>地面宝石</v>
      </c>
    </row>
    <row r="429">
      <c r="A429" s="5" t="str">
        <f t="shared" si="33"/>
        <v>NAME_ITEM_FLYINGGEM</v>
      </c>
      <c r="B429" s="3" t="s">
        <v>25875</v>
      </c>
      <c r="C429" s="5" t="str">
        <f>CONCATENATE(Types!C4,"のジュエル")</f>
        <v>ひこうのジュエル</v>
      </c>
      <c r="D429" s="3" t="s">
        <v>25876</v>
      </c>
      <c r="E429" s="5" t="str">
        <f>CONCATENATE(Types!E4,"juwel")</f>
        <v>Flugjuwel</v>
      </c>
      <c r="F429" s="5" t="str">
        <f>CONCATENATE("Gema ",Types!F4)</f>
        <v>Gema Volador</v>
      </c>
      <c r="G429" s="5" t="str">
        <f>CONCATENATE("Bijou",LOWER(Types!G4))</f>
        <v>Bijouvolante</v>
      </c>
      <c r="H429" s="5" t="str">
        <f>CONCATENATE(Types!H4,"주얼")</f>
        <v>비행주얼</v>
      </c>
      <c r="I429" s="5" t="str">
        <f>IFERROR(__xludf.DUMMYFUNCTION("GOOGLETRANSLATE(J429,""zh_HANS"",""zh_HANT"")"),"飛行寶石")</f>
        <v>飛行寶石</v>
      </c>
      <c r="J429" s="5" t="str">
        <f>CONCATENATE(Types!J4,"宝石")</f>
        <v>飞行宝石</v>
      </c>
    </row>
    <row r="430">
      <c r="A430" s="5" t="str">
        <f t="shared" si="33"/>
        <v>NAME_ITEM_PSYCHICGEM</v>
      </c>
      <c r="B430" s="3" t="s">
        <v>25877</v>
      </c>
      <c r="C430" s="5" t="str">
        <f>CONCATENATE(Types!C15,"ジュエル")</f>
        <v>エスパージュエル</v>
      </c>
      <c r="D430" s="3" t="s">
        <v>25878</v>
      </c>
      <c r="E430" s="5" t="str">
        <f>CONCATENATE(Types!E15,"juwel")</f>
        <v>Psyschojuwel</v>
      </c>
      <c r="F430" s="5" t="str">
        <f>CONCATENATE("Gema ",Types!F15)</f>
        <v>Gema Psíquico</v>
      </c>
      <c r="G430" s="5" t="str">
        <f>CONCATENATE("Bijou",LOWER(Types!G15))</f>
        <v>Bijoupsico</v>
      </c>
      <c r="H430" s="5" t="str">
        <f>CONCATENATE(Types!H15,"주얼")</f>
        <v>에스퍼주얼</v>
      </c>
      <c r="I430" s="5" t="str">
        <f>IFERROR(__xludf.DUMMYFUNCTION("GOOGLETRANSLATE(J430,""zh_HANS"",""zh_HANT"")"),"超能力寶石")</f>
        <v>超能力寶石</v>
      </c>
      <c r="J430" s="5" t="str">
        <f>CONCATENATE(Types!J15,"宝石")</f>
        <v>超能力宝石</v>
      </c>
    </row>
    <row r="431">
      <c r="A431" s="5" t="str">
        <f t="shared" si="33"/>
        <v>NAME_ITEM_BUGGEM</v>
      </c>
      <c r="B431" s="3" t="s">
        <v>25879</v>
      </c>
      <c r="C431" s="5" t="str">
        <f>CONCATENATE(Types!C8,"のジュエル")</f>
        <v>むしのジュエル</v>
      </c>
      <c r="D431" s="3" t="s">
        <v>25880</v>
      </c>
      <c r="E431" s="5" t="str">
        <f>CONCATENATE(Types!E8,"juwel")</f>
        <v>Käferjuwel</v>
      </c>
      <c r="F431" s="5" t="str">
        <f>CONCATENATE("Gema ",Types!F8)</f>
        <v>Gema Bicho</v>
      </c>
      <c r="G431" s="5" t="str">
        <f>CONCATENATE("Bijou",LOWER(Types!G8))</f>
        <v>Bijoucoleottero</v>
      </c>
      <c r="H431" s="5" t="str">
        <f>CONCATENATE(Types!H8,"주얼")</f>
        <v>벌레주얼</v>
      </c>
      <c r="I431" s="5" t="str">
        <f>IFERROR(__xludf.DUMMYFUNCTION("GOOGLETRANSLATE(J431,""zh_HANS"",""zh_HANT"")"),"蟲之寶石")</f>
        <v>蟲之寶石</v>
      </c>
      <c r="J431" s="5" t="str">
        <f>CONCATENATE(Types!J8,"之宝石")</f>
        <v>虫之宝石</v>
      </c>
    </row>
    <row r="432">
      <c r="A432" s="5" t="str">
        <f t="shared" si="33"/>
        <v>NAME_ITEM_ROCKGEM</v>
      </c>
      <c r="B432" s="3" t="s">
        <v>25881</v>
      </c>
      <c r="C432" s="5" t="str">
        <f>CONCATENATE(Types!C7,"のジュエル")</f>
        <v>いわのジュエル</v>
      </c>
      <c r="D432" s="3" t="s">
        <v>25882</v>
      </c>
      <c r="E432" s="5" t="str">
        <f>CONCATENATE(Types!E7,"juwel")</f>
        <v>Gesteinjuwel</v>
      </c>
      <c r="F432" s="5" t="str">
        <f>CONCATENATE("Gema ",Types!F7)</f>
        <v>Gema Roca</v>
      </c>
      <c r="G432" s="5" t="str">
        <f>CONCATENATE("Bijou",LOWER(Types!G7))</f>
        <v>Bijouroccia</v>
      </c>
      <c r="H432" s="5" t="str">
        <f>CONCATENATE(Types!H7,"주얼")</f>
        <v>바위주얼</v>
      </c>
      <c r="I432" s="5" t="str">
        <f>IFERROR(__xludf.DUMMYFUNCTION("GOOGLETRANSLATE(J432,""zh_HANS"",""zh_HANT"")"),"岩石寶石")</f>
        <v>岩石寶石</v>
      </c>
      <c r="J432" s="5" t="str">
        <f>CONCATENATE(Types!J7,"宝石")</f>
        <v>岩石宝石</v>
      </c>
    </row>
    <row r="433">
      <c r="A433" s="5" t="str">
        <f t="shared" si="33"/>
        <v>NAME_ITEM_GHOSTGEM</v>
      </c>
      <c r="B433" s="3" t="s">
        <v>25883</v>
      </c>
      <c r="C433" s="5" t="str">
        <f>CONCATENATE(Types!C9,"ジュエル")</f>
        <v>ゴーストジュエル</v>
      </c>
      <c r="D433" s="3" t="s">
        <v>25884</v>
      </c>
      <c r="E433" s="5" t="str">
        <f>CONCATENATE(Types!E9,"juwel")</f>
        <v>Geistjuwel</v>
      </c>
      <c r="F433" s="5" t="str">
        <f>CONCATENATE("Gema ",Types!F9)</f>
        <v>Gema Fantasma</v>
      </c>
      <c r="G433" s="5" t="str">
        <f>CONCATENATE("Bijou",LOWER(Types!G9))</f>
        <v>Bijouspettro</v>
      </c>
      <c r="H433" s="5" t="str">
        <f>CONCATENATE(Types!H9,"주얼")</f>
        <v>고스트주얼</v>
      </c>
      <c r="I433" s="5" t="str">
        <f>IFERROR(__xludf.DUMMYFUNCTION("GOOGLETRANSLATE(J433,""zh_HANS"",""zh_HANT"")"),"幽靈寶石")</f>
        <v>幽靈寶石</v>
      </c>
      <c r="J433" s="5" t="str">
        <f>CONCATENATE(Types!J9,"宝石")</f>
        <v>幽灵宝石</v>
      </c>
    </row>
    <row r="434">
      <c r="A434" s="5" t="str">
        <f t="shared" si="33"/>
        <v>NAME_ITEM_DRAGONGEM</v>
      </c>
      <c r="B434" s="3" t="s">
        <v>25885</v>
      </c>
      <c r="C434" s="5" t="str">
        <f>CONCATENATE(Types!C17,"ジュエル")</f>
        <v>ドラゴンジュエル</v>
      </c>
      <c r="D434" s="3" t="s">
        <v>25886</v>
      </c>
      <c r="E434" s="5" t="str">
        <f>CONCATENATE(Types!E17,"juwel")</f>
        <v>Drachejuwel</v>
      </c>
      <c r="F434" s="5" t="str">
        <f>CONCATENATE("Gema ",Types!F17)</f>
        <v>Gema Dragón</v>
      </c>
      <c r="G434" s="5" t="str">
        <f>CONCATENATE("Bijou",LOWER(Types!G17))</f>
        <v>Bijoudrago</v>
      </c>
      <c r="H434" s="5" t="str">
        <f>CONCATENATE(Types!H17,"주얼")</f>
        <v>드개곤주얼</v>
      </c>
      <c r="I434" s="5" t="str">
        <f>IFERROR(__xludf.DUMMYFUNCTION("GOOGLETRANSLATE(J434,""zh_HANS"",""zh_HANT"")"),"龍之寶石")</f>
        <v>龍之寶石</v>
      </c>
      <c r="J434" s="5" t="str">
        <f>CONCATENATE(Types!J17,"之宝石")</f>
        <v>龙之宝石</v>
      </c>
    </row>
    <row r="435">
      <c r="A435" s="5" t="str">
        <f t="shared" si="33"/>
        <v>NAME_ITEM_DARKGEM</v>
      </c>
      <c r="B435" s="3" t="s">
        <v>25887</v>
      </c>
      <c r="C435" s="5" t="str">
        <f>CONCATENATE(Types!C18,"のジュエル")</f>
        <v>あくのジュエル</v>
      </c>
      <c r="D435" s="3" t="s">
        <v>25888</v>
      </c>
      <c r="E435" s="5" t="str">
        <f>CONCATENATE(Types!E18,"juwel")</f>
        <v>Unlichtjuwel</v>
      </c>
      <c r="F435" s="5" t="str">
        <f>CONCATENATE("Gema ",Types!F18)</f>
        <v>Gema Siniestro</v>
      </c>
      <c r="G435" s="5" t="str">
        <f>CONCATENATE("Bijou",LOWER(Types!G18))</f>
        <v>Bijoubuio</v>
      </c>
      <c r="H435" s="5" t="str">
        <f>CONCATENATE(Types!H18,"주얼")</f>
        <v>악주얼</v>
      </c>
      <c r="I435" s="5" t="str">
        <f>IFERROR(__xludf.DUMMYFUNCTION("GOOGLETRANSLATE(J435,""zh_HANS"",""zh_HANT"")"),"惡之寶石")</f>
        <v>惡之寶石</v>
      </c>
      <c r="J435" s="5" t="str">
        <f>CONCATENATE(Types!J18,"之宝石")</f>
        <v>恶之宝石</v>
      </c>
    </row>
    <row r="436">
      <c r="A436" s="5" t="str">
        <f t="shared" si="33"/>
        <v>NAME_ITEM_STEELGEM</v>
      </c>
      <c r="B436" s="3" t="s">
        <v>25889</v>
      </c>
      <c r="C436" s="5" t="str">
        <f>CONCATENATE(Types!C10,"のジュエル")</f>
        <v>はがねのジュエル</v>
      </c>
      <c r="D436" s="3" t="s">
        <v>25890</v>
      </c>
      <c r="E436" s="5" t="str">
        <f>CONCATENATE(Types!E10,"juwel")</f>
        <v>Stahljuwel</v>
      </c>
      <c r="F436" s="5" t="str">
        <f>CONCATENATE("Gema ",Types!F10)</f>
        <v>Gema Acero</v>
      </c>
      <c r="G436" s="5" t="str">
        <f>CONCATENATE("Bijou",LOWER(Types!G10))</f>
        <v>Bijouacciaio</v>
      </c>
      <c r="H436" s="5" t="str">
        <f>CONCATENATE(Types!H10,"주얼")</f>
        <v>강철주얼</v>
      </c>
      <c r="I436" s="5" t="str">
        <f>IFERROR(__xludf.DUMMYFUNCTION("GOOGLETRANSLATE(J436,""zh_HANS"",""zh_HANT"")"),"鋼之寶石")</f>
        <v>鋼之寶石</v>
      </c>
      <c r="J436" s="5" t="str">
        <f>CONCATENATE(Types!J10,"之宝石")</f>
        <v>钢之宝石</v>
      </c>
    </row>
    <row r="437">
      <c r="A437" s="5" t="str">
        <f t="shared" si="33"/>
        <v>NAME_ITEM_NORMALGEM</v>
      </c>
      <c r="B437" s="3" t="s">
        <v>25891</v>
      </c>
      <c r="C437" s="5" t="str">
        <f>CONCATENATE(Types!C2,"ジュエル")</f>
        <v>ノーマルジュエル</v>
      </c>
      <c r="D437" s="3" t="s">
        <v>25892</v>
      </c>
      <c r="E437" s="5" t="str">
        <f>CONCATENATE(Types!E2,"juwel")</f>
        <v>Normaljuwel</v>
      </c>
      <c r="F437" s="5" t="str">
        <f>CONCATENATE("Gema ",Types!F2)</f>
        <v>Gema Normal</v>
      </c>
      <c r="G437" s="5" t="str">
        <f>CONCATENATE("Bijou",LOWER(Types!G2))</f>
        <v>Bijounormale</v>
      </c>
      <c r="H437" s="5" t="str">
        <f>CONCATENATE(Types!H2,"주얼")</f>
        <v>노말주얼</v>
      </c>
      <c r="I437" s="5" t="str">
        <f>IFERROR(__xludf.DUMMYFUNCTION("GOOGLETRANSLATE(J437,""zh_HANS"",""zh_HANT"")"),"一般寶石")</f>
        <v>一般寶石</v>
      </c>
      <c r="J437" s="5" t="str">
        <f>CONCATENATE(Types!J2,"宝石")</f>
        <v>一般宝石</v>
      </c>
    </row>
    <row r="438">
      <c r="A438" s="5" t="str">
        <f t="shared" si="33"/>
        <v>NAME_ITEM_FAIRYGEM</v>
      </c>
      <c r="B438" s="3" t="s">
        <v>25893</v>
      </c>
      <c r="C438" s="5" t="str">
        <f>CONCATENATE(Types!C19,"ジュエル")</f>
        <v>フェアリジュエル</v>
      </c>
      <c r="D438" s="3" t="s">
        <v>25894</v>
      </c>
      <c r="E438" s="5" t="str">
        <f>CONCATENATE(Types!E19,"juwel")</f>
        <v>Feejuwel</v>
      </c>
      <c r="F438" s="5" t="str">
        <f>CONCATENATE("Gema ",Types!F19)</f>
        <v>Gema Hada</v>
      </c>
      <c r="G438" s="5" t="str">
        <f>CONCATENATE("Bijou",LOWER(Types!G19))</f>
        <v>Bijoufolletto</v>
      </c>
      <c r="H438" s="5" t="str">
        <f>CONCATENATE(Types!H19,"주얼")</f>
        <v>페어리주얼</v>
      </c>
      <c r="I438" s="5" t="str">
        <f>IFERROR(__xludf.DUMMYFUNCTION("GOOGLETRANSLATE(J438,""zh_HANS"",""zh_HANT"")"),"妖精寶石")</f>
        <v>妖精寶石</v>
      </c>
      <c r="J438" s="5" t="str">
        <f>CONCATENATE(Types!J19,"宝石")</f>
        <v>妖精宝石</v>
      </c>
    </row>
    <row r="439">
      <c r="A439" s="5" t="str">
        <f t="shared" si="33"/>
        <v>NAME_ITEM_WEAKNESSPOLICY</v>
      </c>
      <c r="B439" s="3" t="s">
        <v>25895</v>
      </c>
      <c r="C439" s="3" t="s">
        <v>25896</v>
      </c>
      <c r="D439" s="3" t="s">
        <v>25897</v>
      </c>
      <c r="E439" s="3" t="s">
        <v>25898</v>
      </c>
      <c r="F439" s="3" t="s">
        <v>25899</v>
      </c>
      <c r="G439" s="3" t="s">
        <v>25900</v>
      </c>
      <c r="H439" s="3" t="s">
        <v>25901</v>
      </c>
      <c r="I439" s="3" t="s">
        <v>25902</v>
      </c>
      <c r="J439" s="5" t="str">
        <f>IFERROR(__xludf.DUMMYFUNCTION("GOOGLETRANSLATE(I439,""zh_HANT"",""zh_HANS"")"),"弱点保险")</f>
        <v>弱点保险</v>
      </c>
    </row>
    <row r="440">
      <c r="A440" s="5" t="str">
        <f t="shared" si="33"/>
        <v>NAME_ITEM_ASSAULTVEST</v>
      </c>
      <c r="B440" s="3" t="s">
        <v>25903</v>
      </c>
      <c r="C440" s="3" t="s">
        <v>25904</v>
      </c>
      <c r="D440" s="3" t="s">
        <v>25905</v>
      </c>
      <c r="E440" s="3" t="s">
        <v>25906</v>
      </c>
      <c r="F440" s="3" t="s">
        <v>25907</v>
      </c>
      <c r="G440" s="3" t="s">
        <v>25908</v>
      </c>
      <c r="H440" s="3" t="s">
        <v>25909</v>
      </c>
      <c r="I440" s="3" t="s">
        <v>25910</v>
      </c>
      <c r="J440" s="5" t="str">
        <f>IFERROR(__xludf.DUMMYFUNCTION("GOOGLETRANSLATE(I440,""zh_HANT"",""zh_HANS"")"),"突击背心")</f>
        <v>突击背心</v>
      </c>
    </row>
    <row r="441">
      <c r="A441" s="5" t="str">
        <f t="shared" si="33"/>
        <v>NAME_ITEM_PIXIEPLATE</v>
      </c>
      <c r="B441" s="3" t="s">
        <v>25911</v>
      </c>
      <c r="C441" s="3" t="s">
        <v>25912</v>
      </c>
      <c r="D441" s="3" t="s">
        <v>25913</v>
      </c>
      <c r="E441" s="3" t="s">
        <v>25914</v>
      </c>
      <c r="F441" s="3" t="s">
        <v>25915</v>
      </c>
      <c r="G441" s="3" t="s">
        <v>25916</v>
      </c>
      <c r="H441" s="3" t="s">
        <v>25917</v>
      </c>
      <c r="I441" s="3" t="s">
        <v>25918</v>
      </c>
      <c r="J441" s="5" t="str">
        <f t="shared" ref="J441:J445" si="37">I441</f>
        <v>妖精石板</v>
      </c>
    </row>
    <row r="442">
      <c r="A442" s="5" t="str">
        <f t="shared" si="33"/>
        <v>NAME_ITEM_WHIPPEDDREAM</v>
      </c>
      <c r="B442" s="3" t="s">
        <v>25919</v>
      </c>
      <c r="C442" s="3" t="s">
        <v>25920</v>
      </c>
      <c r="D442" s="3" t="s">
        <v>25921</v>
      </c>
      <c r="E442" s="3" t="s">
        <v>25922</v>
      </c>
      <c r="F442" s="3" t="s">
        <v>25923</v>
      </c>
      <c r="G442" s="3" t="s">
        <v>25924</v>
      </c>
      <c r="H442" s="3" t="s">
        <v>25925</v>
      </c>
      <c r="I442" s="3" t="s">
        <v>11117</v>
      </c>
      <c r="J442" s="5" t="str">
        <f t="shared" si="37"/>
        <v>泡沫奶油</v>
      </c>
    </row>
    <row r="443">
      <c r="A443" s="5" t="str">
        <f t="shared" si="33"/>
        <v>NAME_ITEM_SACHET</v>
      </c>
      <c r="B443" s="3" t="s">
        <v>25926</v>
      </c>
      <c r="C443" s="3" t="s">
        <v>25927</v>
      </c>
      <c r="D443" s="3" t="s">
        <v>25928</v>
      </c>
      <c r="E443" s="3" t="s">
        <v>25929</v>
      </c>
      <c r="F443" s="3" t="s">
        <v>25930</v>
      </c>
      <c r="G443" s="3" t="s">
        <v>25931</v>
      </c>
      <c r="H443" s="3" t="s">
        <v>25932</v>
      </c>
      <c r="I443" s="3" t="s">
        <v>25933</v>
      </c>
      <c r="J443" s="5" t="str">
        <f t="shared" si="37"/>
        <v>香袋</v>
      </c>
    </row>
    <row r="444">
      <c r="A444" s="5" t="str">
        <f t="shared" si="33"/>
        <v>NAME_ITEM_LUMINOUSMOSS</v>
      </c>
      <c r="B444" s="3" t="s">
        <v>25934</v>
      </c>
      <c r="C444" s="3" t="s">
        <v>25935</v>
      </c>
      <c r="D444" s="3" t="s">
        <v>25936</v>
      </c>
      <c r="E444" s="3" t="s">
        <v>25937</v>
      </c>
      <c r="F444" s="3" t="s">
        <v>25938</v>
      </c>
      <c r="G444" s="3" t="s">
        <v>25939</v>
      </c>
      <c r="H444" s="3" t="s">
        <v>25940</v>
      </c>
      <c r="I444" s="3" t="s">
        <v>25941</v>
      </c>
      <c r="J444" s="5" t="str">
        <f t="shared" si="37"/>
        <v>光苔</v>
      </c>
    </row>
    <row r="445">
      <c r="A445" s="5" t="str">
        <f t="shared" si="33"/>
        <v>NAME_ITEM_SNOWBALL</v>
      </c>
      <c r="B445" s="3" t="s">
        <v>25942</v>
      </c>
      <c r="C445" s="3" t="s">
        <v>25943</v>
      </c>
      <c r="D445" s="3" t="s">
        <v>25944</v>
      </c>
      <c r="E445" s="3" t="s">
        <v>25945</v>
      </c>
      <c r="F445" s="3" t="s">
        <v>25946</v>
      </c>
      <c r="G445" s="3" t="s">
        <v>25947</v>
      </c>
      <c r="H445" s="3" t="s">
        <v>25948</v>
      </c>
      <c r="I445" s="3" t="s">
        <v>25949</v>
      </c>
      <c r="J445" s="5" t="str">
        <f t="shared" si="37"/>
        <v>雪球</v>
      </c>
    </row>
    <row r="446">
      <c r="A446" s="5" t="str">
        <f t="shared" si="33"/>
        <v>NAME_ITEM_SAFETYGOGGLES</v>
      </c>
      <c r="B446" s="3" t="s">
        <v>25950</v>
      </c>
      <c r="C446" s="3" t="s">
        <v>25951</v>
      </c>
      <c r="D446" s="3" t="s">
        <v>25952</v>
      </c>
      <c r="E446" s="3" t="s">
        <v>25953</v>
      </c>
      <c r="F446" s="3" t="s">
        <v>25954</v>
      </c>
      <c r="G446" s="3" t="s">
        <v>25955</v>
      </c>
      <c r="H446" s="3" t="s">
        <v>25956</v>
      </c>
      <c r="I446" s="3" t="s">
        <v>25957</v>
      </c>
      <c r="J446" s="5" t="str">
        <f>IFERROR(__xludf.DUMMYFUNCTION("GOOGLETRANSLATE(I446,""zh_HANT"",""zh_HANS"")"),"防尘护目镜")</f>
        <v>防尘护目镜</v>
      </c>
    </row>
    <row r="447">
      <c r="A447" s="5" t="str">
        <f t="shared" si="33"/>
        <v>NAME_ITEM_GENGARITE</v>
      </c>
      <c r="B447" s="3" t="s">
        <v>25958</v>
      </c>
      <c r="C447" s="5" t="str">
        <f>CONCATENATE(Pokemon!C95,"ナイト")</f>
        <v>ゲンガーナイト</v>
      </c>
      <c r="D447" s="3" t="s">
        <v>25959</v>
      </c>
      <c r="E447" s="3" t="s">
        <v>25960</v>
      </c>
      <c r="F447" s="5" t="str">
        <f t="shared" ref="F447:F493" si="38">SUBSTITUTE(G447,"ite","ita")</f>
        <v>Gengarita</v>
      </c>
      <c r="G447" s="5" t="str">
        <f t="shared" ref="G447:G451" si="39">B447</f>
        <v>Gengarite</v>
      </c>
      <c r="H447" s="5" t="str">
        <f>CONCATENATE(Pokemon!H95,"나이트")</f>
        <v>팬텀나이트</v>
      </c>
      <c r="I447" s="5" t="str">
        <f>IFERROR(__xludf.DUMMYFUNCTION("GOOGLETRANSLATE(J447,""zh_HANS"",""zh_HANT"")"),"耿鬼進化石")</f>
        <v>耿鬼進化石</v>
      </c>
      <c r="J447" s="5" t="str">
        <f>CONCATENATE(Pokemon!J95,"进化石")</f>
        <v>耿鬼进化石</v>
      </c>
    </row>
    <row r="448">
      <c r="A448" s="5" t="str">
        <f t="shared" si="33"/>
        <v>NAME_ITEM_GARDEVOIRITE</v>
      </c>
      <c r="B448" s="3" t="s">
        <v>25961</v>
      </c>
      <c r="C448" s="5" t="str">
        <f>CONCATENATE(Pokemon!C283,"ナイト")</f>
        <v>サーナイトナイト</v>
      </c>
      <c r="D448" s="3" t="s">
        <v>25961</v>
      </c>
      <c r="E448" s="3" t="s">
        <v>25962</v>
      </c>
      <c r="F448" s="5" t="str">
        <f t="shared" si="38"/>
        <v>Gardevoirita</v>
      </c>
      <c r="G448" s="5" t="str">
        <f t="shared" si="39"/>
        <v>Gardevoirite</v>
      </c>
      <c r="H448" s="5" t="str">
        <f>CONCATENATE(Pokemon!H283,"나이트")</f>
        <v>가디안나이트</v>
      </c>
      <c r="I448" s="5" t="str">
        <f>IFERROR(__xludf.DUMMYFUNCTION("GOOGLETRANSLATE(J448,""zh_HANS"",""zh_HANT"")"),"沙奈朵進化石")</f>
        <v>沙奈朵進化石</v>
      </c>
      <c r="J448" s="5" t="str">
        <f>CONCATENATE(Pokemon!J283,"进化石")</f>
        <v>沙奈朵进化石</v>
      </c>
    </row>
    <row r="449">
      <c r="A449" s="5" t="str">
        <f t="shared" si="33"/>
        <v>NAME_ITEM_AMPHAROSITE</v>
      </c>
      <c r="B449" s="3" t="s">
        <v>25963</v>
      </c>
      <c r="C449" s="5" t="str">
        <f>CONCATENATE(Pokemon!C182,"ナイト")</f>
        <v>デンリュウナイト</v>
      </c>
      <c r="D449" s="3" t="s">
        <v>25964</v>
      </c>
      <c r="E449" s="3" t="s">
        <v>25965</v>
      </c>
      <c r="F449" s="5" t="str">
        <f t="shared" si="38"/>
        <v>Ampharosita</v>
      </c>
      <c r="G449" s="5" t="str">
        <f t="shared" si="39"/>
        <v>Ampharosite</v>
      </c>
      <c r="H449" s="5" t="str">
        <f>CONCATENATE(Pokemon!H182,"나이트")</f>
        <v>전룡나이트</v>
      </c>
      <c r="I449" s="5" t="str">
        <f>IFERROR(__xludf.DUMMYFUNCTION("GOOGLETRANSLATE(J449,""zh_HANS"",""zh_HANT"")"),"電龍進化石")</f>
        <v>電龍進化石</v>
      </c>
      <c r="J449" s="5" t="str">
        <f>CONCATENATE(Pokemon!J182,"进化石")</f>
        <v>电龙进化石</v>
      </c>
    </row>
    <row r="450">
      <c r="A450" s="5" t="str">
        <f t="shared" si="33"/>
        <v>NAME_ITEM_VENUSAURITE</v>
      </c>
      <c r="B450" s="3" t="s">
        <v>25966</v>
      </c>
      <c r="C450" s="5" t="str">
        <f>CONCATENATE(Pokemon!C4,"ナイト")</f>
        <v>フシギバナナイト</v>
      </c>
      <c r="D450" s="3" t="s">
        <v>25967</v>
      </c>
      <c r="E450" s="3" t="s">
        <v>25968</v>
      </c>
      <c r="F450" s="5" t="str">
        <f t="shared" si="38"/>
        <v>Venusaurita</v>
      </c>
      <c r="G450" s="5" t="str">
        <f t="shared" si="39"/>
        <v>Venusaurite</v>
      </c>
      <c r="H450" s="5" t="str">
        <f>CONCATENATE(Pokemon!H4,"나이트")</f>
        <v>이상해꽃나이트</v>
      </c>
      <c r="I450" s="5" t="str">
        <f>IFERROR(__xludf.DUMMYFUNCTION("GOOGLETRANSLATE(J450,""zh_HANS"",""zh_HANT"")"),"妙蛙花進化石")</f>
        <v>妙蛙花進化石</v>
      </c>
      <c r="J450" s="5" t="str">
        <f>CONCATENATE(Pokemon!J4,"进化石")</f>
        <v>妙蛙花进化石</v>
      </c>
    </row>
    <row r="451">
      <c r="A451" s="5" t="str">
        <f t="shared" si="33"/>
        <v>NAME_ITEM_CHARIZARDITEX</v>
      </c>
      <c r="B451" s="3" t="s">
        <v>25969</v>
      </c>
      <c r="C451" s="5" t="str">
        <f>CONCATENATE(Pokemon!C7,"ナイト","Ｘ")</f>
        <v>リザードンナイトＸ</v>
      </c>
      <c r="D451" s="3" t="s">
        <v>25970</v>
      </c>
      <c r="E451" s="3" t="s">
        <v>25971</v>
      </c>
      <c r="F451" s="5" t="str">
        <f t="shared" si="38"/>
        <v>Charizardita X</v>
      </c>
      <c r="G451" s="5" t="str">
        <f t="shared" si="39"/>
        <v>Charizardite X</v>
      </c>
      <c r="H451" s="5" t="str">
        <f>CONCATENATE(Pokemon!H7,"나이트","Ｘ")</f>
        <v>리자몽나이트Ｘ</v>
      </c>
      <c r="I451" s="5" t="str">
        <f>IFERROR(__xludf.DUMMYFUNCTION("GOOGLETRANSLATE(J451,""zh_HANS"",""zh_HANT"")"),"噴火龍進化石Ｘ")</f>
        <v>噴火龍進化石Ｘ</v>
      </c>
      <c r="J451" s="5" t="str">
        <f>CONCATENATE(Pokemon!J7,"进化石","Ｘ")</f>
        <v>喷火龙进化石Ｘ</v>
      </c>
    </row>
    <row r="452">
      <c r="A452" s="5" t="str">
        <f t="shared" si="33"/>
        <v>NAME_ITEM_BLASTOISINITE</v>
      </c>
      <c r="B452" s="3" t="s">
        <v>25972</v>
      </c>
      <c r="C452" s="5" t="str">
        <f>CONCATENATE(Pokemon!C10,"ナイト")</f>
        <v>カメックスナイト</v>
      </c>
      <c r="D452" s="3" t="s">
        <v>25973</v>
      </c>
      <c r="E452" s="3" t="s">
        <v>25974</v>
      </c>
      <c r="F452" s="5" t="str">
        <f t="shared" si="38"/>
        <v>Blastoisita</v>
      </c>
      <c r="G452" s="3" t="s">
        <v>25975</v>
      </c>
      <c r="H452" s="5" t="str">
        <f>CONCATENATE(Pokemon!H10,"나이트")</f>
        <v>거북왕나이트</v>
      </c>
      <c r="I452" s="5" t="str">
        <f>IFERROR(__xludf.DUMMYFUNCTION("GOOGLETRANSLATE(J452,""zh_HANS"",""zh_HANT"")"),"水箭龜進化石")</f>
        <v>水箭龜進化石</v>
      </c>
      <c r="J452" s="5" t="str">
        <f>CONCATENATE(Pokemon!J10,"进化石")</f>
        <v>水箭龟进化石</v>
      </c>
    </row>
    <row r="453">
      <c r="A453" s="5" t="str">
        <f t="shared" si="33"/>
        <v>NAME_ITEM_MEWTWONITEX</v>
      </c>
      <c r="B453" s="3" t="s">
        <v>25976</v>
      </c>
      <c r="C453" s="5" t="str">
        <f>CONCATENATE(Pokemon!C151,"ナイト","Ｘ")</f>
        <v>ミュウツーナイトＸ</v>
      </c>
      <c r="D453" s="3" t="s">
        <v>25977</v>
      </c>
      <c r="E453" s="3" t="s">
        <v>25978</v>
      </c>
      <c r="F453" s="5" t="str">
        <f t="shared" si="38"/>
        <v>Mewtwoita X</v>
      </c>
      <c r="G453" s="3" t="s">
        <v>25979</v>
      </c>
      <c r="H453" s="5" t="str">
        <f>CONCATENATE(Pokemon!H151,"나이트","Ｘ")</f>
        <v>뮤츠나이트Ｘ</v>
      </c>
      <c r="I453" s="5" t="str">
        <f>IFERROR(__xludf.DUMMYFUNCTION("GOOGLETRANSLATE(J453,""zh_HANS"",""zh_HANT"")"),"超夢進化石Ｘ")</f>
        <v>超夢進化石Ｘ</v>
      </c>
      <c r="J453" s="5" t="str">
        <f>CONCATENATE(Pokemon!J151,"进化石","Ｘ")</f>
        <v>超梦进化石Ｘ</v>
      </c>
    </row>
    <row r="454">
      <c r="A454" s="5" t="str">
        <f t="shared" si="33"/>
        <v>NAME_ITEM_MEWTWONITEY</v>
      </c>
      <c r="B454" s="3" t="s">
        <v>25980</v>
      </c>
      <c r="C454" s="5" t="str">
        <f>CONCATENATE(Pokemon!C151,"ナイト","Ｙ")</f>
        <v>ミュウツーナイトＹ</v>
      </c>
      <c r="D454" s="3" t="s">
        <v>25981</v>
      </c>
      <c r="E454" s="3" t="s">
        <v>25982</v>
      </c>
      <c r="F454" s="5" t="str">
        <f t="shared" si="38"/>
        <v>Mewtwoita Y</v>
      </c>
      <c r="G454" s="3" t="s">
        <v>25983</v>
      </c>
      <c r="H454" s="5" t="str">
        <f>CONCATENATE(Pokemon!H151,"나이트","Ｙ")</f>
        <v>뮤츠나이트Ｙ</v>
      </c>
      <c r="I454" s="5" t="str">
        <f>IFERROR(__xludf.DUMMYFUNCTION("GOOGLETRANSLATE(J454,""zh_HANS"",""zh_HANT"")"),"超夢進化石Ｙ")</f>
        <v>超夢進化石Ｙ</v>
      </c>
      <c r="J454" s="5" t="str">
        <f>CONCATENATE(Pokemon!J151,"进化石","Ｙ")</f>
        <v>超梦进化石Ｙ</v>
      </c>
    </row>
    <row r="455">
      <c r="A455" s="5" t="str">
        <f t="shared" si="33"/>
        <v>NAME_ITEM_BLAZIKENITE</v>
      </c>
      <c r="B455" s="3" t="s">
        <v>25984</v>
      </c>
      <c r="C455" s="5" t="str">
        <f>CONCATENATE(Pokemon!C258,"ナイト")</f>
        <v>バシャーモナイト</v>
      </c>
      <c r="D455" s="3" t="s">
        <v>25985</v>
      </c>
      <c r="E455" s="3" t="s">
        <v>25986</v>
      </c>
      <c r="F455" s="5" t="str">
        <f t="shared" si="38"/>
        <v>Blazikenita</v>
      </c>
      <c r="G455" s="5" t="str">
        <f t="shared" ref="G455:G456" si="40">B455</f>
        <v>Blazikenite</v>
      </c>
      <c r="H455" s="5" t="str">
        <f>CONCATENATE(Pokemon!H258,"나이트")</f>
        <v>번치코나이트</v>
      </c>
      <c r="I455" s="5" t="str">
        <f>IFERROR(__xludf.DUMMYFUNCTION("GOOGLETRANSLATE(J455,""zh_HANS"",""zh_HANT"")"),"火焰雞進化石")</f>
        <v>火焰雞進化石</v>
      </c>
      <c r="J455" s="5" t="str">
        <f>CONCATENATE(Pokemon!J258,"进化石")</f>
        <v>火焰鸡进化石</v>
      </c>
    </row>
    <row r="456">
      <c r="A456" s="5" t="str">
        <f t="shared" si="33"/>
        <v>NAME_ITEM_MEDICHAMITE</v>
      </c>
      <c r="B456" s="3" t="s">
        <v>25987</v>
      </c>
      <c r="C456" s="5" t="str">
        <f>CONCATENATE(Pokemon!C308,"ナイト")</f>
        <v>アサナンナイト</v>
      </c>
      <c r="D456" s="3" t="s">
        <v>25988</v>
      </c>
      <c r="E456" s="3" t="s">
        <v>25989</v>
      </c>
      <c r="F456" s="5" t="str">
        <f t="shared" si="38"/>
        <v>Medichamita</v>
      </c>
      <c r="G456" s="5" t="str">
        <f t="shared" si="40"/>
        <v>Medichamite</v>
      </c>
      <c r="H456" s="5" t="str">
        <f>CONCATENATE(Pokemon!H309,"나이트")</f>
        <v>요가램나이트</v>
      </c>
      <c r="I456" s="5" t="str">
        <f>IFERROR(__xludf.DUMMYFUNCTION("GOOGLETRANSLATE(J456,""zh_HANS"",""zh_HANT"")"),"恰雷姆進化石")</f>
        <v>恰雷姆進化石</v>
      </c>
      <c r="J456" s="5" t="str">
        <f>CONCATENATE(Pokemon!J309,"进化石")</f>
        <v>恰雷姆进化石</v>
      </c>
    </row>
    <row r="457">
      <c r="A457" s="5" t="str">
        <f t="shared" si="33"/>
        <v>NAME_ITEM_HOUNDOOMINITE</v>
      </c>
      <c r="B457" s="3" t="s">
        <v>25990</v>
      </c>
      <c r="C457" s="5" t="str">
        <f>CONCATENATE(Pokemon!C230,"ナイト")</f>
        <v>ヘルガーナイト</v>
      </c>
      <c r="D457" s="3" t="s">
        <v>25991</v>
      </c>
      <c r="E457" s="3" t="s">
        <v>25992</v>
      </c>
      <c r="F457" s="5" t="str">
        <f t="shared" si="38"/>
        <v>Houndoomita</v>
      </c>
      <c r="G457" s="3" t="s">
        <v>25993</v>
      </c>
      <c r="H457" s="5" t="str">
        <f>CONCATENATE(Pokemon!H230,"나이트")</f>
        <v>헬가나이트</v>
      </c>
      <c r="I457" s="5" t="str">
        <f>IFERROR(__xludf.DUMMYFUNCTION("GOOGLETRANSLATE(J457,""zh_HANS"",""zh_HANT"")"),"黑魯加進化石")</f>
        <v>黑魯加進化石</v>
      </c>
      <c r="J457" s="5" t="str">
        <f>CONCATENATE(Pokemon!J230,"进化石")</f>
        <v>黑鲁加进化石</v>
      </c>
    </row>
    <row r="458">
      <c r="A458" s="5" t="str">
        <f t="shared" si="33"/>
        <v>NAME_ITEM_AGGRONITE</v>
      </c>
      <c r="B458" s="3" t="s">
        <v>25994</v>
      </c>
      <c r="C458" s="5" t="str">
        <f>CONCATENATE(Pokemon!C307,"ナイト")</f>
        <v>バスゴドラナイト</v>
      </c>
      <c r="D458" s="3" t="s">
        <v>25995</v>
      </c>
      <c r="E458" s="3" t="s">
        <v>25996</v>
      </c>
      <c r="F458" s="5" t="str">
        <f t="shared" si="38"/>
        <v>Aggronita</v>
      </c>
      <c r="G458" s="5" t="str">
        <f t="shared" ref="G458:G463" si="41">B458</f>
        <v>Aggronite</v>
      </c>
      <c r="H458" s="5" t="str">
        <f>CONCATENATE(Pokemon!H307,"나이트")</f>
        <v>보스로라나이트</v>
      </c>
      <c r="I458" s="5" t="str">
        <f>IFERROR(__xludf.DUMMYFUNCTION("GOOGLETRANSLATE(J458,""zh_HANS"",""zh_HANT"")"),"波斯可多拉進化石")</f>
        <v>波斯可多拉進化石</v>
      </c>
      <c r="J458" s="5" t="str">
        <f>CONCATENATE(Pokemon!J307,"进化石")</f>
        <v>波士可多拉进化石</v>
      </c>
    </row>
    <row r="459">
      <c r="A459" s="5" t="str">
        <f t="shared" si="33"/>
        <v>NAME_ITEM_BANETTITE</v>
      </c>
      <c r="B459" s="3" t="s">
        <v>25997</v>
      </c>
      <c r="C459" s="5" t="str">
        <f>CONCATENATE(Pokemon!C355,"ナイト")</f>
        <v>ジュペッタナイト</v>
      </c>
      <c r="D459" s="3" t="s">
        <v>25998</v>
      </c>
      <c r="E459" s="3" t="s">
        <v>25999</v>
      </c>
      <c r="F459" s="5" t="str">
        <f t="shared" si="38"/>
        <v>Banettita</v>
      </c>
      <c r="G459" s="5" t="str">
        <f t="shared" si="41"/>
        <v>Banettite</v>
      </c>
      <c r="H459" s="5" t="str">
        <f>CONCATENATE(Pokemon!H355,"나이트")</f>
        <v>다크펫나이트</v>
      </c>
      <c r="I459" s="5" t="str">
        <f>IFERROR(__xludf.DUMMYFUNCTION("GOOGLETRANSLATE(J459,""zh_HANS"",""zh_HANT"")"),"詛咒娃娃進化石")</f>
        <v>詛咒娃娃進化石</v>
      </c>
      <c r="J459" s="5" t="str">
        <f>CONCATENATE(Pokemon!J355,"进化石")</f>
        <v>诅咒娃娃进化石</v>
      </c>
    </row>
    <row r="460">
      <c r="A460" s="5" t="str">
        <f t="shared" si="33"/>
        <v>NAME_ITEM_TYRANITARITE</v>
      </c>
      <c r="B460" s="3" t="s">
        <v>26000</v>
      </c>
      <c r="C460" s="5" t="str">
        <f>CONCATENATE(Pokemon!C149,"ナイト")</f>
        <v>ハクリュウナイト</v>
      </c>
      <c r="D460" s="3" t="s">
        <v>26001</v>
      </c>
      <c r="E460" s="3" t="s">
        <v>26002</v>
      </c>
      <c r="F460" s="5" t="str">
        <f t="shared" si="38"/>
        <v>Tyranitarita</v>
      </c>
      <c r="G460" s="5" t="str">
        <f t="shared" si="41"/>
        <v>Tyranitarite</v>
      </c>
      <c r="H460" s="5" t="str">
        <f>CONCATENATE(Pokemon!H249,"나이트")</f>
        <v>마기라스나이트</v>
      </c>
      <c r="I460" s="5" t="str">
        <f>IFERROR(__xludf.DUMMYFUNCTION("GOOGLETRANSLATE(J460,""zh_HANS"",""zh_HANT"")"),"班基拉斯進化石")</f>
        <v>班基拉斯進化石</v>
      </c>
      <c r="J460" s="5" t="str">
        <f>CONCATENATE(Pokemon!J249,"进化石")</f>
        <v>班基拉斯进化石</v>
      </c>
    </row>
    <row r="461">
      <c r="A461" s="5" t="str">
        <f t="shared" si="33"/>
        <v>NAME_ITEM_SCIZORITE</v>
      </c>
      <c r="B461" s="3" t="s">
        <v>26003</v>
      </c>
      <c r="C461" s="5" t="str">
        <f>CONCATENATE(Pokemon!C213,"ナイト")</f>
        <v>ハッサムナイト</v>
      </c>
      <c r="D461" s="3" t="s">
        <v>26004</v>
      </c>
      <c r="E461" s="3" t="s">
        <v>26005</v>
      </c>
      <c r="F461" s="5" t="str">
        <f t="shared" si="38"/>
        <v>Scizorita</v>
      </c>
      <c r="G461" s="5" t="str">
        <f t="shared" si="41"/>
        <v>Scizorite</v>
      </c>
      <c r="H461" s="5" t="str">
        <f>CONCATENATE(Pokemon!H213,"나이트")</f>
        <v>핫삼나나이트</v>
      </c>
      <c r="I461" s="5" t="str">
        <f>IFERROR(__xludf.DUMMYFUNCTION("GOOGLETRANSLATE(J461,""zh_HANS"",""zh_HANT"")"),"巨鉗螳螂進化石")</f>
        <v>巨鉗螳螂進化石</v>
      </c>
      <c r="J461" s="5" t="str">
        <f>CONCATENATE(Pokemon!J213,"进化石")</f>
        <v>巨钳螳螂进化石</v>
      </c>
    </row>
    <row r="462">
      <c r="A462" s="5" t="str">
        <f t="shared" si="33"/>
        <v>NAME_ITEM_PINISIRITE</v>
      </c>
      <c r="B462" s="3" t="s">
        <v>26006</v>
      </c>
      <c r="C462" s="5" t="str">
        <f>CONCATENATE(Pokemon!C128,"ナイト")</f>
        <v>カイロスナイト</v>
      </c>
      <c r="D462" s="3" t="s">
        <v>26007</v>
      </c>
      <c r="E462" s="3" t="s">
        <v>26008</v>
      </c>
      <c r="F462" s="5" t="str">
        <f t="shared" si="38"/>
        <v>Pinisirita</v>
      </c>
      <c r="G462" s="5" t="str">
        <f t="shared" si="41"/>
        <v>Pinisirite</v>
      </c>
      <c r="H462" s="5" t="str">
        <f>CONCATENATE(Pokemon!H128,"나이트")</f>
        <v>쁘사이저나이트</v>
      </c>
      <c r="I462" s="5" t="str">
        <f>IFERROR(__xludf.DUMMYFUNCTION("GOOGLETRANSLATE(J462,""zh_HANS"",""zh_HANT"")"),"凱羅斯進化石")</f>
        <v>凱羅斯進化石</v>
      </c>
      <c r="J462" s="5" t="str">
        <f>CONCATENATE(Pokemon!J128,"进化石")</f>
        <v>凯罗斯进化石</v>
      </c>
    </row>
    <row r="463">
      <c r="A463" s="5" t="str">
        <f t="shared" si="33"/>
        <v>NAME_ITEM_AERODACTYLITE</v>
      </c>
      <c r="B463" s="3" t="s">
        <v>26009</v>
      </c>
      <c r="C463" s="5" t="str">
        <f>CONCATENATE(Pokemon!C143,"ナイト")</f>
        <v>プテラナイト</v>
      </c>
      <c r="D463" s="3" t="s">
        <v>26010</v>
      </c>
      <c r="E463" s="3" t="s">
        <v>26011</v>
      </c>
      <c r="F463" s="5" t="str">
        <f t="shared" si="38"/>
        <v>Aerodactylita</v>
      </c>
      <c r="G463" s="5" t="str">
        <f t="shared" si="41"/>
        <v>Aerodactylite</v>
      </c>
      <c r="H463" s="5" t="str">
        <f>CONCATENATE(Pokemon!H143,"나이트")</f>
        <v>프테라나이트</v>
      </c>
      <c r="I463" s="5" t="str">
        <f>IFERROR(__xludf.DUMMYFUNCTION("GOOGLETRANSLATE(J463,""zh_HANS"",""zh_HANT"")"),"化石翼龍進化石")</f>
        <v>化石翼龍進化石</v>
      </c>
      <c r="J463" s="5" t="str">
        <f>CONCATENATE(Pokemon!J143,"进化石")</f>
        <v>化石翼龙进化石</v>
      </c>
    </row>
    <row r="464">
      <c r="A464" s="5" t="str">
        <f t="shared" si="33"/>
        <v>NAME_ITEM_LUCARIONITE</v>
      </c>
      <c r="B464" s="3" t="s">
        <v>26012</v>
      </c>
      <c r="C464" s="5" t="str">
        <f>CONCATENATE(Pokemon!C449,"ナイト")</f>
        <v>ルカリオナイト</v>
      </c>
      <c r="D464" s="3" t="s">
        <v>26013</v>
      </c>
      <c r="E464" s="3" t="s">
        <v>26014</v>
      </c>
      <c r="F464" s="5" t="str">
        <f t="shared" si="38"/>
        <v>Lucarita</v>
      </c>
      <c r="G464" s="3" t="s">
        <v>26013</v>
      </c>
      <c r="H464" s="5" t="str">
        <f>CONCATENATE(Pokemon!H449,"나이트")</f>
        <v>루카리오나이트</v>
      </c>
      <c r="I464" s="5" t="str">
        <f>IFERROR(__xludf.DUMMYFUNCTION("GOOGLETRANSLATE(J464,""zh_HANS"",""zh_HANT"")"),"路卡利歐進化石")</f>
        <v>路卡利歐進化石</v>
      </c>
      <c r="J464" s="5" t="str">
        <f>CONCATENATE(Pokemon!J449,"进化石")</f>
        <v>路卡利欧进化石</v>
      </c>
    </row>
    <row r="465">
      <c r="A465" s="5" t="str">
        <f t="shared" si="33"/>
        <v>NAME_ITEM_ABOMASITE</v>
      </c>
      <c r="B465" s="3" t="s">
        <v>26015</v>
      </c>
      <c r="C465" s="5" t="str">
        <f>CONCATENATE(Pokemon!C460,"ナイト")</f>
        <v>ユキカブリナイト</v>
      </c>
      <c r="D465" s="3" t="s">
        <v>26016</v>
      </c>
      <c r="E465" s="3" t="s">
        <v>26017</v>
      </c>
      <c r="F465" s="5" t="str">
        <f t="shared" si="38"/>
        <v>Abomasnowita</v>
      </c>
      <c r="G465" s="3" t="s">
        <v>26018</v>
      </c>
      <c r="H465" s="5" t="str">
        <f>CONCATENATE(Pokemon!H461,"나이트")</f>
        <v>눈설왕나이트</v>
      </c>
      <c r="I465" s="5" t="str">
        <f>IFERROR(__xludf.DUMMYFUNCTION("GOOGLETRANSLATE(J465,""zh_HANS"",""zh_HANT"")"),"暴雪王進化石")</f>
        <v>暴雪王進化石</v>
      </c>
      <c r="J465" s="5" t="str">
        <f>CONCATENATE(Pokemon!J461,"进化石")</f>
        <v>暴雪王进化石</v>
      </c>
    </row>
    <row r="466">
      <c r="A466" s="5" t="str">
        <f t="shared" si="33"/>
        <v>NAME_ITEM_KANGASKHANITE</v>
      </c>
      <c r="B466" s="3" t="s">
        <v>26019</v>
      </c>
      <c r="C466" s="5" t="str">
        <f>CONCATENATE(Pokemon!C116,"ナイト")</f>
        <v>ガルーラナイト</v>
      </c>
      <c r="D466" s="3" t="s">
        <v>26020</v>
      </c>
      <c r="E466" s="3" t="s">
        <v>26021</v>
      </c>
      <c r="F466" s="5" t="str">
        <f t="shared" si="38"/>
        <v>Kangaskhanita</v>
      </c>
      <c r="G466" s="5" t="str">
        <f t="shared" ref="G466:G469" si="42">B466</f>
        <v>Kangaskhanite</v>
      </c>
      <c r="H466" s="5" t="str">
        <f>CONCATENATE(Pokemon!H116,"나이트")</f>
        <v>캥카나이트</v>
      </c>
      <c r="I466" s="5" t="str">
        <f>IFERROR(__xludf.DUMMYFUNCTION("GOOGLETRANSLATE(J466,""zh_HANS"",""zh_HANT"")"),"袋獸進化石")</f>
        <v>袋獸進化石</v>
      </c>
      <c r="J466" s="5" t="str">
        <f>CONCATENATE(Pokemon!J116,"进化石")</f>
        <v>袋兽进化石</v>
      </c>
    </row>
    <row r="467">
      <c r="A467" s="5" t="str">
        <f t="shared" si="33"/>
        <v>NAME_ITEM_GYRADOSNITE</v>
      </c>
      <c r="B467" s="3" t="s">
        <v>26022</v>
      </c>
      <c r="C467" s="5" t="str">
        <f>CONCATENATE(Pokemon!C131,"ナイト")</f>
        <v>ギャラドスナイト</v>
      </c>
      <c r="D467" s="3" t="s">
        <v>26023</v>
      </c>
      <c r="E467" s="3" t="s">
        <v>26024</v>
      </c>
      <c r="F467" s="5" t="str">
        <f t="shared" si="38"/>
        <v>Gyradosnita</v>
      </c>
      <c r="G467" s="5" t="str">
        <f t="shared" si="42"/>
        <v>Gyradosnite</v>
      </c>
      <c r="H467" s="5" t="str">
        <f>CONCATENATE(Pokemon!H131,"나이트")</f>
        <v>갸라도스나이트</v>
      </c>
      <c r="I467" s="5" t="str">
        <f>IFERROR(__xludf.DUMMYFUNCTION("GOOGLETRANSLATE(J467,""zh_HANS"",""zh_HANT"")"),"暴鯉龍進化石")</f>
        <v>暴鯉龍進化石</v>
      </c>
      <c r="J467" s="5" t="str">
        <f>CONCATENATE(Pokemon!J131,"进化石")</f>
        <v>暴鲤龙进化石</v>
      </c>
    </row>
    <row r="468">
      <c r="A468" s="5" t="str">
        <f t="shared" si="33"/>
        <v>NAME_ITEM_ABSOLITE</v>
      </c>
      <c r="B468" s="3" t="s">
        <v>26025</v>
      </c>
      <c r="C468" s="5" t="str">
        <f>CONCATENATE(Pokemon!C360,"ナイト")</f>
        <v>アブソルナイト</v>
      </c>
      <c r="D468" s="3" t="s">
        <v>26025</v>
      </c>
      <c r="E468" s="3" t="s">
        <v>26026</v>
      </c>
      <c r="F468" s="5" t="str">
        <f t="shared" si="38"/>
        <v>Absolita</v>
      </c>
      <c r="G468" s="5" t="str">
        <f t="shared" si="42"/>
        <v>Absolite</v>
      </c>
      <c r="H468" s="5" t="str">
        <f>CONCATENATE(Pokemon!H461,"나이트")</f>
        <v>눈설왕나이트</v>
      </c>
      <c r="I468" s="5" t="str">
        <f>IFERROR(__xludf.DUMMYFUNCTION("GOOGLETRANSLATE(J468,""zh_HANS"",""zh_HANT"")"),"暴雪王進化石")</f>
        <v>暴雪王進化石</v>
      </c>
      <c r="J468" s="5" t="str">
        <f>CONCATENATE(Pokemon!J461,"进化石")</f>
        <v>暴雪王进化石</v>
      </c>
    </row>
    <row r="469">
      <c r="A469" s="5" t="str">
        <f t="shared" si="33"/>
        <v>NAME_ITEM_CHARIZARDITEY</v>
      </c>
      <c r="B469" s="3" t="s">
        <v>26027</v>
      </c>
      <c r="C469" s="5" t="str">
        <f>CONCATENATE(Pokemon!C7,"ナイト","Ｙ")</f>
        <v>リザードンナイトＹ</v>
      </c>
      <c r="D469" s="3" t="s">
        <v>26028</v>
      </c>
      <c r="E469" s="3" t="s">
        <v>26029</v>
      </c>
      <c r="F469" s="5" t="str">
        <f t="shared" si="38"/>
        <v>Charizardita Y</v>
      </c>
      <c r="G469" s="5" t="str">
        <f t="shared" si="42"/>
        <v>Charizardite Y</v>
      </c>
      <c r="H469" s="5" t="str">
        <f>CONCATENATE(Pokemon!H7,"나이트","Ｙ")</f>
        <v>리자몽나이트Ｙ</v>
      </c>
      <c r="I469" s="5" t="str">
        <f>IFERROR(__xludf.DUMMYFUNCTION("GOOGLETRANSLATE(J469,""zh_HANS"",""zh_HANT"")"),"噴火龍進化石Ｙ")</f>
        <v>噴火龍進化石Ｙ</v>
      </c>
      <c r="J469" s="5" t="str">
        <f>CONCATENATE(Pokemon!J7,"进化石","Ｙ")</f>
        <v>喷火龙进化石Ｙ</v>
      </c>
    </row>
    <row r="470">
      <c r="A470" s="5" t="str">
        <f t="shared" si="33"/>
        <v>NAME_ITEM_ALAKAZITE</v>
      </c>
      <c r="B470" s="3" t="s">
        <v>26030</v>
      </c>
      <c r="C470" s="5" t="str">
        <f>CONCATENATE(Pokemon!C66,"ナイト")</f>
        <v>フーヂィンナイト</v>
      </c>
      <c r="D470" s="3" t="s">
        <v>26031</v>
      </c>
      <c r="E470" s="3" t="s">
        <v>26032</v>
      </c>
      <c r="F470" s="5" t="str">
        <f t="shared" si="38"/>
        <v>Alakazamita</v>
      </c>
      <c r="G470" s="3" t="s">
        <v>26031</v>
      </c>
      <c r="H470" s="5" t="str">
        <f>CONCATENATE(Pokemon!H66,"나이트")</f>
        <v>후디나이트</v>
      </c>
      <c r="I470" s="5" t="str">
        <f>IFERROR(__xludf.DUMMYFUNCTION("GOOGLETRANSLATE(J470,""zh_HANS"",""zh_HANT"")"),"胡地進化石")</f>
        <v>胡地進化石</v>
      </c>
      <c r="J470" s="5" t="str">
        <f>CONCATENATE(Pokemon!J66,"进化石")</f>
        <v>胡地进化石</v>
      </c>
    </row>
    <row r="471">
      <c r="A471" s="5" t="str">
        <f t="shared" si="33"/>
        <v>NAME_ITEM_HERCRONITE</v>
      </c>
      <c r="B471" s="3" t="s">
        <v>26033</v>
      </c>
      <c r="C471" s="5" t="str">
        <f>CONCATENATE(Pokemon!C215,"ナイト")</f>
        <v>ヘラクロスナイト</v>
      </c>
      <c r="D471" s="3" t="s">
        <v>26034</v>
      </c>
      <c r="E471" s="3" t="s">
        <v>26035</v>
      </c>
      <c r="F471" s="5" t="str">
        <f t="shared" si="38"/>
        <v>Heracrossita</v>
      </c>
      <c r="G471" s="3" t="s">
        <v>26036</v>
      </c>
      <c r="H471" s="5" t="str">
        <f>CONCATENATE(Pokemon!H215,"나이트")</f>
        <v>헤라크로스나이트</v>
      </c>
      <c r="I471" s="5" t="str">
        <f>IFERROR(__xludf.DUMMYFUNCTION("GOOGLETRANSLATE(J471,""zh_HANS"",""zh_HANT"")"),"赫拉克羅斯進化石")</f>
        <v>赫拉克羅斯進化石</v>
      </c>
      <c r="J471" s="5" t="str">
        <f>CONCATENATE(Pokemon!J215,"进化石")</f>
        <v>赫拉克罗斯进化石</v>
      </c>
    </row>
    <row r="472">
      <c r="A472" s="5" t="str">
        <f t="shared" si="33"/>
        <v>NAME_ITEM_MAWILITE</v>
      </c>
      <c r="B472" s="3" t="s">
        <v>26037</v>
      </c>
      <c r="C472" s="5" t="str">
        <f>CONCATENATE(Pokemon!C304,"ナイト")</f>
        <v>クチートナイト</v>
      </c>
      <c r="D472" s="3" t="s">
        <v>26038</v>
      </c>
      <c r="E472" s="3" t="s">
        <v>26039</v>
      </c>
      <c r="F472" s="5" t="str">
        <f t="shared" si="38"/>
        <v>Mawilita</v>
      </c>
      <c r="G472" s="5" t="str">
        <f>B472</f>
        <v>Mawilite</v>
      </c>
      <c r="H472" s="5" t="str">
        <f>CONCATENATE(Pokemon!H304,"나이트")</f>
        <v>입치트나이트</v>
      </c>
      <c r="I472" s="5" t="str">
        <f>IFERROR(__xludf.DUMMYFUNCTION("GOOGLETRANSLATE(J472,""zh_HANS"",""zh_HANT"")"),"大嘴娃進化石")</f>
        <v>大嘴娃進化石</v>
      </c>
      <c r="J472" s="5" t="str">
        <f>CONCATENATE(Pokemon!J304,"进化石")</f>
        <v>大嘴娃进化石</v>
      </c>
    </row>
    <row r="473">
      <c r="A473" s="5" t="str">
        <f t="shared" si="33"/>
        <v>NAME_ITEM_MANECTITE</v>
      </c>
      <c r="B473" s="3" t="s">
        <v>26040</v>
      </c>
      <c r="C473" s="5" t="str">
        <f>CONCATENATE(Pokemon!C311,"ナイト")</f>
        <v>ライボルトナイト</v>
      </c>
      <c r="D473" s="3" t="s">
        <v>26041</v>
      </c>
      <c r="E473" s="3" t="s">
        <v>26042</v>
      </c>
      <c r="F473" s="5" t="str">
        <f t="shared" si="38"/>
        <v>Manectricita</v>
      </c>
      <c r="G473" s="3" t="s">
        <v>26043</v>
      </c>
      <c r="H473" s="5" t="str">
        <f>CONCATENATE(Pokemon!H311,"나이트")</f>
        <v>썬더볼트나이트</v>
      </c>
      <c r="I473" s="5" t="str">
        <f>IFERROR(__xludf.DUMMYFUNCTION("GOOGLETRANSLATE(J473,""zh_HANS"",""zh_HANT"")"),"雷電獸進化石")</f>
        <v>雷電獸進化石</v>
      </c>
      <c r="J473" s="5" t="str">
        <f>CONCATENATE(Pokemon!J311,"进化石")</f>
        <v>雷电兽进化石</v>
      </c>
    </row>
    <row r="474">
      <c r="A474" s="5" t="str">
        <f t="shared" si="33"/>
        <v>NAME_ITEM_GARCHOMPITE</v>
      </c>
      <c r="B474" s="3" t="s">
        <v>26044</v>
      </c>
      <c r="C474" s="5" t="str">
        <f>CONCATENATE(Pokemon!C446,"ナイト")</f>
        <v>ガブリアスナイト</v>
      </c>
      <c r="D474" s="3" t="s">
        <v>26045</v>
      </c>
      <c r="E474" s="3" t="s">
        <v>26046</v>
      </c>
      <c r="F474" s="5" t="str">
        <f t="shared" si="38"/>
        <v>Garchompita</v>
      </c>
      <c r="G474" s="5" t="str">
        <f t="shared" ref="G474:G478" si="43">B474</f>
        <v>Garchompite</v>
      </c>
      <c r="H474" s="5" t="str">
        <f>CONCATENATE(Pokemon!H446,"나이트")</f>
        <v>한카리아스나이트</v>
      </c>
      <c r="I474" s="5" t="str">
        <f>IFERROR(__xludf.DUMMYFUNCTION("GOOGLETRANSLATE(J474,""zh_HANS"",""zh_HANT"")"),"烈咬陸鯊進化石")</f>
        <v>烈咬陸鯊進化石</v>
      </c>
      <c r="J474" s="5" t="str">
        <f>CONCATENATE(Pokemon!J446,"进化石")</f>
        <v>烈咬陆鲨进化石</v>
      </c>
    </row>
    <row r="475">
      <c r="A475" s="5" t="str">
        <f t="shared" si="33"/>
        <v>NAME_ITEM_LATIASITE</v>
      </c>
      <c r="B475" s="3" t="s">
        <v>26047</v>
      </c>
      <c r="C475" s="5" t="str">
        <f>CONCATENATE(Pokemon!C381,"ナイト")</f>
        <v>ラティアスナイト</v>
      </c>
      <c r="D475" s="3" t="s">
        <v>26047</v>
      </c>
      <c r="E475" s="3" t="s">
        <v>26048</v>
      </c>
      <c r="F475" s="5" t="str">
        <f t="shared" si="38"/>
        <v>Latiasita</v>
      </c>
      <c r="G475" s="5" t="str">
        <f t="shared" si="43"/>
        <v>Latiasite</v>
      </c>
      <c r="H475" s="5" t="str">
        <f>CONCATENATE(Pokemon!H381,"나이트")</f>
        <v>라티아스나이트</v>
      </c>
      <c r="I475" s="5" t="str">
        <f>IFERROR(__xludf.DUMMYFUNCTION("GOOGLETRANSLATE(J475,""zh_HANS"",""zh_HANT"")"),"拉帝亞斯進化石")</f>
        <v>拉帝亞斯進化石</v>
      </c>
      <c r="J475" s="5" t="str">
        <f>CONCATENATE(Pokemon!J381,"进化石")</f>
        <v>拉帝亚斯进化石</v>
      </c>
    </row>
    <row r="476">
      <c r="A476" s="5" t="str">
        <f t="shared" si="33"/>
        <v>NAME_ITEM_LATIOSITE</v>
      </c>
      <c r="B476" s="3" t="s">
        <v>26049</v>
      </c>
      <c r="C476" s="5" t="str">
        <f>CONCATENATE(Pokemon!C382,"ナイト")</f>
        <v>ラティオスナイト</v>
      </c>
      <c r="D476" s="3" t="s">
        <v>26049</v>
      </c>
      <c r="E476" s="3" t="s">
        <v>26050</v>
      </c>
      <c r="F476" s="5" t="str">
        <f t="shared" si="38"/>
        <v>Latiosita</v>
      </c>
      <c r="G476" s="5" t="str">
        <f t="shared" si="43"/>
        <v>Latiosite</v>
      </c>
      <c r="H476" s="5" t="str">
        <f>CONCATENATE(Pokemon!H382,"나이트")</f>
        <v>라티오스나이트</v>
      </c>
      <c r="I476" s="5" t="str">
        <f>IFERROR(__xludf.DUMMYFUNCTION("GOOGLETRANSLATE(J476,""zh_HANS"",""zh_HANT"")"),"拉帝歐斯進化石")</f>
        <v>拉帝歐斯進化石</v>
      </c>
      <c r="J476" s="5" t="str">
        <f>CONCATENATE(Pokemon!J382,"进化石")</f>
        <v>拉帝欧斯进化石</v>
      </c>
    </row>
    <row r="477">
      <c r="A477" s="5" t="str">
        <f t="shared" si="33"/>
        <v>NAME_ITEM_SWARMPERTITE</v>
      </c>
      <c r="B477" s="3" t="s">
        <v>26051</v>
      </c>
      <c r="C477" s="5" t="str">
        <f>CONCATENATE(Pokemon!C261,"ナイト")</f>
        <v>ラグラージナイト</v>
      </c>
      <c r="D477" s="3" t="s">
        <v>26052</v>
      </c>
      <c r="E477" s="3" t="s">
        <v>26053</v>
      </c>
      <c r="F477" s="5" t="str">
        <f t="shared" si="38"/>
        <v>Swarmpertita</v>
      </c>
      <c r="G477" s="5" t="str">
        <f t="shared" si="43"/>
        <v>Swarmpertite</v>
      </c>
      <c r="H477" s="5" t="str">
        <f>CONCATENATE(Pokemon!H261,"나이트")</f>
        <v>대짱이나이트</v>
      </c>
      <c r="I477" s="5" t="str">
        <f>IFERROR(__xludf.DUMMYFUNCTION("GOOGLETRANSLATE(J477,""zh_HANS"",""zh_HANT"")"),"巨沼怪進化石")</f>
        <v>巨沼怪進化石</v>
      </c>
      <c r="J477" s="5" t="str">
        <f>CONCATENATE(Pokemon!J261,"进化石")</f>
        <v>巨沼怪进化石</v>
      </c>
    </row>
    <row r="478">
      <c r="A478" s="5" t="str">
        <f t="shared" si="33"/>
        <v>NAME_ITEM_SCEPTILITE</v>
      </c>
      <c r="B478" s="3" t="s">
        <v>26054</v>
      </c>
      <c r="C478" s="5" t="str">
        <f>CONCATENATE(Pokemon!C255,"ナイト")</f>
        <v>ジュカインナイト</v>
      </c>
      <c r="D478" s="3" t="s">
        <v>26055</v>
      </c>
      <c r="E478" s="3" t="s">
        <v>26056</v>
      </c>
      <c r="F478" s="5" t="str">
        <f t="shared" si="38"/>
        <v>Sceptilita</v>
      </c>
      <c r="G478" s="5" t="str">
        <f t="shared" si="43"/>
        <v>Sceptilite</v>
      </c>
      <c r="H478" s="5" t="str">
        <f>CONCATENATE(Pokemon!H255,"나이트")</f>
        <v>나무킹나이트</v>
      </c>
      <c r="I478" s="5" t="str">
        <f>IFERROR(__xludf.DUMMYFUNCTION("GOOGLETRANSLATE(J478,""zh_HANS"",""zh_HANT"")"),"蜥蜴王進化石")</f>
        <v>蜥蜴王進化石</v>
      </c>
      <c r="J478" s="5" t="str">
        <f>CONCATENATE(Pokemon!J255,"进化石")</f>
        <v>蜥蜴王进化石</v>
      </c>
    </row>
    <row r="479">
      <c r="A479" s="5" t="str">
        <f t="shared" si="33"/>
        <v>NAME_ITEM_SABLENITE</v>
      </c>
      <c r="B479" s="3" t="s">
        <v>26057</v>
      </c>
      <c r="C479" s="5" t="str">
        <f>CONCATENATE(Pokemon!C303,"ナイト")</f>
        <v>ヤミラミナイト</v>
      </c>
      <c r="D479" s="3" t="s">
        <v>26058</v>
      </c>
      <c r="E479" s="3" t="s">
        <v>26059</v>
      </c>
      <c r="F479" s="5" t="str">
        <f t="shared" si="38"/>
        <v>Sableyita</v>
      </c>
      <c r="G479" s="3" t="s">
        <v>26060</v>
      </c>
      <c r="H479" s="5" t="str">
        <f>CONCATENATE(Pokemon!H303,"나이트")</f>
        <v>깜까미나이트</v>
      </c>
      <c r="I479" s="5" t="str">
        <f>IFERROR(__xludf.DUMMYFUNCTION("GOOGLETRANSLATE(J479,""zh_HANS"",""zh_HANT"")"),"勾魂眼進化石")</f>
        <v>勾魂眼進化石</v>
      </c>
      <c r="J479" s="5" t="str">
        <f>CONCATENATE(Pokemon!J303,"进化石")</f>
        <v>勾魂眼进化石</v>
      </c>
    </row>
    <row r="480">
      <c r="A480" s="5" t="str">
        <f t="shared" si="33"/>
        <v>NAME_ITEM_ALTARIANITE</v>
      </c>
      <c r="B480" s="3" t="s">
        <v>26061</v>
      </c>
      <c r="C480" s="5" t="str">
        <f>CONCATENATE(Pokemon!C335,"ナイト")</f>
        <v>チルタリスナイト</v>
      </c>
      <c r="D480" s="3" t="s">
        <v>26062</v>
      </c>
      <c r="E480" s="3" t="s">
        <v>26063</v>
      </c>
      <c r="F480" s="5" t="str">
        <f t="shared" si="38"/>
        <v>Altarita</v>
      </c>
      <c r="G480" s="3" t="s">
        <v>26062</v>
      </c>
      <c r="H480" s="5" t="str">
        <f>CONCATENATE(Pokemon!H335,"나이트")</f>
        <v>파비코리나이트</v>
      </c>
      <c r="I480" s="5" t="str">
        <f>IFERROR(__xludf.DUMMYFUNCTION("GOOGLETRANSLATE(J480,""zh_HANS"",""zh_HANT"")"),"七夕青鳥進化石")</f>
        <v>七夕青鳥進化石</v>
      </c>
      <c r="J480" s="5" t="str">
        <f>CONCATENATE(Pokemon!J335,"进化石")</f>
        <v>七夕青鸟进化石</v>
      </c>
    </row>
    <row r="481">
      <c r="A481" s="5" t="str">
        <f t="shared" si="33"/>
        <v>NAME_ITEM_GALLADITE</v>
      </c>
      <c r="B481" s="3" t="s">
        <v>26064</v>
      </c>
      <c r="C481" s="5" t="str">
        <f>CONCATENATE(Pokemon!C476,"ナイト")</f>
        <v>エルレイドナイト</v>
      </c>
      <c r="D481" s="3" t="s">
        <v>26065</v>
      </c>
      <c r="E481" s="3" t="s">
        <v>26066</v>
      </c>
      <c r="F481" s="5" t="str">
        <f t="shared" si="38"/>
        <v>Galladita</v>
      </c>
      <c r="G481" s="5" t="str">
        <f t="shared" ref="G481:G483" si="44">B481</f>
        <v>Galladite</v>
      </c>
      <c r="H481" s="5" t="str">
        <f>CONCATENATE(Pokemon!H476,"나이트")</f>
        <v>엘레이드나이트</v>
      </c>
      <c r="I481" s="5" t="str">
        <f>IFERROR(__xludf.DUMMYFUNCTION("GOOGLETRANSLATE(J481,""zh_HANS"",""zh_HANT"")"),"艾路雷朵進化石")</f>
        <v>艾路雷朵進化石</v>
      </c>
      <c r="J481" s="5" t="str">
        <f>CONCATENATE(Pokemon!J476,"进化石")</f>
        <v>艾路雷朵进化石</v>
      </c>
    </row>
    <row r="482">
      <c r="A482" s="5" t="str">
        <f t="shared" si="33"/>
        <v>NAME_ITEM_AUDINITE</v>
      </c>
      <c r="B482" s="3" t="s">
        <v>26067</v>
      </c>
      <c r="C482" s="5" t="str">
        <f>CONCATENATE(Pokemon!C532,"ナイト")</f>
        <v>タブンネナイト</v>
      </c>
      <c r="D482" s="3" t="s">
        <v>26068</v>
      </c>
      <c r="E482" s="3" t="s">
        <v>26069</v>
      </c>
      <c r="F482" s="5" t="str">
        <f t="shared" si="38"/>
        <v>Audinita</v>
      </c>
      <c r="G482" s="5" t="str">
        <f t="shared" si="44"/>
        <v>Audinite</v>
      </c>
      <c r="H482" s="5" t="str">
        <f>CONCATENATE(Pokemon!H532,"나이트")</f>
        <v>다부니나이트</v>
      </c>
      <c r="I482" s="5" t="str">
        <f>IFERROR(__xludf.DUMMYFUNCTION("GOOGLETRANSLATE(J482,""zh_HANS"",""zh_HANT"")"),"差不多娃娃進化石")</f>
        <v>差不多娃娃進化石</v>
      </c>
      <c r="J482" s="5" t="str">
        <f>CONCATENATE(Pokemon!J532,"进化石")</f>
        <v>差不多娃娃进化石</v>
      </c>
    </row>
    <row r="483">
      <c r="A483" s="5" t="str">
        <f t="shared" si="33"/>
        <v>NAME_ITEM_METAGROSSITE</v>
      </c>
      <c r="B483" s="3" t="s">
        <v>26070</v>
      </c>
      <c r="C483" s="5" t="str">
        <f>CONCATENATE(Pokemon!C377,"ナイト")</f>
        <v>メタグロスナイト</v>
      </c>
      <c r="D483" s="3" t="s">
        <v>26071</v>
      </c>
      <c r="E483" s="3" t="s">
        <v>26072</v>
      </c>
      <c r="F483" s="5" t="str">
        <f t="shared" si="38"/>
        <v>Metagrossita</v>
      </c>
      <c r="G483" s="5" t="str">
        <f t="shared" si="44"/>
        <v>Metagrossite</v>
      </c>
      <c r="H483" s="5" t="str">
        <f>CONCATENATE(Pokemon!H377,"나이트")</f>
        <v>메타그로스나이트</v>
      </c>
      <c r="I483" s="5" t="str">
        <f>IFERROR(__xludf.DUMMYFUNCTION("GOOGLETRANSLATE(J483,""zh_HANS"",""zh_HANT"")"),"大金怪進化石")</f>
        <v>大金怪進化石</v>
      </c>
      <c r="J483" s="5" t="str">
        <f>CONCATENATE(Pokemon!J377,"进化石")</f>
        <v>巨金怪进化石</v>
      </c>
    </row>
    <row r="484">
      <c r="A484" s="5" t="str">
        <f t="shared" si="33"/>
        <v>NAME_ITEM_SHARPEDONITE</v>
      </c>
      <c r="B484" s="3" t="s">
        <v>26073</v>
      </c>
      <c r="C484" s="5" t="str">
        <f>CONCATENATE(Pokemon!C320,"ナイト")</f>
        <v>サメハダーナイト</v>
      </c>
      <c r="D484" s="3" t="s">
        <v>26074</v>
      </c>
      <c r="E484" s="3" t="s">
        <v>26075</v>
      </c>
      <c r="F484" s="5" t="str">
        <f t="shared" si="38"/>
        <v>Sharpedita</v>
      </c>
      <c r="G484" s="3" t="s">
        <v>26074</v>
      </c>
      <c r="H484" s="5" t="str">
        <f>CONCATENATE(Pokemon!H320,"나이트")</f>
        <v>샤크니아나이트</v>
      </c>
      <c r="I484" s="5" t="str">
        <f>IFERROR(__xludf.DUMMYFUNCTION("GOOGLETRANSLATE(J484,""zh_HANS"",""zh_HANT"")"),"巨牙鯊進化石")</f>
        <v>巨牙鯊進化石</v>
      </c>
      <c r="J484" s="5" t="str">
        <f>CONCATENATE(Pokemon!J320,"进化石")</f>
        <v>巨牙鲨进化石</v>
      </c>
    </row>
    <row r="485">
      <c r="A485" s="5" t="str">
        <f t="shared" si="33"/>
        <v>NAME_ITEM_SLOWBRONITE</v>
      </c>
      <c r="B485" s="3" t="s">
        <v>26076</v>
      </c>
      <c r="C485" s="5" t="str">
        <f>CONCATENATE(Pokemon!C81,"ナイト")</f>
        <v>ヤドランナイト</v>
      </c>
      <c r="D485" s="3" t="s">
        <v>26077</v>
      </c>
      <c r="E485" s="3" t="s">
        <v>26078</v>
      </c>
      <c r="F485" s="5" t="str">
        <f t="shared" si="38"/>
        <v>Slowbroita</v>
      </c>
      <c r="G485" s="3" t="s">
        <v>26079</v>
      </c>
      <c r="H485" s="5" t="str">
        <f>CONCATENATE(Pokemon!H81,"나이트")</f>
        <v>야도란나이트</v>
      </c>
      <c r="I485" s="5" t="str">
        <f>IFERROR(__xludf.DUMMYFUNCTION("GOOGLETRANSLATE(J485,""zh_HANS"",""zh_HANT"")"),"呆殼獸進化石")</f>
        <v>呆殼獸進化石</v>
      </c>
      <c r="J485" s="5" t="str">
        <f>CONCATENATE(Pokemon!J81,"进化石")</f>
        <v>呆壳兽进化石</v>
      </c>
    </row>
    <row r="486">
      <c r="A486" s="5" t="str">
        <f t="shared" si="33"/>
        <v>NAME_ITEM_STEELIXITE</v>
      </c>
      <c r="B486" s="3" t="s">
        <v>26080</v>
      </c>
      <c r="C486" s="5" t="str">
        <f>CONCATENATE(Pokemon!C209,"ナイト")</f>
        <v>ハガネールナイト</v>
      </c>
      <c r="D486" s="5" t="str">
        <f>B486</f>
        <v>Steelixite</v>
      </c>
      <c r="E486" s="3" t="s">
        <v>26081</v>
      </c>
      <c r="F486" s="5" t="str">
        <f t="shared" si="38"/>
        <v>Steelixita</v>
      </c>
      <c r="G486" s="5" t="str">
        <f t="shared" ref="G486:G487" si="45">B486</f>
        <v>Steelixite</v>
      </c>
      <c r="H486" s="5" t="str">
        <f>CONCATENATE(Pokemon!H209,"나이트")</f>
        <v>강철톤나이트</v>
      </c>
      <c r="I486" s="5" t="str">
        <f>IFERROR(__xludf.DUMMYFUNCTION("GOOGLETRANSLATE(J486,""zh_HANS"",""zh_HANT"")"),"大鋼蛇進化石")</f>
        <v>大鋼蛇進化石</v>
      </c>
      <c r="J486" s="5" t="str">
        <f>CONCATENATE(Pokemon!J209,"进化石")</f>
        <v>大钢蛇进化石</v>
      </c>
    </row>
    <row r="487">
      <c r="A487" s="5" t="str">
        <f t="shared" si="33"/>
        <v>NAME_ITEM_PIDGEOTITE</v>
      </c>
      <c r="B487" s="3" t="s">
        <v>26082</v>
      </c>
      <c r="C487" s="5" t="str">
        <f>CONCATENATE(Pokemon!C19,"ナイト")</f>
        <v>ピジョットナイト</v>
      </c>
      <c r="D487" s="3" t="s">
        <v>26083</v>
      </c>
      <c r="E487" s="3" t="s">
        <v>26084</v>
      </c>
      <c r="F487" s="5" t="str">
        <f t="shared" si="38"/>
        <v>Pidgeotita</v>
      </c>
      <c r="G487" s="5" t="str">
        <f t="shared" si="45"/>
        <v>Pidgeotite</v>
      </c>
      <c r="H487" s="5" t="str">
        <f>CONCATENATE(Pokemon!H19,"나이트")</f>
        <v>피죤투나이트</v>
      </c>
      <c r="I487" s="5" t="str">
        <f>IFERROR(__xludf.DUMMYFUNCTION("GOOGLETRANSLATE(J487,""zh_HANS"",""zh_HANT"")"),"大比鳥進化石")</f>
        <v>大比鳥進化石</v>
      </c>
      <c r="J487" s="5" t="str">
        <f>CONCATENATE(Pokemon!J19,"进化石")</f>
        <v>大比鸟进化石</v>
      </c>
    </row>
    <row r="488">
      <c r="A488" s="5" t="str">
        <f t="shared" si="33"/>
        <v>NAME_ITEM_GLALITITE</v>
      </c>
      <c r="B488" s="3" t="s">
        <v>26085</v>
      </c>
      <c r="C488" s="5" t="str">
        <f>CONCATENATE(Pokemon!C363,"ナイト")</f>
        <v>オニゴーリナイト</v>
      </c>
      <c r="D488" s="3" t="s">
        <v>26086</v>
      </c>
      <c r="E488" s="3" t="s">
        <v>26087</v>
      </c>
      <c r="F488" s="5" t="str">
        <f t="shared" si="38"/>
        <v>Glalita</v>
      </c>
      <c r="G488" s="3" t="s">
        <v>26088</v>
      </c>
      <c r="H488" s="5" t="str">
        <f>CONCATENATE(Pokemon!H363,"나이트")</f>
        <v>얼음귀신나이트</v>
      </c>
      <c r="I488" s="5" t="str">
        <f>IFERROR(__xludf.DUMMYFUNCTION("GOOGLETRANSLATE(J488,""zh_HANS"",""zh_HANT"")"),"冰鬼護進化石")</f>
        <v>冰鬼護進化石</v>
      </c>
      <c r="J488" s="5" t="str">
        <f>CONCATENATE(Pokemon!J363,"进化石")</f>
        <v>冰鬼护进化石</v>
      </c>
    </row>
    <row r="489">
      <c r="A489" s="5" t="str">
        <f t="shared" si="33"/>
        <v>NAME_ITEM_DIANCITE</v>
      </c>
      <c r="B489" s="3" t="s">
        <v>26089</v>
      </c>
      <c r="C489" s="5" t="str">
        <f>CONCATENATE(Pokemon!C720,"ナイト")</f>
        <v>ヂィアンシーナイト</v>
      </c>
      <c r="D489" s="3" t="s">
        <v>26089</v>
      </c>
      <c r="E489" s="3" t="s">
        <v>26090</v>
      </c>
      <c r="F489" s="5" t="str">
        <f t="shared" si="38"/>
        <v>Diancita</v>
      </c>
      <c r="G489" s="5" t="str">
        <f t="shared" ref="G489:G493" si="46">B489</f>
        <v>Diancite</v>
      </c>
      <c r="H489" s="5" t="str">
        <f>CONCATENATE(Pokemon!H720,"나이트")</f>
        <v>디안시나이트</v>
      </c>
      <c r="I489" s="5" t="str">
        <f>IFERROR(__xludf.DUMMYFUNCTION("GOOGLETRANSLATE(J489,""zh_HANS"",""zh_HANT"")"),"蒂安希進化石")</f>
        <v>蒂安希進化石</v>
      </c>
      <c r="J489" s="5" t="str">
        <f>CONCATENATE(Pokemon!J720,"进化石")</f>
        <v>蒂安希进化石</v>
      </c>
    </row>
    <row r="490">
      <c r="A490" s="5" t="str">
        <f t="shared" si="33"/>
        <v>NAME_ITEM_CAMERUPTITE</v>
      </c>
      <c r="B490" s="3" t="s">
        <v>26091</v>
      </c>
      <c r="C490" s="5" t="str">
        <f>CONCATENATE(Pokemon!C324,"ナイト")</f>
        <v>バクーダナイト</v>
      </c>
      <c r="D490" s="3" t="s">
        <v>26092</v>
      </c>
      <c r="E490" s="3" t="s">
        <v>26093</v>
      </c>
      <c r="F490" s="5" t="str">
        <f t="shared" si="38"/>
        <v>Cameruptita</v>
      </c>
      <c r="G490" s="5" t="str">
        <f t="shared" si="46"/>
        <v>Cameruptite</v>
      </c>
      <c r="H490" s="5" t="str">
        <f>CONCATENATE(Pokemon!H324,"나이트")</f>
        <v>폭타나이트</v>
      </c>
      <c r="I490" s="5" t="str">
        <f>IFERROR(__xludf.DUMMYFUNCTION("GOOGLETRANSLATE(J490,""zh_HANS"",""zh_HANT"")"),"噴火駝進化石")</f>
        <v>噴火駝進化石</v>
      </c>
      <c r="J490" s="5" t="str">
        <f>CONCATENATE(Pokemon!J324,"进化石")</f>
        <v>喷火驼进化石</v>
      </c>
    </row>
    <row r="491">
      <c r="A491" s="5" t="str">
        <f t="shared" si="33"/>
        <v>NAME_ITEM_LOPPUNITE</v>
      </c>
      <c r="B491" s="3" t="s">
        <v>26094</v>
      </c>
      <c r="C491" s="5" t="str">
        <f>CONCATENATE(Pokemon!C429,"ナイト")</f>
        <v>ミミロップナイト</v>
      </c>
      <c r="D491" s="3" t="s">
        <v>26095</v>
      </c>
      <c r="E491" s="3" t="s">
        <v>26096</v>
      </c>
      <c r="F491" s="5" t="str">
        <f t="shared" si="38"/>
        <v>Loppunita</v>
      </c>
      <c r="G491" s="5" t="str">
        <f t="shared" si="46"/>
        <v>Loppunite</v>
      </c>
      <c r="H491" s="5" t="str">
        <f>CONCATENATE(Pokemon!H429,"나이트")</f>
        <v>이어롭나이트</v>
      </c>
      <c r="I491" s="5" t="str">
        <f>IFERROR(__xludf.DUMMYFUNCTION("GOOGLETRANSLATE(J491,""zh_HANS"",""zh_HANT"")"),"長耳兔進化石")</f>
        <v>長耳兔進化石</v>
      </c>
      <c r="J491" s="5" t="str">
        <f>CONCATENATE(Pokemon!J429,"进化石")</f>
        <v>长耳兔进化石</v>
      </c>
    </row>
    <row r="492">
      <c r="A492" s="5" t="str">
        <f t="shared" si="33"/>
        <v>NAME_ITEM_SALAMENCITE</v>
      </c>
      <c r="B492" s="3" t="s">
        <v>26097</v>
      </c>
      <c r="C492" s="5" t="str">
        <f>CONCATENATE(Pokemon!C374,"ナイト")</f>
        <v>ボーマンダナイト</v>
      </c>
      <c r="D492" s="3" t="s">
        <v>26098</v>
      </c>
      <c r="E492" s="3" t="s">
        <v>26099</v>
      </c>
      <c r="F492" s="5" t="str">
        <f t="shared" si="38"/>
        <v>Salamencita</v>
      </c>
      <c r="G492" s="5" t="str">
        <f t="shared" si="46"/>
        <v>Salamencite</v>
      </c>
      <c r="H492" s="5" t="str">
        <f>CONCATENATE(Pokemon!H374,"나이트")</f>
        <v>보만다나이트</v>
      </c>
      <c r="I492" s="5" t="str">
        <f>IFERROR(__xludf.DUMMYFUNCTION("GOOGLETRANSLATE(J492,""zh_HANS"",""zh_HANT"")"),"暴飛龍進化石")</f>
        <v>暴飛龍進化石</v>
      </c>
      <c r="J492" s="5" t="str">
        <f>CONCATENATE(Pokemon!J374,"进化石")</f>
        <v>暴飞龙进化石</v>
      </c>
    </row>
    <row r="493">
      <c r="A493" s="5" t="str">
        <f t="shared" si="33"/>
        <v>NAME_ITEM_BEEDRILLITE</v>
      </c>
      <c r="B493" s="3" t="s">
        <v>26100</v>
      </c>
      <c r="C493" s="5" t="str">
        <f>CONCATENATE(Pokemon!C16,"ナイト")</f>
        <v>スピアーナイト</v>
      </c>
      <c r="D493" s="3" t="s">
        <v>26101</v>
      </c>
      <c r="E493" s="3" t="s">
        <v>26102</v>
      </c>
      <c r="F493" s="5" t="str">
        <f t="shared" si="38"/>
        <v>Beedrillita</v>
      </c>
      <c r="G493" s="5" t="str">
        <f t="shared" si="46"/>
        <v>Beedrillite</v>
      </c>
      <c r="H493" s="5" t="str">
        <f>CONCATENATE(Pokemon!H16,"나이트")</f>
        <v>독침붕나이트</v>
      </c>
      <c r="I493" s="5" t="str">
        <f>IFERROR(__xludf.DUMMYFUNCTION("GOOGLETRANSLATE(J493,""zh_HANS"",""zh_HANT"")"),"大針蜂進化石")</f>
        <v>大針蜂進化石</v>
      </c>
      <c r="J493" s="5" t="str">
        <f>CONCATENATE(Pokemon!J16,"进化石")</f>
        <v>大针蜂进化石</v>
      </c>
    </row>
    <row r="494">
      <c r="A494" s="5" t="str">
        <f t="shared" si="33"/>
        <v>NAME_ITEM_NORMALIUMZ</v>
      </c>
      <c r="B494" s="3" t="s">
        <v>26103</v>
      </c>
      <c r="C494" s="5" t="str">
        <f>CONCATENATE(Types!C2,"Ｚ")</f>
        <v>ノーマルＺ</v>
      </c>
      <c r="D494" s="3" t="s">
        <v>26104</v>
      </c>
      <c r="E494" s="3" t="s">
        <v>26105</v>
      </c>
      <c r="F494" s="3" t="s">
        <v>26106</v>
      </c>
      <c r="G494" s="5" t="str">
        <f>E494</f>
        <v>Normium Z</v>
      </c>
      <c r="H494" s="5" t="str">
        <f>CONCATENATE(Types!H2,"Ｚ")</f>
        <v>노말Ｚ</v>
      </c>
      <c r="I494" s="5" t="str">
        <f>CONCATENATE(Types!I2,"Ｚ")</f>
        <v>一般Ｚ</v>
      </c>
      <c r="J494" s="5" t="str">
        <f>CONCATENATE(Types!J2,"Ｚ")</f>
        <v>一般Ｚ</v>
      </c>
    </row>
    <row r="495">
      <c r="A495" s="5" t="str">
        <f t="shared" si="33"/>
        <v>NAME_ITEM_FIRIUMZ</v>
      </c>
      <c r="B495" s="3" t="s">
        <v>26107</v>
      </c>
      <c r="C495" s="5" t="str">
        <f>CONCATENATE("ホノオ","Ｚ")</f>
        <v>ホノオＺ</v>
      </c>
      <c r="D495" s="3" t="s">
        <v>26108</v>
      </c>
      <c r="E495" s="3" t="s">
        <v>26109</v>
      </c>
      <c r="F495" s="3" t="s">
        <v>26110</v>
      </c>
      <c r="G495" s="3" t="s">
        <v>26111</v>
      </c>
      <c r="H495" s="5" t="str">
        <f>CONCATENATE(Types!H11,"Ｚ")</f>
        <v>불꽃Ｚ</v>
      </c>
      <c r="I495" s="5" t="str">
        <f>CONCATENATE(Types!I11,"Ｚ")</f>
        <v>火Ｚ</v>
      </c>
      <c r="J495" s="5" t="str">
        <f>CONCATENATE(Types!J11,"Ｚ")</f>
        <v>火Ｚ</v>
      </c>
    </row>
    <row r="496">
      <c r="A496" s="5" t="str">
        <f t="shared" si="33"/>
        <v>NAME_ITEM_WATERIUMZ</v>
      </c>
      <c r="B496" s="3" t="s">
        <v>26112</v>
      </c>
      <c r="C496" s="5" t="str">
        <f>CONCATENATE("ミズ","Ｚ")</f>
        <v>ミズＺ</v>
      </c>
      <c r="D496" s="3" t="s">
        <v>26113</v>
      </c>
      <c r="E496" s="3" t="s">
        <v>26114</v>
      </c>
      <c r="F496" s="3" t="s">
        <v>26115</v>
      </c>
      <c r="G496" s="3" t="s">
        <v>26116</v>
      </c>
      <c r="H496" s="5" t="str">
        <f>CONCATENATE(Types!H12,"Ｚ")</f>
        <v>물Ｚ</v>
      </c>
      <c r="I496" s="5" t="str">
        <f>CONCATENATE(Types!I12,"Ｚ")</f>
        <v>水Ｚ</v>
      </c>
      <c r="J496" s="5" t="str">
        <f>CONCATENATE(Types!J12,"Ｚ")</f>
        <v>水Ｚ</v>
      </c>
    </row>
    <row r="497">
      <c r="A497" s="5" t="str">
        <f t="shared" si="33"/>
        <v>NAME_ITEM_ELECTRIUMZ</v>
      </c>
      <c r="B497" s="3" t="s">
        <v>26117</v>
      </c>
      <c r="C497" s="5" t="str">
        <f>CONCATENATE("デンキ","Ｚ")</f>
        <v>デンキＺ</v>
      </c>
      <c r="D497" s="3" t="s">
        <v>26118</v>
      </c>
      <c r="E497" s="3" t="s">
        <v>26119</v>
      </c>
      <c r="F497" s="3" t="s">
        <v>26120</v>
      </c>
      <c r="G497" s="5" t="str">
        <f>B497</f>
        <v>Electrium Z</v>
      </c>
      <c r="H497" s="5" t="str">
        <f>CONCATENATE(Types!H13,"Ｚ")</f>
        <v>풀Ｚ</v>
      </c>
      <c r="I497" s="5" t="str">
        <f>CONCATENATE(Types!I13,"Ｚ")</f>
        <v>草Ｚ</v>
      </c>
      <c r="J497" s="5" t="str">
        <f>CONCATENATE(Types!J13,"Ｚ")</f>
        <v>草Ｚ</v>
      </c>
    </row>
    <row r="498">
      <c r="A498" s="5" t="str">
        <f t="shared" si="33"/>
        <v>NAME_ITEM_GRASSIUMZ</v>
      </c>
      <c r="B498" s="3" t="s">
        <v>26121</v>
      </c>
      <c r="C498" s="5" t="str">
        <f>CONCATENATE("クサ","Ｚ")</f>
        <v>クサＺ</v>
      </c>
      <c r="D498" s="3" t="s">
        <v>26122</v>
      </c>
      <c r="E498" s="3" t="s">
        <v>26123</v>
      </c>
      <c r="F498" s="3" t="s">
        <v>26124</v>
      </c>
      <c r="G498" s="3" t="s">
        <v>26125</v>
      </c>
      <c r="H498" s="5" t="str">
        <f>CONCATENATE(Types!H12,"Ｚ")</f>
        <v>물Ｚ</v>
      </c>
      <c r="I498" s="5" t="str">
        <f>CONCATENATE(Types!I14,"Ｚ")</f>
        <v>電Ｚ</v>
      </c>
      <c r="J498" s="5" t="str">
        <f>CONCATENATE(Types!J14,"Ｚ")</f>
        <v>电Ｚ</v>
      </c>
    </row>
    <row r="499">
      <c r="A499" s="5" t="str">
        <f t="shared" si="33"/>
        <v>NAME_ITEM_ICIUMZ</v>
      </c>
      <c r="B499" s="3" t="s">
        <v>26126</v>
      </c>
      <c r="C499" s="5" t="str">
        <f>CONCATENATE("コオリ","Ｚ")</f>
        <v>コオリＺ</v>
      </c>
      <c r="D499" s="3" t="s">
        <v>26127</v>
      </c>
      <c r="E499" s="3" t="s">
        <v>26128</v>
      </c>
      <c r="F499" s="3" t="s">
        <v>26129</v>
      </c>
      <c r="G499" s="5" t="str">
        <f>E499</f>
        <v>Glacium Z</v>
      </c>
      <c r="H499" s="5" t="str">
        <f>CONCATENATE(Types!H16,"Ｚ")</f>
        <v>얼음Ｚ</v>
      </c>
      <c r="I499" s="5" t="str">
        <f>CONCATENATE(Types!I16,"Ｚ")</f>
        <v>冰Ｚ</v>
      </c>
      <c r="J499" s="5" t="str">
        <f>CONCATENATE(Types!J16,"Ｚ")</f>
        <v>冰Ｚ</v>
      </c>
    </row>
    <row r="500">
      <c r="A500" s="5" t="str">
        <f t="shared" si="33"/>
        <v>NAME_ITEM_FIGHTINIUMZ</v>
      </c>
      <c r="B500" s="3" t="s">
        <v>26130</v>
      </c>
      <c r="C500" s="5" t="str">
        <f>CONCATENATE("カクト","Ｚ")</f>
        <v>カクトＺ</v>
      </c>
      <c r="D500" s="3" t="s">
        <v>26131</v>
      </c>
      <c r="E500" s="3" t="s">
        <v>26132</v>
      </c>
      <c r="F500" s="3" t="s">
        <v>26133</v>
      </c>
      <c r="G500" s="3" t="s">
        <v>26134</v>
      </c>
      <c r="H500" s="5" t="str">
        <f>CONCATENATE(Types!H3,"Ｚ")</f>
        <v>격투Ｚ</v>
      </c>
      <c r="I500" s="5" t="str">
        <f>CONCATENATE(Types!I3,"Ｚ")</f>
        <v>格鬥Ｚ</v>
      </c>
      <c r="J500" s="5" t="str">
        <f>CONCATENATE(Types!J3,"Ｚ")</f>
        <v>格斗Ｚ</v>
      </c>
    </row>
    <row r="501">
      <c r="A501" s="5" t="str">
        <f t="shared" si="33"/>
        <v>NAME_ITEM_POISONIUMZ</v>
      </c>
      <c r="B501" s="3" t="s">
        <v>26135</v>
      </c>
      <c r="C501" s="5" t="str">
        <f>CONCATENATE("ドク","Ｚ")</f>
        <v>ドクＺ</v>
      </c>
      <c r="D501" s="3" t="s">
        <v>26136</v>
      </c>
      <c r="E501" s="3" t="s">
        <v>26137</v>
      </c>
      <c r="F501" s="3" t="s">
        <v>26138</v>
      </c>
      <c r="G501" s="3" t="s">
        <v>26139</v>
      </c>
      <c r="H501" s="5" t="str">
        <f>CONCATENATE(Types!H5,"Ｚ")</f>
        <v>독Ｚ</v>
      </c>
      <c r="I501" s="5" t="str">
        <f>CONCATENATE(Types!I5,"Ｚ")</f>
        <v>毒Ｚ</v>
      </c>
      <c r="J501" s="5" t="str">
        <f>CONCATENATE(Types!J5,"Ｚ")</f>
        <v>毒Ｚ</v>
      </c>
    </row>
    <row r="502">
      <c r="A502" s="5" t="str">
        <f t="shared" si="33"/>
        <v>NAME_ITEM_GROUNDIUMZ</v>
      </c>
      <c r="B502" s="3" t="s">
        <v>26140</v>
      </c>
      <c r="C502" s="5" t="str">
        <f>CONCATENATE("ジメン","Ｚ")</f>
        <v>ジメンＺ</v>
      </c>
      <c r="D502" s="3" t="s">
        <v>26141</v>
      </c>
      <c r="E502" s="3" t="s">
        <v>26142</v>
      </c>
      <c r="F502" s="3" t="s">
        <v>26143</v>
      </c>
      <c r="G502" s="5" t="str">
        <f>E502</f>
        <v>Terrium Z</v>
      </c>
      <c r="H502" s="5" t="str">
        <f>CONCATENATE(Types!H6,"Ｚ")</f>
        <v>땅Ｚ</v>
      </c>
      <c r="I502" s="5" t="str">
        <f>CONCATENATE(Types!I6,"Ｚ")</f>
        <v>地面Ｚ</v>
      </c>
      <c r="J502" s="5" t="str">
        <f>CONCATENATE(Types!J6,"Ｚ")</f>
        <v>地面Ｚ</v>
      </c>
    </row>
    <row r="503">
      <c r="A503" s="5" t="str">
        <f t="shared" si="33"/>
        <v>NAME_ITEM_FLYINIUMZ</v>
      </c>
      <c r="B503" s="3" t="s">
        <v>26144</v>
      </c>
      <c r="C503" s="5" t="str">
        <f>CONCATENATE("ヒコウ","Ｚ")</f>
        <v>ヒコウＺ</v>
      </c>
      <c r="D503" s="3" t="s">
        <v>26145</v>
      </c>
      <c r="E503" s="3" t="s">
        <v>26146</v>
      </c>
      <c r="F503" s="3" t="s">
        <v>26147</v>
      </c>
      <c r="G503" s="3" t="s">
        <v>26148</v>
      </c>
      <c r="H503" s="5" t="str">
        <f>CONCATENATE(Types!H4,"Ｚ")</f>
        <v>비행Ｚ</v>
      </c>
      <c r="I503" s="5" t="str">
        <f>CONCATENATE(Types!I4,"Ｚ")</f>
        <v>飛行Ｚ</v>
      </c>
      <c r="J503" s="5" t="str">
        <f>CONCATENATE(Types!J4,"Ｚ")</f>
        <v>飞行Ｚ</v>
      </c>
    </row>
    <row r="504">
      <c r="A504" s="5" t="str">
        <f t="shared" si="33"/>
        <v>NAME_ITEM_PSYCHIUMZ</v>
      </c>
      <c r="B504" s="3" t="s">
        <v>26149</v>
      </c>
      <c r="C504" s="5" t="str">
        <f>CONCATENATE(Types!C15,"Ｚ")</f>
        <v>エスパーＺ</v>
      </c>
      <c r="D504" s="3" t="s">
        <v>26150</v>
      </c>
      <c r="E504" s="3" t="s">
        <v>26151</v>
      </c>
      <c r="F504" s="3" t="s">
        <v>26152</v>
      </c>
      <c r="G504" s="3" t="s">
        <v>26153</v>
      </c>
      <c r="H504" s="5" t="str">
        <f>CONCATENATE(Types!H15,"Ｚ")</f>
        <v>에스퍼Ｚ</v>
      </c>
      <c r="I504" s="5" t="str">
        <f>CONCATENATE(Types!I15,"Ｚ")</f>
        <v>超能力Ｚ</v>
      </c>
      <c r="J504" s="5" t="str">
        <f>CONCATENATE(Types!J15,"Ｚ")</f>
        <v>超能力Ｚ</v>
      </c>
    </row>
    <row r="505">
      <c r="A505" s="5" t="str">
        <f t="shared" si="33"/>
        <v>NAME_ITEM_BUGINIUMZ</v>
      </c>
      <c r="B505" s="3" t="s">
        <v>26154</v>
      </c>
      <c r="C505" s="5" t="str">
        <f>CONCATENATE("ムシ","Ｚ")</f>
        <v>ムシＺ</v>
      </c>
      <c r="D505" s="3" t="s">
        <v>26155</v>
      </c>
      <c r="E505" s="3" t="s">
        <v>26156</v>
      </c>
      <c r="F505" s="3" t="s">
        <v>26157</v>
      </c>
      <c r="G505" s="5" t="str">
        <f t="shared" ref="G505:G506" si="47">E505</f>
        <v>Insectium Z</v>
      </c>
      <c r="H505" s="5" t="str">
        <f>CONCATENATE(Types!H8,"Ｚ")</f>
        <v>벌레Ｚ</v>
      </c>
      <c r="I505" s="5" t="str">
        <f>CONCATENATE(Types!I8,"Ｚ")</f>
        <v>蟲Ｚ</v>
      </c>
      <c r="J505" s="5" t="str">
        <f>CONCATENATE(Types!J8,"Ｚ")</f>
        <v>虫Ｚ</v>
      </c>
    </row>
    <row r="506">
      <c r="A506" s="5" t="str">
        <f t="shared" si="33"/>
        <v>NAME_ITEM_ROCKIUMZ</v>
      </c>
      <c r="B506" s="3" t="s">
        <v>26158</v>
      </c>
      <c r="C506" s="5" t="str">
        <f>CONCATENATE("イワ","Ｚ")</f>
        <v>イワＺ</v>
      </c>
      <c r="D506" s="3" t="s">
        <v>26159</v>
      </c>
      <c r="E506" s="3" t="s">
        <v>26160</v>
      </c>
      <c r="F506" s="3" t="s">
        <v>26161</v>
      </c>
      <c r="G506" s="5" t="str">
        <f t="shared" si="47"/>
        <v>Petrium Z</v>
      </c>
      <c r="H506" s="5" t="str">
        <f>CONCATENATE(Types!H7,"Ｚ")</f>
        <v>바위Ｚ</v>
      </c>
      <c r="I506" s="5" t="str">
        <f>CONCATENATE(Types!I7,"Ｚ")</f>
        <v>岩石Ｚ</v>
      </c>
      <c r="J506" s="5" t="str">
        <f>CONCATENATE(Types!J7,"Ｚ")</f>
        <v>岩石Ｚ</v>
      </c>
    </row>
    <row r="507">
      <c r="A507" s="5" t="str">
        <f t="shared" si="33"/>
        <v>NAME_ITEM_GHOSTIUMZ</v>
      </c>
      <c r="B507" s="3" t="s">
        <v>26162</v>
      </c>
      <c r="C507" s="5" t="str">
        <f>CONCATENATE(Types!C9,"Ｚ")</f>
        <v>ゴーストＺ</v>
      </c>
      <c r="D507" s="3" t="s">
        <v>26163</v>
      </c>
      <c r="E507" s="3" t="s">
        <v>26164</v>
      </c>
      <c r="F507" s="3" t="s">
        <v>26165</v>
      </c>
      <c r="G507" s="3" t="s">
        <v>26166</v>
      </c>
      <c r="H507" s="5" t="str">
        <f>CONCATENATE(Types!H9,"Ｚ")</f>
        <v>고스트Ｚ</v>
      </c>
      <c r="I507" s="5" t="str">
        <f>CONCATENATE(Types!I9,"Ｚ")</f>
        <v>幽靈Ｚ</v>
      </c>
      <c r="J507" s="5" t="str">
        <f>CONCATENATE(Types!J9,"Ｚ")</f>
        <v>幽灵Ｚ</v>
      </c>
    </row>
    <row r="508">
      <c r="A508" s="5" t="str">
        <f t="shared" si="33"/>
        <v>NAME_ITEM_DRAGONIUMZ</v>
      </c>
      <c r="B508" s="3" t="s">
        <v>26167</v>
      </c>
      <c r="C508" s="5" t="str">
        <f>CONCATENATE(Types!C17,"Ｚ")</f>
        <v>ドラゴンＺ</v>
      </c>
      <c r="D508" s="3" t="s">
        <v>26168</v>
      </c>
      <c r="E508" s="3" t="s">
        <v>26169</v>
      </c>
      <c r="F508" s="3" t="s">
        <v>26170</v>
      </c>
      <c r="G508" s="3" t="s">
        <v>26171</v>
      </c>
      <c r="H508" s="5" t="str">
        <f>CONCATENATE(Types!H17,"Ｚ")</f>
        <v>드개곤Ｚ</v>
      </c>
      <c r="I508" s="5" t="str">
        <f>CONCATENATE(Types!I17,"Ｚ")</f>
        <v>龍Ｚ</v>
      </c>
      <c r="J508" s="5" t="str">
        <f>CONCATENATE(Types!J17,"Ｚ")</f>
        <v>龙Ｚ</v>
      </c>
    </row>
    <row r="509">
      <c r="A509" s="5" t="str">
        <f t="shared" si="33"/>
        <v>NAME_ITEM_DARKINIUMZ</v>
      </c>
      <c r="B509" s="3" t="s">
        <v>26172</v>
      </c>
      <c r="C509" s="5" t="str">
        <f>CONCATENATE("アク","Ｚ")</f>
        <v>アクＺ</v>
      </c>
      <c r="D509" s="3" t="s">
        <v>26173</v>
      </c>
      <c r="E509" s="3" t="s">
        <v>26174</v>
      </c>
      <c r="F509" s="3" t="s">
        <v>26175</v>
      </c>
      <c r="G509" s="3" t="s">
        <v>26176</v>
      </c>
      <c r="H509" s="5" t="str">
        <f>CONCATENATE(Types!H18,"Ｚ")</f>
        <v>악Ｚ</v>
      </c>
      <c r="I509" s="5" t="str">
        <f>CONCATENATE(Types!I18,"Ｚ")</f>
        <v>惡Ｚ</v>
      </c>
      <c r="J509" s="5" t="str">
        <f>CONCATENATE(Types!J18,"Ｚ")</f>
        <v>恶Ｚ</v>
      </c>
    </row>
    <row r="510">
      <c r="A510" s="5" t="str">
        <f t="shared" si="33"/>
        <v>NAME_ITEM_STEELIUMZ</v>
      </c>
      <c r="B510" s="3" t="s">
        <v>26177</v>
      </c>
      <c r="C510" s="5" t="str">
        <f>CONCATENATE("ハガネ","Ｚ")</f>
        <v>ハガネＺ</v>
      </c>
      <c r="D510" s="3" t="s">
        <v>26178</v>
      </c>
      <c r="E510" s="3" t="s">
        <v>26179</v>
      </c>
      <c r="F510" s="3" t="s">
        <v>26180</v>
      </c>
      <c r="G510" s="5" t="str">
        <f>E510</f>
        <v>Metallium Z</v>
      </c>
      <c r="H510" s="5" t="str">
        <f>CONCATENATE(Types!H10,"Ｚ")</f>
        <v>강철Ｚ</v>
      </c>
      <c r="I510" s="5" t="str">
        <f>CONCATENATE(Types!I10,"Ｚ")</f>
        <v>鋼Ｚ</v>
      </c>
      <c r="J510" s="5" t="str">
        <f>CONCATENATE(Types!J10,"Ｚ")</f>
        <v>钢Ｚ</v>
      </c>
    </row>
    <row r="511">
      <c r="A511" s="5" t="str">
        <f t="shared" si="33"/>
        <v>NAME_ITEM_FAIRIUMZ</v>
      </c>
      <c r="B511" s="3" t="s">
        <v>26181</v>
      </c>
      <c r="C511" s="5" t="str">
        <f>CONCATENATE(Types!C19,"Ｚ")</f>
        <v>フェアリＺ</v>
      </c>
      <c r="D511" s="3" t="s">
        <v>26182</v>
      </c>
      <c r="E511" s="3" t="s">
        <v>26183</v>
      </c>
      <c r="F511" s="3" t="s">
        <v>26184</v>
      </c>
      <c r="G511" s="3" t="s">
        <v>26185</v>
      </c>
      <c r="H511" s="5" t="str">
        <f>CONCATENATE(Types!H19,"Ｚ")</f>
        <v>페어리Ｚ</v>
      </c>
      <c r="I511" s="5" t="str">
        <f>CONCATENATE(Types!I19,"Ｚ")</f>
        <v>妖精Ｚ</v>
      </c>
      <c r="J511" s="5" t="str">
        <f>CONCATENATE(Types!J19,"Ｚ")</f>
        <v>妖精Ｚ</v>
      </c>
    </row>
    <row r="512">
      <c r="A512" s="5" t="str">
        <f t="shared" si="33"/>
        <v>NAME_ITEM_PIKANIUMZ</v>
      </c>
      <c r="B512" s="3" t="s">
        <v>26186</v>
      </c>
      <c r="C512" s="5" t="str">
        <f>CONCATENATE(Pokemon!C26,"Ｚ")</f>
        <v>ピカチュウＺ</v>
      </c>
      <c r="D512" s="3" t="s">
        <v>26187</v>
      </c>
      <c r="E512" s="3" t="s">
        <v>26188</v>
      </c>
      <c r="F512" s="3" t="s">
        <v>26189</v>
      </c>
      <c r="G512" s="3" t="s">
        <v>26190</v>
      </c>
      <c r="H512" s="5" t="str">
        <f>CONCATENATE(Pokemon!H26,"Ｚ")</f>
        <v>피카츄Ｚ</v>
      </c>
      <c r="I512" s="5" t="str">
        <f>IFERROR(__xludf.DUMMYFUNCTION("GOOGLETRANSLATE(J512,""zh_HANS"",""zh_HANT"")"),"皮卡丘Ｚ")</f>
        <v>皮卡丘Ｚ</v>
      </c>
      <c r="J512" s="5" t="str">
        <f>CONCATENATE(Pokemon!J26,"Ｚ")</f>
        <v>皮卡丘Ｚ</v>
      </c>
    </row>
    <row r="513">
      <c r="A513" s="5" t="str">
        <f t="shared" si="33"/>
        <v>NAME_ITEM_DECIDIUMZ</v>
      </c>
      <c r="B513" s="3" t="s">
        <v>26191</v>
      </c>
      <c r="C513" s="5" t="str">
        <f>CONCATENATE(Pokemon!C725,"Ｚ")</f>
        <v>ジュナイパーＺ</v>
      </c>
      <c r="D513" s="3" t="s">
        <v>26192</v>
      </c>
      <c r="E513" s="3" t="s">
        <v>26193</v>
      </c>
      <c r="F513" s="3" t="s">
        <v>26194</v>
      </c>
      <c r="G513" s="3" t="s">
        <v>26195</v>
      </c>
      <c r="H513" s="5" t="str">
        <f>CONCATENATE(Pokemon!H725,"Ｚ")</f>
        <v>모크나이퍼Ｚ</v>
      </c>
      <c r="I513" s="5" t="str">
        <f>IFERROR(__xludf.DUMMYFUNCTION("GOOGLETRANSLATE(J513,""zh_HANS"",""zh_HANT"")"),"狙射樹梟Ｚ")</f>
        <v>狙射樹梟Ｚ</v>
      </c>
      <c r="J513" s="5" t="str">
        <f>CONCATENATE(Pokemon!J725,"Ｚ")</f>
        <v>狙射树枭Ｚ</v>
      </c>
    </row>
    <row r="514">
      <c r="A514" s="5" t="str">
        <f t="shared" si="33"/>
        <v>NAME_ITEM_INCINIUMZ</v>
      </c>
      <c r="B514" s="3" t="s">
        <v>26196</v>
      </c>
      <c r="C514" s="5" t="str">
        <f>CONCATENATE(Pokemon!C728,"Ｚ")</f>
        <v>ガオガエンＺ</v>
      </c>
      <c r="D514" s="3" t="s">
        <v>26197</v>
      </c>
      <c r="E514" s="3" t="s">
        <v>26198</v>
      </c>
      <c r="F514" s="3" t="s">
        <v>26199</v>
      </c>
      <c r="G514" s="3" t="s">
        <v>26200</v>
      </c>
      <c r="H514" s="5" t="str">
        <f>CONCATENATE(Pokemon!H728,"Ｚ")</f>
        <v>어흥염Ｚ</v>
      </c>
      <c r="I514" s="5" t="str">
        <f>IFERROR(__xludf.DUMMYFUNCTION("GOOGLETRANSLATE(J514,""zh_HANS"",""zh_HANT"")"),"熾焰咆哮虎Ｚ")</f>
        <v>熾焰咆哮虎Ｚ</v>
      </c>
      <c r="J514" s="5" t="str">
        <f>CONCATENATE(Pokemon!J728,"Ｚ")</f>
        <v>炽焰咆哮虎Ｚ</v>
      </c>
    </row>
    <row r="515">
      <c r="A515" s="5" t="str">
        <f t="shared" si="33"/>
        <v>NAME_ITEM_PRIMARIUMZ</v>
      </c>
      <c r="B515" s="3" t="s">
        <v>26201</v>
      </c>
      <c r="C515" s="5" t="str">
        <f>CONCATENATE(Pokemon!C731,"Ｚ")</f>
        <v>アシレーヌＺ</v>
      </c>
      <c r="D515" s="3" t="s">
        <v>26202</v>
      </c>
      <c r="E515" s="3" t="s">
        <v>26203</v>
      </c>
      <c r="F515" s="3" t="s">
        <v>26204</v>
      </c>
      <c r="G515" s="3" t="s">
        <v>26205</v>
      </c>
      <c r="H515" s="5" t="str">
        <f>CONCATENATE(Pokemon!H731,"Ｚ")</f>
        <v>누리레느Ｚ</v>
      </c>
      <c r="I515" s="5" t="str">
        <f>IFERROR(__xludf.DUMMYFUNCTION("GOOGLETRANSLATE(J515,""zh_HANS"",""zh_HANT"")"),"西獅海壬Ｚ")</f>
        <v>西獅海壬Ｚ</v>
      </c>
      <c r="J515" s="5" t="str">
        <f>CONCATENATE(Pokemon!J731,"Ｚ")</f>
        <v>西狮海壬Ｚ</v>
      </c>
    </row>
    <row r="516">
      <c r="A516" s="5" t="str">
        <f t="shared" si="33"/>
        <v>NAME_ITEM_TAPUNIUMZ</v>
      </c>
      <c r="B516" s="3" t="s">
        <v>26206</v>
      </c>
      <c r="C516" s="5" t="str">
        <f>CONCATENATE("カプ","Ｚ")</f>
        <v>カプＺ</v>
      </c>
      <c r="D516" s="3" t="s">
        <v>26207</v>
      </c>
      <c r="E516" s="3" t="s">
        <v>26208</v>
      </c>
      <c r="F516" s="3" t="s">
        <v>26209</v>
      </c>
      <c r="G516" s="3" t="s">
        <v>26210</v>
      </c>
      <c r="H516" s="3" t="s">
        <v>26211</v>
      </c>
      <c r="I516" s="3" t="s">
        <v>26212</v>
      </c>
      <c r="J516" s="5" t="str">
        <f>I516</f>
        <v>卡璞Ｚ</v>
      </c>
    </row>
    <row r="517">
      <c r="A517" s="5" t="str">
        <f t="shared" si="33"/>
        <v>NAME_ITEM_MARSHADIUMZ</v>
      </c>
      <c r="B517" s="3" t="s">
        <v>26213</v>
      </c>
      <c r="C517" s="5" t="str">
        <f>CONCATENATE(Pokemon!C803,"Ｚ")</f>
        <v>マーシャドーＺ</v>
      </c>
      <c r="D517" s="3" t="s">
        <v>26214</v>
      </c>
      <c r="E517" s="3" t="s">
        <v>26215</v>
      </c>
      <c r="F517" s="3" t="s">
        <v>26216</v>
      </c>
      <c r="G517" s="5" t="str">
        <f>B517</f>
        <v>Marshadium Z</v>
      </c>
      <c r="H517" s="5" t="str">
        <f>CONCATENATE(Pokemon!H803,"Ｚ")</f>
        <v>마샤도Ｚ</v>
      </c>
      <c r="I517" s="5" t="str">
        <f>IFERROR(__xludf.DUMMYFUNCTION("GOOGLETRANSLATE(J517,""zh_HANS"",""zh_HANT"")"),"瑪夏多Ｚ")</f>
        <v>瑪夏多Ｚ</v>
      </c>
      <c r="J517" s="5" t="str">
        <f>CONCATENATE(Pokemon!J803,"Ｚ")</f>
        <v>玛夏多Ｚ</v>
      </c>
    </row>
    <row r="518">
      <c r="A518" s="5" t="str">
        <f t="shared" si="33"/>
        <v>NAME_ITEM_ALORAICHIUMZ</v>
      </c>
      <c r="B518" s="3" t="s">
        <v>26217</v>
      </c>
      <c r="C518" s="5" t="str">
        <f>CONCATENATE("アロライ","Ｚ")</f>
        <v>アロライＺ</v>
      </c>
      <c r="D518" s="3" t="s">
        <v>26218</v>
      </c>
      <c r="E518" s="3" t="s">
        <v>26219</v>
      </c>
      <c r="F518" s="3" t="s">
        <v>26220</v>
      </c>
      <c r="G518" s="3" t="s">
        <v>26221</v>
      </c>
      <c r="H518" s="3" t="s">
        <v>26222</v>
      </c>
      <c r="I518" s="5" t="str">
        <f>IFERROR(__xludf.DUMMYFUNCTION("GOOGLETRANSLATE(J518,""zh_HANS"",""zh_HANT"")"),"阿羅雷Ｚ")</f>
        <v>阿羅雷Ｚ</v>
      </c>
      <c r="J518" s="3" t="s">
        <v>26223</v>
      </c>
    </row>
    <row r="519">
      <c r="A519" s="5" t="str">
        <f t="shared" si="33"/>
        <v>NAME_ITEM_SNORLIUMZ</v>
      </c>
      <c r="B519" s="3" t="s">
        <v>26224</v>
      </c>
      <c r="C519" s="5" t="str">
        <f>CONCATENATE(Pokemon!C144,"Ｚ")</f>
        <v>カビゴンＺ</v>
      </c>
      <c r="D519" s="3" t="s">
        <v>26225</v>
      </c>
      <c r="E519" s="3" t="s">
        <v>26226</v>
      </c>
      <c r="F519" s="3" t="s">
        <v>26227</v>
      </c>
      <c r="G519" s="3" t="s">
        <v>26228</v>
      </c>
      <c r="H519" s="5" t="str">
        <f>CONCATENATE(Pokemon!H144,"Ｚ")</f>
        <v>잠만보Ｚ</v>
      </c>
      <c r="I519" s="5" t="str">
        <f>IFERROR(__xludf.DUMMYFUNCTION("GOOGLETRANSLATE(J519,""zh_HANS"",""zh_HANT"")"),"卡比獸Ｚ")</f>
        <v>卡比獸Ｚ</v>
      </c>
      <c r="J519" s="5" t="str">
        <f>CONCATENATE(Pokemon!J144,"Ｚ")</f>
        <v>卡比兽Ｚ</v>
      </c>
    </row>
    <row r="520">
      <c r="A520" s="5" t="str">
        <f t="shared" si="33"/>
        <v>NAME_ITEM_EEVIUMZ</v>
      </c>
      <c r="B520" s="3" t="s">
        <v>26229</v>
      </c>
      <c r="C520" s="5" t="str">
        <f>CONCATENATE(Pokemon!C134,"Ｚ")</f>
        <v>イーブイＺ</v>
      </c>
      <c r="D520" s="3" t="s">
        <v>26230</v>
      </c>
      <c r="E520" s="3" t="s">
        <v>26231</v>
      </c>
      <c r="F520" s="3" t="s">
        <v>26232</v>
      </c>
      <c r="G520" s="5" t="str">
        <f t="shared" ref="G520:G521" si="48">B520</f>
        <v>Eevium Z</v>
      </c>
      <c r="H520" s="5" t="str">
        <f>CONCATENATE(Pokemon!H134,"Ｚ")</f>
        <v>이브이Ｚ</v>
      </c>
      <c r="I520" s="5" t="str">
        <f>IFERROR(__xludf.DUMMYFUNCTION("GOOGLETRANSLATE(J520,""zh_HANS"",""zh_HANT"")"),"伊布Ｚ")</f>
        <v>伊布Ｚ</v>
      </c>
      <c r="J520" s="5" t="str">
        <f>CONCATENATE(Pokemon!J134,"Ｚ")</f>
        <v>伊布Ｚ</v>
      </c>
    </row>
    <row r="521">
      <c r="A521" s="5" t="str">
        <f t="shared" si="33"/>
        <v>NAME_ITEM_MEWNIUMZ</v>
      </c>
      <c r="B521" s="3" t="s">
        <v>26233</v>
      </c>
      <c r="C521" s="5" t="str">
        <f>CONCATENATE(Pokemon!C152,"Ｚ")</f>
        <v>ミュウＺ</v>
      </c>
      <c r="D521" s="3" t="s">
        <v>26234</v>
      </c>
      <c r="E521" s="5" t="str">
        <f>B521</f>
        <v>Mewnium Z</v>
      </c>
      <c r="F521" s="3" t="s">
        <v>26235</v>
      </c>
      <c r="G521" s="5" t="str">
        <f t="shared" si="48"/>
        <v>Mewnium Z</v>
      </c>
      <c r="H521" s="5" t="str">
        <f>CONCATENATE(Pokemon!H152,"Ｚ")</f>
        <v>뮤Ｚ</v>
      </c>
      <c r="I521" s="5" t="str">
        <f>IFERROR(__xludf.DUMMYFUNCTION("GOOGLETRANSLATE(J521,""zh_HANS"",""zh_HANT"")"),"夢幻Ｚ")</f>
        <v>夢幻Ｚ</v>
      </c>
      <c r="J521" s="5" t="str">
        <f>CONCATENATE(Pokemon!J152,"Ｚ")</f>
        <v>梦幻Ｚ</v>
      </c>
    </row>
    <row r="522">
      <c r="A522" s="5" t="str">
        <f t="shared" si="33"/>
        <v>NAME_ITEM_PIKASHUNIUMZ</v>
      </c>
      <c r="B522" s="3" t="s">
        <v>26236</v>
      </c>
      <c r="C522" s="5" t="str">
        <f>CONCATENATE("サトピカ","Ｚ")</f>
        <v>サトピカＺ</v>
      </c>
      <c r="D522" s="3" t="s">
        <v>26237</v>
      </c>
      <c r="E522" s="5" t="str">
        <f t="shared" ref="E522:F522" si="49">CONCATENATE("Ash-",E512)</f>
        <v>Ash-Pikachium Z</v>
      </c>
      <c r="F522" s="5" t="str">
        <f t="shared" si="49"/>
        <v>Ash-Pikastal Z</v>
      </c>
      <c r="G522" s="3" t="s">
        <v>26238</v>
      </c>
      <c r="H522" s="3" t="s">
        <v>26239</v>
      </c>
      <c r="I522" s="3" t="s">
        <v>26240</v>
      </c>
      <c r="J522" s="5" t="str">
        <f>I522</f>
        <v>智皮卡Ｚ</v>
      </c>
    </row>
    <row r="523">
      <c r="A523" s="5" t="str">
        <f t="shared" si="33"/>
        <v>NAME_ITEM_ADRENALINEORB</v>
      </c>
      <c r="B523" s="3" t="s">
        <v>26241</v>
      </c>
      <c r="C523" s="3" t="s">
        <v>26242</v>
      </c>
      <c r="D523" s="3" t="s">
        <v>26243</v>
      </c>
      <c r="E523" s="3" t="s">
        <v>26244</v>
      </c>
      <c r="F523" s="3" t="s">
        <v>26245</v>
      </c>
      <c r="G523" s="3" t="s">
        <v>26246</v>
      </c>
      <c r="H523" s="3" t="s">
        <v>26247</v>
      </c>
      <c r="I523" s="3" t="s">
        <v>26248</v>
      </c>
      <c r="J523" s="5" t="str">
        <f>IFERROR(__xludf.DUMMYFUNCTION("GOOGLETRANSLATE(I523,""zh_HANT"",""zh_HANS"")"),"胆怯球")</f>
        <v>胆怯球</v>
      </c>
    </row>
    <row r="524">
      <c r="A524" s="5" t="str">
        <f t="shared" si="33"/>
        <v>NAME_ITEM_TERRAINEXTENDER</v>
      </c>
      <c r="B524" s="3" t="s">
        <v>26249</v>
      </c>
      <c r="C524" s="3" t="s">
        <v>26250</v>
      </c>
      <c r="D524" s="3" t="s">
        <v>26251</v>
      </c>
      <c r="E524" s="3" t="s">
        <v>26252</v>
      </c>
      <c r="F524" s="3" t="s">
        <v>26253</v>
      </c>
      <c r="G524" s="3" t="s">
        <v>26254</v>
      </c>
      <c r="H524" s="3" t="s">
        <v>26255</v>
      </c>
      <c r="I524" s="3" t="s">
        <v>26256</v>
      </c>
      <c r="J524" s="5" t="str">
        <f>I524</f>
        <v>大地膜</v>
      </c>
    </row>
    <row r="525">
      <c r="A525" s="5" t="str">
        <f t="shared" si="33"/>
        <v>NAME_ITEM_PROTECTIVEPADS</v>
      </c>
      <c r="B525" s="3" t="s">
        <v>26257</v>
      </c>
      <c r="C525" s="3" t="s">
        <v>26258</v>
      </c>
      <c r="D525" s="3" t="s">
        <v>26259</v>
      </c>
      <c r="E525" s="3" t="s">
        <v>26260</v>
      </c>
      <c r="F525" s="3" t="s">
        <v>26261</v>
      </c>
      <c r="G525" s="3" t="s">
        <v>26262</v>
      </c>
      <c r="H525" s="3" t="s">
        <v>26263</v>
      </c>
      <c r="I525" s="3" t="s">
        <v>26264</v>
      </c>
      <c r="J525" s="5" t="str">
        <f>IFERROR(__xludf.DUMMYFUNCTION("GOOGLETRANSLATE(I525,""zh_HANT"",""zh_HANS"")"),"部位护具")</f>
        <v>部位护具</v>
      </c>
    </row>
    <row r="526">
      <c r="A526" s="5" t="str">
        <f t="shared" si="33"/>
        <v>NAME_ITEM_ELECTRICSEED</v>
      </c>
      <c r="B526" s="3" t="s">
        <v>26265</v>
      </c>
      <c r="C526" s="3" t="s">
        <v>26266</v>
      </c>
      <c r="D526" s="3" t="s">
        <v>26267</v>
      </c>
      <c r="E526" s="3" t="s">
        <v>26268</v>
      </c>
      <c r="F526" s="3" t="s">
        <v>26269</v>
      </c>
      <c r="G526" s="3" t="s">
        <v>26270</v>
      </c>
      <c r="H526" s="3" t="s">
        <v>26271</v>
      </c>
      <c r="I526" s="3" t="s">
        <v>26272</v>
      </c>
      <c r="J526" s="5" t="str">
        <f>IFERROR(__xludf.DUMMYFUNCTION("GOOGLETRANSLATE(I526,""zh_HANT"",""zh_HANS"")"),"电气种子")</f>
        <v>电气种子</v>
      </c>
    </row>
    <row r="527">
      <c r="A527" s="5" t="str">
        <f t="shared" si="33"/>
        <v>NAME_ITEM_PSYCHICSEED</v>
      </c>
      <c r="B527" s="3" t="s">
        <v>26273</v>
      </c>
      <c r="C527" s="3" t="s">
        <v>26274</v>
      </c>
      <c r="D527" s="3" t="s">
        <v>26275</v>
      </c>
      <c r="E527" s="3" t="s">
        <v>26276</v>
      </c>
      <c r="F527" s="3" t="s">
        <v>26277</v>
      </c>
      <c r="G527" s="3" t="s">
        <v>26278</v>
      </c>
      <c r="H527" s="3" t="s">
        <v>26279</v>
      </c>
      <c r="I527" s="3" t="s">
        <v>26280</v>
      </c>
      <c r="J527" s="5" t="str">
        <f>IFERROR(__xludf.DUMMYFUNCTION("GOOGLETRANSLATE(I527,""zh_HANT"",""zh_HANS"")"),"精神种子")</f>
        <v>精神种子</v>
      </c>
    </row>
    <row r="528">
      <c r="A528" s="5" t="str">
        <f t="shared" si="33"/>
        <v>NAME_ITEM_MISTYSEED</v>
      </c>
      <c r="B528" s="3" t="s">
        <v>26281</v>
      </c>
      <c r="C528" s="3" t="s">
        <v>26282</v>
      </c>
      <c r="D528" s="3" t="s">
        <v>26283</v>
      </c>
      <c r="E528" s="3" t="s">
        <v>26284</v>
      </c>
      <c r="F528" s="3" t="s">
        <v>26285</v>
      </c>
      <c r="G528" s="3" t="s">
        <v>26286</v>
      </c>
      <c r="H528" s="3" t="s">
        <v>26287</v>
      </c>
      <c r="I528" s="3" t="s">
        <v>26288</v>
      </c>
      <c r="J528" s="5" t="str">
        <f>IFERROR(__xludf.DUMMYFUNCTION("GOOGLETRANSLATE(I528,""zh_HANT"",""zh_HANS"")"),"薄雾种子")</f>
        <v>薄雾种子</v>
      </c>
    </row>
    <row r="529">
      <c r="A529" s="5" t="str">
        <f t="shared" si="33"/>
        <v>NAME_ITEM_GRASSYSEED</v>
      </c>
      <c r="B529" s="3" t="s">
        <v>26289</v>
      </c>
      <c r="C529" s="3" t="s">
        <v>26290</v>
      </c>
      <c r="D529" s="3" t="s">
        <v>26291</v>
      </c>
      <c r="E529" s="3" t="s">
        <v>26292</v>
      </c>
      <c r="F529" s="3" t="s">
        <v>26293</v>
      </c>
      <c r="G529" s="3" t="s">
        <v>26294</v>
      </c>
      <c r="H529" s="3" t="s">
        <v>26295</v>
      </c>
      <c r="I529" s="3" t="s">
        <v>26296</v>
      </c>
      <c r="J529" s="5" t="str">
        <f>IFERROR(__xludf.DUMMYFUNCTION("GOOGLETRANSLATE(I529,""zh_HANT"",""zh_HANS"")"),"青草种子")</f>
        <v>青草种子</v>
      </c>
    </row>
    <row r="530">
      <c r="A530" s="5" t="str">
        <f t="shared" si="33"/>
        <v>NAME_ITEM_FIGHTINGMEMORY</v>
      </c>
      <c r="B530" s="5" t="str">
        <f>CONCATENATE(Types!B3, " Memory")</f>
        <v>Fighting Memory</v>
      </c>
      <c r="C530" s="3" t="s">
        <v>26297</v>
      </c>
      <c r="D530" s="5" t="str">
        <f>CONCATENATE("ROM ",Types!D3)</f>
        <v>ROM Combat</v>
      </c>
      <c r="E530" s="5" t="str">
        <f>CONCATENATE(Types!E3, "-Disc")</f>
        <v>Kampf-Disc</v>
      </c>
      <c r="F530" s="5" t="str">
        <f>CONCATENATE("Disco ",Types!F3)</f>
        <v>Disco Lucha</v>
      </c>
      <c r="G530" s="5" t="str">
        <f>CONCATENATE("ROM ",Types!G3)</f>
        <v>ROM Lotta</v>
      </c>
      <c r="H530" s="3" t="s">
        <v>26298</v>
      </c>
      <c r="I530" s="5" t="str">
        <f>IFERROR(__xludf.DUMMYFUNCTION("GOOGLETRANSLATE(J530,""zh_HANS"",""zh_HANT"")"),"格鬥儲存碟")</f>
        <v>格鬥儲存碟</v>
      </c>
      <c r="J530" s="5" t="str">
        <f>CONCATENATE(Types!J3, "存储碟")</f>
        <v>格斗存储碟</v>
      </c>
    </row>
    <row r="531">
      <c r="A531" s="5" t="str">
        <f t="shared" si="33"/>
        <v>NAME_ITEM_FLYINGMEMORY</v>
      </c>
      <c r="B531" s="5" t="str">
        <f>CONCATENATE(Types!B4, " Memory")</f>
        <v>Flying Memory</v>
      </c>
      <c r="C531" s="3" t="s">
        <v>26299</v>
      </c>
      <c r="D531" s="5" t="str">
        <f>CONCATENATE("ROM ",Types!D4)</f>
        <v>ROM Vol</v>
      </c>
      <c r="E531" s="5" t="str">
        <f>CONCATENATE(Types!E4, "-Disc")</f>
        <v>Flug-Disc</v>
      </c>
      <c r="F531" s="5" t="str">
        <f>CONCATENATE("Disco ",Types!F4)</f>
        <v>Disco Volador</v>
      </c>
      <c r="G531" s="5" t="str">
        <f>CONCATENATE("ROM ",Types!G4)</f>
        <v>ROM Volante</v>
      </c>
      <c r="H531" s="3" t="s">
        <v>26300</v>
      </c>
      <c r="I531" s="5" t="str">
        <f>IFERROR(__xludf.DUMMYFUNCTION("GOOGLETRANSLATE(J531,""zh_HANS"",""zh_HANT"")"),"飛行收納碟")</f>
        <v>飛行收納碟</v>
      </c>
      <c r="J531" s="3" t="s">
        <v>26301</v>
      </c>
    </row>
    <row r="532">
      <c r="A532" s="5" t="str">
        <f t="shared" si="33"/>
        <v>NAME_ITEM_POISONMEMORY</v>
      </c>
      <c r="B532" s="5" t="str">
        <f>CONCATENATE(Types!B5, " Memory")</f>
        <v>Poison Memory</v>
      </c>
      <c r="C532" s="3" t="s">
        <v>26302</v>
      </c>
      <c r="D532" s="5" t="str">
        <f>CONCATENATE("ROM ",Types!D5)</f>
        <v>ROM Poison</v>
      </c>
      <c r="E532" s="5" t="str">
        <f>CONCATENATE(Types!E5, "-Disc")</f>
        <v>Gift-Disc</v>
      </c>
      <c r="F532" s="5" t="str">
        <f>CONCATENATE("Disco ",Types!F5)</f>
        <v>Disco Veneno</v>
      </c>
      <c r="G532" s="5" t="str">
        <f>CONCATENATE("ROM ",Types!G5)</f>
        <v>ROM Veleno</v>
      </c>
      <c r="H532" s="3" t="s">
        <v>26303</v>
      </c>
      <c r="I532" s="5" t="str">
        <f>IFERROR(__xludf.DUMMYFUNCTION("GOOGLETRANSLATE(J532,""zh_HANS"",""zh_HANT"")"),"毒儲存碟")</f>
        <v>毒儲存碟</v>
      </c>
      <c r="J532" s="5" t="str">
        <f>CONCATENATE(Types!J5, "存储碟")</f>
        <v>毒存储碟</v>
      </c>
    </row>
    <row r="533">
      <c r="A533" s="5" t="str">
        <f t="shared" si="33"/>
        <v>NAME_ITEM_GROUNDMEMORY</v>
      </c>
      <c r="B533" s="5" t="str">
        <f>CONCATENATE(Types!B6, " Memory")</f>
        <v>Ground Memory</v>
      </c>
      <c r="C533" s="3" t="s">
        <v>26304</v>
      </c>
      <c r="D533" s="5" t="str">
        <f>CONCATENATE("ROM ",Types!D6)</f>
        <v>ROM Sol</v>
      </c>
      <c r="E533" s="5" t="str">
        <f>CONCATENATE(Types!E6, "-Disc")</f>
        <v>Boden-Disc</v>
      </c>
      <c r="F533" s="5" t="str">
        <f>CONCATENATE("Disco ",Types!F6)</f>
        <v>Disco Tierra</v>
      </c>
      <c r="G533" s="5" t="str">
        <f>CONCATENATE("ROM ",Types!G6)</f>
        <v>ROM Terra</v>
      </c>
      <c r="H533" s="3" t="s">
        <v>26305</v>
      </c>
      <c r="I533" s="5" t="str">
        <f>IFERROR(__xludf.DUMMYFUNCTION("GOOGLETRANSLATE(J533,""zh_HANS"",""zh_HANT"")"),"大地儲存碟")</f>
        <v>大地儲存碟</v>
      </c>
      <c r="J533" s="3" t="s">
        <v>26306</v>
      </c>
    </row>
    <row r="534">
      <c r="A534" s="5" t="str">
        <f t="shared" si="33"/>
        <v>NAME_ITEM_ROCKMEMORY</v>
      </c>
      <c r="B534" s="5" t="str">
        <f>CONCATENATE(Types!B7, " Memory")</f>
        <v>Rock Memory</v>
      </c>
      <c r="C534" s="3" t="s">
        <v>26307</v>
      </c>
      <c r="D534" s="5" t="str">
        <f>CONCATENATE("ROM ",Types!D7)</f>
        <v>ROM Roche</v>
      </c>
      <c r="E534" s="5" t="str">
        <f>CONCATENATE(Types!E7, "-Disc")</f>
        <v>Gestein-Disc</v>
      </c>
      <c r="F534" s="5" t="str">
        <f>CONCATENATE("Disco ",Types!F7)</f>
        <v>Disco Roca</v>
      </c>
      <c r="G534" s="5" t="str">
        <f>CONCATENATE("ROM ",Types!G7)</f>
        <v>ROM Roccia</v>
      </c>
      <c r="H534" s="3" t="s">
        <v>26308</v>
      </c>
      <c r="I534" s="5" t="str">
        <f>IFERROR(__xludf.DUMMYFUNCTION("GOOGLETRANSLATE(J534,""zh_HANS"",""zh_HANT"")"),"岩石儲存碟")</f>
        <v>岩石儲存碟</v>
      </c>
      <c r="J534" s="5" t="str">
        <f>CONCATENATE(Types!J7, "存储碟")</f>
        <v>岩石存储碟</v>
      </c>
    </row>
    <row r="535">
      <c r="A535" s="5" t="str">
        <f t="shared" si="33"/>
        <v>NAME_ITEM_BUGMEMORY</v>
      </c>
      <c r="B535" s="5" t="str">
        <f>CONCATENATE(Types!B8, " Memory")</f>
        <v>Bug Memory</v>
      </c>
      <c r="C535" s="3" t="s">
        <v>26309</v>
      </c>
      <c r="D535" s="5" t="str">
        <f>CONCATENATE("ROM ",Types!D8)</f>
        <v>ROM Insecte</v>
      </c>
      <c r="E535" s="5" t="str">
        <f>CONCATENATE(Types!E8, "-Disc")</f>
        <v>Käfer-Disc</v>
      </c>
      <c r="F535" s="5" t="str">
        <f>CONCATENATE("Disco ",Types!F8)</f>
        <v>Disco Bicho</v>
      </c>
      <c r="G535" s="5" t="str">
        <f>CONCATENATE("ROM ",Types!G8)</f>
        <v>ROM Coleottero</v>
      </c>
      <c r="H535" s="3" t="s">
        <v>26310</v>
      </c>
      <c r="I535" s="5" t="str">
        <f>IFERROR(__xludf.DUMMYFUNCTION("GOOGLETRANSLATE(J535,""zh_HANS"",""zh_HANT"")"),"蟲子儲存碟")</f>
        <v>蟲子儲存碟</v>
      </c>
      <c r="J535" s="3" t="s">
        <v>26311</v>
      </c>
    </row>
    <row r="536">
      <c r="A536" s="5" t="str">
        <f t="shared" si="33"/>
        <v>NAME_ITEM_GHOSTMEMORY</v>
      </c>
      <c r="B536" s="5" t="str">
        <f>CONCATENATE(Types!B9, " Memory")</f>
        <v>Ghost Memory</v>
      </c>
      <c r="C536" s="3" t="s">
        <v>26312</v>
      </c>
      <c r="D536" s="5" t="str">
        <f>CONCATENATE("ROM ",Types!D9)</f>
        <v>ROM Spectre</v>
      </c>
      <c r="E536" s="5" t="str">
        <f>CONCATENATE(Types!E9, "-Disc")</f>
        <v>Geist-Disc</v>
      </c>
      <c r="F536" s="5" t="str">
        <f>CONCATENATE("Disco ",Types!F9)</f>
        <v>Disco Fantasma</v>
      </c>
      <c r="G536" s="5" t="str">
        <f>CONCATENATE("ROM ",Types!G9)</f>
        <v>ROM Spettro</v>
      </c>
      <c r="H536" s="5" t="str">
        <f>CONCATENATE(Types!H9,"메모리")</f>
        <v>고스트메모리</v>
      </c>
      <c r="I536" s="5" t="str">
        <f>IFERROR(__xludf.DUMMYFUNCTION("GOOGLETRANSLATE(J536,""zh_HANS"",""zh_HANT"")"),"幽靈儲存碟")</f>
        <v>幽靈儲存碟</v>
      </c>
      <c r="J536" s="5" t="str">
        <f>CONCATENATE(Types!J9, "存储碟")</f>
        <v>幽灵存储碟</v>
      </c>
    </row>
    <row r="537">
      <c r="A537" s="5" t="str">
        <f t="shared" si="33"/>
        <v>NAME_ITEM_STEELMEMORY</v>
      </c>
      <c r="B537" s="5" t="str">
        <f>CONCATENATE(Types!B10, " Memory")</f>
        <v>Steel Memory</v>
      </c>
      <c r="C537" s="3" t="s">
        <v>26313</v>
      </c>
      <c r="D537" s="5" t="str">
        <f>CONCATENATE("ROM ",Types!D10)</f>
        <v>ROM Acier</v>
      </c>
      <c r="E537" s="5" t="str">
        <f>CONCATENATE(Types!E10, "-Disc")</f>
        <v>Stahl-Disc</v>
      </c>
      <c r="F537" s="5" t="str">
        <f>CONCATENATE("Disco ",Types!F10)</f>
        <v>Disco Acero</v>
      </c>
      <c r="G537" s="5" t="str">
        <f>CONCATENATE("ROM ",Types!G10)</f>
        <v>ROM Acciaio</v>
      </c>
      <c r="H537" s="3" t="s">
        <v>26314</v>
      </c>
      <c r="I537" s="5" t="str">
        <f>IFERROR(__xludf.DUMMYFUNCTION("GOOGLETRANSLATE(J537,""zh_HANS"",""zh_HANT"")"),"鋼鐵儲存碟")</f>
        <v>鋼鐵儲存碟</v>
      </c>
      <c r="J537" s="3" t="s">
        <v>26315</v>
      </c>
    </row>
    <row r="538">
      <c r="A538" s="5" t="str">
        <f t="shared" si="33"/>
        <v>NAME_ITEM_FIREMEMORY</v>
      </c>
      <c r="B538" s="5" t="str">
        <f>CONCATENATE(Types!B11, " Memory")</f>
        <v>Fire Memory</v>
      </c>
      <c r="C538" s="3" t="s">
        <v>26316</v>
      </c>
      <c r="D538" s="5" t="str">
        <f>CONCATENATE("ROM ",Types!D11)</f>
        <v>ROM Feu</v>
      </c>
      <c r="E538" s="5" t="str">
        <f>CONCATENATE(Types!E11, "-Disc")</f>
        <v>Feuer-Disc</v>
      </c>
      <c r="F538" s="5" t="str">
        <f>CONCATENATE("Disco ",Types!F11)</f>
        <v>Disco Fuego</v>
      </c>
      <c r="G538" s="5" t="str">
        <f>CONCATENATE("ROM ",Types!G11)</f>
        <v>ROM Fuoco</v>
      </c>
      <c r="H538" s="3" t="s">
        <v>26317</v>
      </c>
      <c r="I538" s="5" t="str">
        <f>IFERROR(__xludf.DUMMYFUNCTION("GOOGLETRANSLATE(J538,""zh_HANS"",""zh_HANT"")"),"火焰儲存碟")</f>
        <v>火焰儲存碟</v>
      </c>
      <c r="J538" s="3" t="s">
        <v>26318</v>
      </c>
    </row>
    <row r="539">
      <c r="A539" s="5" t="str">
        <f t="shared" si="33"/>
        <v>NAME_ITEM_WATERMEMORY</v>
      </c>
      <c r="B539" s="5" t="str">
        <f>CONCATENATE(Types!B12, " Memory")</f>
        <v>Water Memory</v>
      </c>
      <c r="C539" s="3" t="s">
        <v>26319</v>
      </c>
      <c r="D539" s="5" t="str">
        <f>CONCATENATE("ROM ",Types!D12)</f>
        <v>ROM Eau</v>
      </c>
      <c r="E539" s="5" t="str">
        <f>CONCATENATE(Types!E12, "-Disc")</f>
        <v>Wasser-Disc</v>
      </c>
      <c r="F539" s="5" t="str">
        <f>CONCATENATE("Disco ",Types!F12)</f>
        <v>Disco Agua</v>
      </c>
      <c r="G539" s="5" t="str">
        <f>CONCATENATE("ROM ",Types!G12)</f>
        <v>ROM Acqua</v>
      </c>
      <c r="H539" s="3" t="s">
        <v>26320</v>
      </c>
      <c r="I539" s="5" t="str">
        <f>IFERROR(__xludf.DUMMYFUNCTION("GOOGLETRANSLATE(J539,""zh_HANS"",""zh_HANT"")"),"清水儲存碟")</f>
        <v>清水儲存碟</v>
      </c>
      <c r="J539" s="5" t="str">
        <f>CONCATENATE("清",Types!J12, "存储碟")</f>
        <v>清水存储碟</v>
      </c>
    </row>
    <row r="540">
      <c r="A540" s="5" t="str">
        <f t="shared" si="33"/>
        <v>NAME_ITEM_GRASSMEMORY</v>
      </c>
      <c r="B540" s="5" t="str">
        <f>CONCATENATE(Types!B13, " Memory")</f>
        <v>Grass Memory</v>
      </c>
      <c r="C540" s="3" t="s">
        <v>26321</v>
      </c>
      <c r="D540" s="5" t="str">
        <f>CONCATENATE("ROM ",Types!D13)</f>
        <v>ROM Plante</v>
      </c>
      <c r="E540" s="5" t="str">
        <f>CONCATENATE(Types!E13, "-Disc")</f>
        <v>Pflanze-Disc</v>
      </c>
      <c r="F540" s="5" t="str">
        <f>CONCATENATE("Disco ",Types!F13)</f>
        <v>Disco Planta</v>
      </c>
      <c r="G540" s="5" t="str">
        <f>CONCATENATE("ROM ",Types!G13)</f>
        <v>ROM Erba</v>
      </c>
      <c r="H540" s="3" t="s">
        <v>26322</v>
      </c>
      <c r="I540" s="5" t="str">
        <f>IFERROR(__xludf.DUMMYFUNCTION("GOOGLETRANSLATE(J540,""zh_HANS"",""zh_HANT"")"),"青草儲存碟")</f>
        <v>青草儲存碟</v>
      </c>
      <c r="J540" s="5" t="str">
        <f>CONCATENATE("青",Types!J13, "存储碟")</f>
        <v>青草存储碟</v>
      </c>
    </row>
    <row r="541">
      <c r="A541" s="5" t="str">
        <f t="shared" si="33"/>
        <v>NAME_ITEM_ELECTRICMEMORY</v>
      </c>
      <c r="B541" s="5" t="str">
        <f>CONCATENATE(Types!B14, " Memory")</f>
        <v>Electric Memory</v>
      </c>
      <c r="C541" s="3" t="s">
        <v>26323</v>
      </c>
      <c r="D541" s="5" t="str">
        <f>CONCATENATE("ROM ",Types!D14)</f>
        <v>ROM Électrik</v>
      </c>
      <c r="E541" s="5" t="str">
        <f>CONCATENATE(Types!E14, "-Disc")</f>
        <v>Elektro-Disc</v>
      </c>
      <c r="F541" s="5" t="str">
        <f>CONCATENATE("Disco ",Types!F14)</f>
        <v>Disco Eléctrico</v>
      </c>
      <c r="G541" s="5" t="str">
        <f>CONCATENATE("ROM ",Types!G14)</f>
        <v>ROM Elettro</v>
      </c>
      <c r="H541" s="3" t="s">
        <v>26324</v>
      </c>
      <c r="I541" s="5" t="str">
        <f>IFERROR(__xludf.DUMMYFUNCTION("GOOGLETRANSLATE(J541,""zh_HANS"",""zh_HANT"")"),"電子儲存碟")</f>
        <v>電子儲存碟</v>
      </c>
      <c r="J541" s="5" t="str">
        <f>CONCATENATE(Types!J14, "子存储碟")</f>
        <v>电子存储碟</v>
      </c>
    </row>
    <row r="542">
      <c r="A542" s="5" t="str">
        <f t="shared" si="33"/>
        <v>NAME_ITEM_PSYCHICMEMORY</v>
      </c>
      <c r="B542" s="5" t="str">
        <f>CONCATENATE(Types!B15, " Memory")</f>
        <v>Psychic Memory</v>
      </c>
      <c r="C542" s="3" t="s">
        <v>26325</v>
      </c>
      <c r="D542" s="5" t="str">
        <f>CONCATENATE("ROM ",Types!D15)</f>
        <v>ROM Psy</v>
      </c>
      <c r="E542" s="5" t="str">
        <f>CONCATENATE(Types!E15, "-Disc")</f>
        <v>Psyscho-Disc</v>
      </c>
      <c r="F542" s="5" t="str">
        <f>CONCATENATE("Disco ",Types!F15)</f>
        <v>Disco Psíquico</v>
      </c>
      <c r="G542" s="5" t="str">
        <f>CONCATENATE("ROM ",Types!G15)</f>
        <v>ROM Psico</v>
      </c>
      <c r="H542" s="3" t="s">
        <v>26326</v>
      </c>
      <c r="I542" s="5" t="str">
        <f>IFERROR(__xludf.DUMMYFUNCTION("GOOGLETRANSLATE(J542,""zh_HANS"",""zh_HANT"")"),"精神儲存碟")</f>
        <v>精神儲存碟</v>
      </c>
      <c r="J542" s="3" t="s">
        <v>26327</v>
      </c>
    </row>
    <row r="543">
      <c r="A543" s="5" t="str">
        <f t="shared" si="33"/>
        <v>NAME_ITEM_ICEMEMORY</v>
      </c>
      <c r="B543" s="5" t="str">
        <f>CONCATENATE(Types!B16, " Memory")</f>
        <v>Ice Memory</v>
      </c>
      <c r="C543" s="3" t="s">
        <v>26328</v>
      </c>
      <c r="D543" s="5" t="str">
        <f>CONCATENATE("ROM ",Types!D16)</f>
        <v>ROM Glace</v>
      </c>
      <c r="E543" s="5" t="str">
        <f>CONCATENATE(Types!E16, "-Disc")</f>
        <v>Eis-Disc</v>
      </c>
      <c r="F543" s="5" t="str">
        <f>CONCATENATE("Disco ",Types!F16)</f>
        <v>Disco Hielo</v>
      </c>
      <c r="G543" s="5" t="str">
        <f>CONCATENATE("ROM ",Types!G16)</f>
        <v>ROM Ghiaccio</v>
      </c>
      <c r="H543" s="3" t="s">
        <v>26329</v>
      </c>
      <c r="I543" s="5" t="str">
        <f>IFERROR(__xludf.DUMMYFUNCTION("GOOGLETRANSLATE(J543,""zh_HANS"",""zh_HANT"")"),"冰雪儲存碟")</f>
        <v>冰雪儲存碟</v>
      </c>
      <c r="J543" s="5" t="str">
        <f>CONCATENATE(Types!J16, "雪存储碟")</f>
        <v>冰雪存储碟</v>
      </c>
    </row>
    <row r="544">
      <c r="A544" s="5" t="str">
        <f t="shared" si="33"/>
        <v>NAME_ITEM_DRAGONMEMORY</v>
      </c>
      <c r="B544" s="5" t="str">
        <f>CONCATENATE(Types!B17, " Memory")</f>
        <v>Dragon Memory</v>
      </c>
      <c r="C544" s="3" t="s">
        <v>26330</v>
      </c>
      <c r="D544" s="5" t="str">
        <f>CONCATENATE("ROM ",Types!D17)</f>
        <v>ROM Dragon</v>
      </c>
      <c r="E544" s="5" t="str">
        <f>CONCATENATE(Types!E17, "-Disc")</f>
        <v>Drache-Disc</v>
      </c>
      <c r="F544" s="5" t="str">
        <f>CONCATENATE("Disco ",Types!F17)</f>
        <v>Disco Dragón</v>
      </c>
      <c r="G544" s="5" t="str">
        <f>CONCATENATE("ROM ",Types!G17)</f>
        <v>ROM Drago</v>
      </c>
      <c r="H544" s="5" t="str">
        <f>CONCATENATE(Types!H17,"메모리")</f>
        <v>드개곤메모리</v>
      </c>
      <c r="I544" s="5" t="str">
        <f>IFERROR(__xludf.DUMMYFUNCTION("GOOGLETRANSLATE(J544,""zh_HANS"",""zh_HANT"")"),"龍儲存碟")</f>
        <v>龍儲存碟</v>
      </c>
      <c r="J544" s="5" t="str">
        <f>CONCATENATE(Types!J17, "存储碟")</f>
        <v>龙存储碟</v>
      </c>
    </row>
    <row r="545">
      <c r="A545" s="5" t="str">
        <f t="shared" si="33"/>
        <v>NAME_ITEM_DARKMEMORY</v>
      </c>
      <c r="B545" s="5" t="str">
        <f>CONCATENATE(Types!B18, " Memory")</f>
        <v>Dark Memory</v>
      </c>
      <c r="C545" s="3" t="s">
        <v>26331</v>
      </c>
      <c r="D545" s="5" t="str">
        <f>CONCATENATE("ROM ",Types!D18)</f>
        <v>ROM Ténèbres</v>
      </c>
      <c r="E545" s="5" t="str">
        <f>CONCATENATE(Types!E18, "-Disc")</f>
        <v>Unlicht-Disc</v>
      </c>
      <c r="F545" s="5" t="str">
        <f>CONCATENATE("Disco ",Types!F18)</f>
        <v>Disco Siniestro</v>
      </c>
      <c r="G545" s="5" t="str">
        <f>CONCATENATE("ROM ",Types!G18)</f>
        <v>ROM Buio</v>
      </c>
      <c r="H545" s="3" t="s">
        <v>26332</v>
      </c>
      <c r="I545" s="5" t="str">
        <f>IFERROR(__xludf.DUMMYFUNCTION("GOOGLETRANSLATE(J545,""zh_HANS"",""zh_HANT"")"),"黑暗儲存碟")</f>
        <v>黑暗儲存碟</v>
      </c>
      <c r="J545" s="3" t="s">
        <v>26333</v>
      </c>
    </row>
    <row r="546">
      <c r="A546" s="5" t="str">
        <f t="shared" si="33"/>
        <v>NAME_ITEM_FAIRYMEMORY</v>
      </c>
      <c r="B546" s="5" t="str">
        <f>CONCATENATE(Types!B19, " Memory")</f>
        <v>Fairy Memory</v>
      </c>
      <c r="C546" s="3" t="s">
        <v>26334</v>
      </c>
      <c r="D546" s="5" t="str">
        <f>CONCATENATE("ROM ",Types!D19)</f>
        <v>ROM Fée</v>
      </c>
      <c r="E546" s="5" t="str">
        <f>CONCATENATE(Types!E19, "-Disc")</f>
        <v>Fee-Disc</v>
      </c>
      <c r="F546" s="5" t="str">
        <f>CONCATENATE("Disco ",Types!F19)</f>
        <v>Disco Hada</v>
      </c>
      <c r="G546" s="5" t="str">
        <f>CONCATENATE("ROM ",Types!G19)</f>
        <v>ROM Folletto</v>
      </c>
      <c r="H546" s="5" t="str">
        <f>CONCATENATE(Types!H19,"메모리")</f>
        <v>페어리메모리</v>
      </c>
      <c r="I546" s="5" t="str">
        <f>IFERROR(__xludf.DUMMYFUNCTION("GOOGLETRANSLATE(J546,""zh_HANS"",""zh_HANT"")"),"妖精收納碟")</f>
        <v>妖精收納碟</v>
      </c>
      <c r="J546" s="5" t="str">
        <f>CONCATENATE(Types!J19, "存储碟")</f>
        <v>妖精存储碟</v>
      </c>
    </row>
    <row r="547">
      <c r="A547" s="5" t="str">
        <f t="shared" si="33"/>
        <v>NAME_ITEM_SOLGANIUMZ</v>
      </c>
      <c r="B547" s="3" t="s">
        <v>26335</v>
      </c>
      <c r="C547" s="5" t="str">
        <f>CONCATENATE(Pokemon!C792,"Ｚ")</f>
        <v>ソルガレオＺ</v>
      </c>
      <c r="D547" s="3" t="s">
        <v>26336</v>
      </c>
      <c r="E547" s="3" t="s">
        <v>26337</v>
      </c>
      <c r="F547" s="3" t="s">
        <v>26338</v>
      </c>
      <c r="G547" s="3" t="s">
        <v>26339</v>
      </c>
      <c r="H547" s="5" t="str">
        <f>CONCATENATE(Pokemon!H792,"Ｚ")</f>
        <v>솔가레오Ｚ</v>
      </c>
      <c r="I547" s="5" t="str">
        <f>CONCATENATE(Pokemon!I792,"Ｚ")</f>
        <v>索爾迦雷歐Ｚ</v>
      </c>
      <c r="J547" s="5" t="str">
        <f>CONCATENATE(Pokemon!J792,"Ｚ")</f>
        <v>索尔迦雷欧Ｚ</v>
      </c>
    </row>
    <row r="548">
      <c r="A548" s="5" t="str">
        <f t="shared" si="33"/>
        <v>NAME_ITEM_LUNALIUMZ</v>
      </c>
      <c r="B548" s="3" t="s">
        <v>26340</v>
      </c>
      <c r="C548" s="5" t="str">
        <f>CONCATENATE(Pokemon!C793,"Ｚ")</f>
        <v>ルナアーラＺ</v>
      </c>
      <c r="D548" s="3" t="s">
        <v>26341</v>
      </c>
      <c r="E548" s="5" t="str">
        <f t="shared" ref="E548:E549" si="50">B548</f>
        <v>Lunalium Z</v>
      </c>
      <c r="F548" s="3" t="s">
        <v>26342</v>
      </c>
      <c r="G548" s="5" t="str">
        <f t="shared" ref="G548:G549" si="51">B548</f>
        <v>Lunalium Z</v>
      </c>
      <c r="H548" s="5" t="str">
        <f>CONCATENATE(Pokemon!H793,"Ｚ")</f>
        <v>루나아라Ｚ</v>
      </c>
      <c r="I548" s="5" t="str">
        <f>CONCATENATE(Pokemon!I793,"Ｚ")</f>
        <v>露奈雅拉Ｚ</v>
      </c>
      <c r="J548" s="5" t="str">
        <f>CONCATENATE(Pokemon!J793,"Ｚ")</f>
        <v>露奈雅拉Ｚ</v>
      </c>
    </row>
    <row r="549">
      <c r="A549" s="5" t="str">
        <f t="shared" si="33"/>
        <v>NAME_ITEM_ULTRANECROZIUMZ</v>
      </c>
      <c r="B549" s="3" t="s">
        <v>26343</v>
      </c>
      <c r="C549" s="5" t="str">
        <f>CONCATENATE(Pokemon!C180,"Ｚ")</f>
        <v>メリープＺ</v>
      </c>
      <c r="D549" s="3" t="s">
        <v>26344</v>
      </c>
      <c r="E549" s="5" t="str">
        <f t="shared" si="50"/>
        <v>Ultranecrozium Z</v>
      </c>
      <c r="F549" s="3" t="s">
        <v>26345</v>
      </c>
      <c r="G549" s="5" t="str">
        <f t="shared" si="51"/>
        <v>Ultranecrozium Z</v>
      </c>
      <c r="H549" s="3" t="s">
        <v>26346</v>
      </c>
      <c r="I549" s="5" t="str">
        <f>IFERROR(__xludf.DUMMYFUNCTION("GOOGLETRANSLATE(J549,""zh_HANS"",""zh_HANT"")"),"極奈克洛Ｚ")</f>
        <v>極奈克洛Ｚ</v>
      </c>
      <c r="J549" s="3" t="s">
        <v>26347</v>
      </c>
    </row>
    <row r="550">
      <c r="A550" s="5" t="str">
        <f t="shared" si="33"/>
        <v>NAME_ITEM_MIMIKIUMZ</v>
      </c>
      <c r="B550" s="3" t="s">
        <v>26348</v>
      </c>
      <c r="C550" s="5" t="str">
        <f>CONCATENATE(Pokemon!C779,"Ｚ")</f>
        <v>ミミッキュＺ</v>
      </c>
      <c r="D550" s="3" t="s">
        <v>26349</v>
      </c>
      <c r="E550" s="3" t="s">
        <v>26350</v>
      </c>
      <c r="F550" s="3" t="s">
        <v>26351</v>
      </c>
      <c r="G550" s="3" t="s">
        <v>26352</v>
      </c>
      <c r="H550" s="5" t="str">
        <f>CONCATENATE(Pokemon!H779,"Ｚ")</f>
        <v>따라큐Ｚ</v>
      </c>
      <c r="I550" s="5" t="str">
        <f>CONCATENATE(Pokemon!I779,"Ｚ")</f>
        <v>謎擬ＱＺ</v>
      </c>
      <c r="J550" s="5" t="str">
        <f>CONCATENATE(Pokemon!J779,"Ｚ")</f>
        <v>谜拟丘Ｚ</v>
      </c>
    </row>
    <row r="551">
      <c r="A551" s="5" t="str">
        <f t="shared" si="33"/>
        <v>NAME_ITEM_LYCANIUMZ</v>
      </c>
      <c r="B551" s="3" t="s">
        <v>26353</v>
      </c>
      <c r="C551" s="5" t="str">
        <f>CONCATENATE(Pokemon!C746,"Ｚ")</f>
        <v>ルガルガンＺ</v>
      </c>
      <c r="D551" s="3" t="s">
        <v>26354</v>
      </c>
      <c r="E551" s="3" t="s">
        <v>26355</v>
      </c>
      <c r="F551" s="3" t="s">
        <v>26356</v>
      </c>
      <c r="G551" s="3" t="s">
        <v>26357</v>
      </c>
      <c r="H551" s="5" t="str">
        <f>CONCATENATE(Pokemon!H746,"Ｚ")</f>
        <v>루가루암Ｚ</v>
      </c>
      <c r="I551" s="5" t="str">
        <f>CONCATENATE(Pokemon!I746,"Ｚ")</f>
        <v>鬃岩狼人Ｚ</v>
      </c>
      <c r="J551" s="5" t="str">
        <f>CONCATENATE(Pokemon!J746,"Ｚ")</f>
        <v>鬃岩狼人Ｚ</v>
      </c>
    </row>
    <row r="552">
      <c r="A552" s="5" t="str">
        <f t="shared" si="33"/>
        <v>NAME_ITEM_KOMMONIUMZ</v>
      </c>
      <c r="B552" s="3" t="s">
        <v>26358</v>
      </c>
      <c r="C552" s="5" t="str">
        <f>CONCATENATE(Pokemon!C785,"Ｚ")</f>
        <v>ジャラランガＺ</v>
      </c>
      <c r="D552" s="3" t="s">
        <v>26359</v>
      </c>
      <c r="E552" s="3" t="s">
        <v>26360</v>
      </c>
      <c r="F552" s="3" t="s">
        <v>26361</v>
      </c>
      <c r="G552" s="5" t="str">
        <f>B552</f>
        <v>Kommonium Z</v>
      </c>
      <c r="H552" s="5" t="str">
        <f>CONCATENATE(Pokemon!H785,"Ｚ")</f>
        <v>짜랑고우거Ｚ</v>
      </c>
      <c r="I552" s="5" t="str">
        <f>CONCATENATE(Pokemon!I785,"Ｚ")</f>
        <v>杖尾鱗甲龍Ｚ</v>
      </c>
      <c r="J552" s="5" t="str">
        <f>CONCATENATE(Pokemon!J785,"Ｚ")</f>
        <v>杖尾鳞甲龙Ｚ</v>
      </c>
    </row>
    <row r="553">
      <c r="A553" s="5" t="str">
        <f t="shared" si="33"/>
        <v>NAME_ITEM_RUSTEDSWORD</v>
      </c>
      <c r="B553" s="3" t="s">
        <v>26362</v>
      </c>
      <c r="C553" s="3" t="s">
        <v>26363</v>
      </c>
      <c r="D553" s="3" t="s">
        <v>26364</v>
      </c>
      <c r="E553" s="3" t="s">
        <v>26365</v>
      </c>
      <c r="F553" s="3" t="s">
        <v>26366</v>
      </c>
      <c r="G553" s="3" t="s">
        <v>26367</v>
      </c>
      <c r="H553" s="3" t="s">
        <v>26368</v>
      </c>
      <c r="I553" s="3" t="s">
        <v>26369</v>
      </c>
      <c r="J553" s="5" t="str">
        <f>IFERROR(__xludf.DUMMYFUNCTION("GOOGLETRANSLATE(I553,""zh_HANT"",""zh_HANS"")"),"腐朽的剑")</f>
        <v>腐朽的剑</v>
      </c>
    </row>
    <row r="554">
      <c r="A554" s="5" t="str">
        <f t="shared" si="33"/>
        <v>NAME_ITEM_RUSTEDSHIELD</v>
      </c>
      <c r="B554" s="3" t="s">
        <v>26370</v>
      </c>
      <c r="C554" s="3" t="s">
        <v>26371</v>
      </c>
      <c r="D554" s="3" t="s">
        <v>26372</v>
      </c>
      <c r="E554" s="3" t="s">
        <v>26373</v>
      </c>
      <c r="F554" s="3" t="s">
        <v>26374</v>
      </c>
      <c r="G554" s="3" t="s">
        <v>26375</v>
      </c>
      <c r="H554" s="3" t="s">
        <v>26376</v>
      </c>
      <c r="I554" s="3" t="s">
        <v>26377</v>
      </c>
      <c r="J554" s="5" t="str">
        <f>I554</f>
        <v>腐朽的盾</v>
      </c>
    </row>
    <row r="555">
      <c r="A555" s="5" t="str">
        <f t="shared" si="33"/>
        <v>NAME_ITEM_STRAWBERRYSWEET</v>
      </c>
      <c r="B555" s="3" t="s">
        <v>26378</v>
      </c>
      <c r="C555" s="3" t="s">
        <v>26379</v>
      </c>
      <c r="D555" s="3" t="s">
        <v>26380</v>
      </c>
      <c r="E555" s="3" t="s">
        <v>26381</v>
      </c>
      <c r="F555" s="3" t="s">
        <v>26382</v>
      </c>
      <c r="G555" s="3" t="s">
        <v>26383</v>
      </c>
      <c r="H555" s="3" t="s">
        <v>26384</v>
      </c>
      <c r="I555" s="3" t="s">
        <v>26385</v>
      </c>
      <c r="J555" s="5" t="str">
        <f>IFERROR(__xludf.DUMMYFUNCTION("GOOGLETRANSLATE(I555,""zh_HANT"",""zh_HANS"")"),"草莓糖饰")</f>
        <v>草莓糖饰</v>
      </c>
    </row>
    <row r="556">
      <c r="A556" s="5" t="str">
        <f t="shared" si="33"/>
        <v>NAME_ITEM_LOVESWEET</v>
      </c>
      <c r="B556" s="3" t="s">
        <v>26386</v>
      </c>
      <c r="C556" s="3" t="s">
        <v>26387</v>
      </c>
      <c r="D556" s="3" t="s">
        <v>26388</v>
      </c>
      <c r="E556" s="3" t="s">
        <v>26389</v>
      </c>
      <c r="F556" s="3" t="s">
        <v>26390</v>
      </c>
      <c r="G556" s="3" t="s">
        <v>26391</v>
      </c>
      <c r="H556" s="3" t="s">
        <v>26392</v>
      </c>
      <c r="I556" s="3" t="s">
        <v>26393</v>
      </c>
      <c r="J556" s="5" t="str">
        <f>IFERROR(__xludf.DUMMYFUNCTION("GOOGLETRANSLATE(I556,""zh_HANT"",""zh_HANS"")"),"爱心糖饰")</f>
        <v>爱心糖饰</v>
      </c>
    </row>
    <row r="557">
      <c r="A557" s="5" t="str">
        <f t="shared" si="33"/>
        <v>NAME_ITEM_BERRYSWEET</v>
      </c>
      <c r="B557" s="3" t="s">
        <v>26394</v>
      </c>
      <c r="C557" s="3" t="s">
        <v>26395</v>
      </c>
      <c r="D557" s="3" t="s">
        <v>26396</v>
      </c>
      <c r="E557" s="3" t="s">
        <v>26397</v>
      </c>
      <c r="F557" s="3" t="s">
        <v>26398</v>
      </c>
      <c r="G557" s="3" t="s">
        <v>26399</v>
      </c>
      <c r="H557" s="3" t="s">
        <v>26400</v>
      </c>
      <c r="I557" s="3" t="s">
        <v>26401</v>
      </c>
      <c r="J557" s="5" t="str">
        <f>IFERROR(__xludf.DUMMYFUNCTION("GOOGLETRANSLATE(I557,""zh_HANT"",""zh_HANS"")"),"野莓糖饰")</f>
        <v>野莓糖饰</v>
      </c>
    </row>
    <row r="558">
      <c r="A558" s="5" t="str">
        <f t="shared" si="33"/>
        <v>NAME_ITEM_CLOVERSWEET</v>
      </c>
      <c r="B558" s="3" t="s">
        <v>26402</v>
      </c>
      <c r="C558" s="3" t="s">
        <v>26403</v>
      </c>
      <c r="D558" s="3" t="s">
        <v>26404</v>
      </c>
      <c r="E558" s="3" t="s">
        <v>26405</v>
      </c>
      <c r="F558" s="3" t="s">
        <v>26406</v>
      </c>
      <c r="G558" s="3" t="s">
        <v>26407</v>
      </c>
      <c r="H558" s="3" t="s">
        <v>26408</v>
      </c>
      <c r="I558" s="3" t="s">
        <v>26409</v>
      </c>
      <c r="J558" s="5" t="str">
        <f>IFERROR(__xludf.DUMMYFUNCTION("GOOGLETRANSLATE(I558,""zh_HANT"",""zh_HANS"")"),"幸运草糖饰")</f>
        <v>幸运草糖饰</v>
      </c>
    </row>
    <row r="559">
      <c r="A559" s="5" t="str">
        <f t="shared" si="33"/>
        <v>NAME_ITEM_FLOWERSWEET</v>
      </c>
      <c r="B559" s="3" t="s">
        <v>26410</v>
      </c>
      <c r="C559" s="3" t="s">
        <v>26411</v>
      </c>
      <c r="D559" s="3" t="s">
        <v>26412</v>
      </c>
      <c r="E559" s="3" t="s">
        <v>26413</v>
      </c>
      <c r="F559" s="3" t="s">
        <v>26414</v>
      </c>
      <c r="G559" s="3" t="s">
        <v>26415</v>
      </c>
      <c r="H559" s="3" t="s">
        <v>26416</v>
      </c>
      <c r="I559" s="3" t="s">
        <v>26417</v>
      </c>
      <c r="J559" s="5" t="str">
        <f>IFERROR(__xludf.DUMMYFUNCTION("GOOGLETRANSLATE(I559,""zh_HANT"",""zh_HANS"")"),"花朵糖饰")</f>
        <v>花朵糖饰</v>
      </c>
    </row>
    <row r="560">
      <c r="A560" s="5" t="str">
        <f t="shared" si="33"/>
        <v>NAME_ITEM_STARSWEET</v>
      </c>
      <c r="B560" s="3" t="s">
        <v>26418</v>
      </c>
      <c r="C560" s="3" t="s">
        <v>26419</v>
      </c>
      <c r="D560" s="3" t="s">
        <v>26420</v>
      </c>
      <c r="E560" s="3" t="s">
        <v>26421</v>
      </c>
      <c r="F560" s="3" t="s">
        <v>26422</v>
      </c>
      <c r="G560" s="3" t="s">
        <v>26423</v>
      </c>
      <c r="H560" s="3" t="s">
        <v>26424</v>
      </c>
      <c r="I560" s="3" t="s">
        <v>26425</v>
      </c>
      <c r="J560" s="5" t="str">
        <f>IFERROR(__xludf.DUMMYFUNCTION("GOOGLETRANSLATE(I560,""zh_HANT"",""zh_HANS"")"),"星星糖饰")</f>
        <v>星星糖饰</v>
      </c>
    </row>
    <row r="561">
      <c r="A561" s="5" t="str">
        <f t="shared" si="33"/>
        <v>NAME_ITEM_RIBBONSWEET</v>
      </c>
      <c r="B561" s="3" t="s">
        <v>26426</v>
      </c>
      <c r="C561" s="3" t="s">
        <v>26427</v>
      </c>
      <c r="D561" s="3" t="s">
        <v>26428</v>
      </c>
      <c r="E561" s="3" t="s">
        <v>26429</v>
      </c>
      <c r="F561" s="3" t="s">
        <v>26430</v>
      </c>
      <c r="G561" s="3" t="s">
        <v>26431</v>
      </c>
      <c r="H561" s="3" t="s">
        <v>26432</v>
      </c>
      <c r="I561" s="3" t="s">
        <v>26433</v>
      </c>
      <c r="J561" s="5" t="str">
        <f>IFERROR(__xludf.DUMMYFUNCTION("GOOGLETRANSLATE(I561,""zh_HANT"",""zh_HANS"")"),"蝴蝶结糖饰")</f>
        <v>蝴蝶结糖饰</v>
      </c>
    </row>
    <row r="562">
      <c r="A562" s="5" t="str">
        <f t="shared" si="33"/>
        <v>NAME_ITEM_THROATSPRAY</v>
      </c>
      <c r="B562" s="3" t="s">
        <v>26434</v>
      </c>
      <c r="C562" s="3" t="s">
        <v>26435</v>
      </c>
      <c r="D562" s="3" t="s">
        <v>26436</v>
      </c>
      <c r="E562" s="3" t="s">
        <v>26437</v>
      </c>
      <c r="F562" s="3" t="s">
        <v>26438</v>
      </c>
      <c r="G562" s="3" t="s">
        <v>26439</v>
      </c>
      <c r="H562" s="3" t="s">
        <v>26440</v>
      </c>
      <c r="I562" s="3" t="s">
        <v>26441</v>
      </c>
      <c r="J562" s="5" t="str">
        <f>IFERROR(__xludf.DUMMYFUNCTION("GOOGLETRANSLATE(I562,""zh_HANT"",""zh_HANS"")"),"爽喉喷雾")</f>
        <v>爽喉喷雾</v>
      </c>
    </row>
    <row r="563">
      <c r="A563" s="5" t="str">
        <f t="shared" si="33"/>
        <v>NAME_ITEM_EJECTPACK</v>
      </c>
      <c r="B563" s="3" t="s">
        <v>26442</v>
      </c>
      <c r="C563" s="3" t="s">
        <v>26443</v>
      </c>
      <c r="D563" s="3" t="s">
        <v>26444</v>
      </c>
      <c r="E563" s="3" t="s">
        <v>26445</v>
      </c>
      <c r="F563" s="3" t="s">
        <v>26446</v>
      </c>
      <c r="G563" s="3" t="s">
        <v>26447</v>
      </c>
      <c r="H563" s="3" t="s">
        <v>26448</v>
      </c>
      <c r="I563" s="3" t="s">
        <v>26449</v>
      </c>
      <c r="J563" s="5" t="str">
        <f>IFERROR(__xludf.DUMMYFUNCTION("GOOGLETRANSLATE(I563,""zh_HANT"",""zh_HANS"")"),"避难背包")</f>
        <v>避难背包</v>
      </c>
    </row>
    <row r="564">
      <c r="A564" s="3" t="s">
        <v>26450</v>
      </c>
      <c r="B564" s="3" t="s">
        <v>26451</v>
      </c>
      <c r="C564" s="3" t="s">
        <v>26452</v>
      </c>
      <c r="D564" s="3" t="s">
        <v>26453</v>
      </c>
      <c r="E564" s="3" t="s">
        <v>26454</v>
      </c>
      <c r="F564" s="3" t="s">
        <v>26455</v>
      </c>
      <c r="G564" s="3" t="s">
        <v>26456</v>
      </c>
      <c r="H564" s="3" t="s">
        <v>26457</v>
      </c>
      <c r="I564" s="3" t="s">
        <v>26458</v>
      </c>
      <c r="J564" s="5" t="str">
        <f>I564</f>
        <v>厚底靴</v>
      </c>
    </row>
    <row r="565">
      <c r="A565" s="5" t="str">
        <f t="shared" ref="A565:A577" si="52">CONCATENATE("NAME_ITEM_", SUBSTITUTE(SUBSTITUTE(UPPER(B565), " ", ""), ".", ""))</f>
        <v>NAME_ITEM_BLUNDERPOLICY</v>
      </c>
      <c r="B565" s="3" t="s">
        <v>26459</v>
      </c>
      <c r="C565" s="3" t="s">
        <v>26460</v>
      </c>
      <c r="D565" s="3" t="s">
        <v>26461</v>
      </c>
      <c r="E565" s="3" t="s">
        <v>26462</v>
      </c>
      <c r="F565" s="3" t="s">
        <v>26463</v>
      </c>
      <c r="G565" s="3" t="s">
        <v>26464</v>
      </c>
      <c r="H565" s="3" t="s">
        <v>26465</v>
      </c>
      <c r="I565" s="3" t="s">
        <v>26466</v>
      </c>
      <c r="J565" s="5" t="str">
        <f>IFERROR(__xludf.DUMMYFUNCTION("GOOGLETRANSLATE(I565,""zh_HANT"",""zh_HANS"")"),"打空保险")</f>
        <v>打空保险</v>
      </c>
    </row>
    <row r="566">
      <c r="A566" s="5" t="str">
        <f t="shared" si="52"/>
        <v>NAME_ITEM_ROOMSERVICE</v>
      </c>
      <c r="B566" s="3" t="s">
        <v>26467</v>
      </c>
      <c r="C566" s="3" t="s">
        <v>26468</v>
      </c>
      <c r="D566" s="3" t="s">
        <v>26469</v>
      </c>
      <c r="E566" s="3" t="s">
        <v>26470</v>
      </c>
      <c r="F566" s="3" t="s">
        <v>26471</v>
      </c>
      <c r="G566" s="3" t="s">
        <v>26472</v>
      </c>
      <c r="H566" s="3" t="s">
        <v>26473</v>
      </c>
      <c r="I566" s="3" t="s">
        <v>26474</v>
      </c>
      <c r="J566" s="5" t="str">
        <f>IFERROR(__xludf.DUMMYFUNCTION("GOOGLETRANSLATE(I566,""zh_HANT"",""zh_HANS"")"),"客房服务")</f>
        <v>客房服务</v>
      </c>
    </row>
    <row r="567">
      <c r="A567" s="5" t="str">
        <f t="shared" si="52"/>
        <v>NAME_ITEM_UTILITYUMBRELLA</v>
      </c>
      <c r="B567" s="3" t="s">
        <v>26475</v>
      </c>
      <c r="C567" s="3" t="s">
        <v>26476</v>
      </c>
      <c r="D567" s="3" t="s">
        <v>26477</v>
      </c>
      <c r="E567" s="3" t="s">
        <v>26478</v>
      </c>
      <c r="F567" s="3" t="s">
        <v>26479</v>
      </c>
      <c r="G567" s="3" t="s">
        <v>26480</v>
      </c>
      <c r="H567" s="3" t="s">
        <v>26481</v>
      </c>
      <c r="I567" s="3" t="s">
        <v>26482</v>
      </c>
      <c r="J567" s="5" t="str">
        <f>IFERROR(__xludf.DUMMYFUNCTION("GOOGLETRANSLATE(I567,""zh_HANT"",""zh_HANS"")"),"万能伞")</f>
        <v>万能伞</v>
      </c>
    </row>
    <row r="568">
      <c r="A568" s="5" t="str">
        <f t="shared" si="52"/>
        <v>NAME_ITEM_ADAMANTCRYSTAL</v>
      </c>
      <c r="B568" s="3" t="s">
        <v>26483</v>
      </c>
      <c r="C568" s="3" t="str">
        <f t="shared" ref="C568:C570" si="53">CONCATENATE("だい",C370)</f>
        <v>だいこんごうだま</v>
      </c>
      <c r="D568" s="3" t="s">
        <v>26484</v>
      </c>
      <c r="E568" s="3" t="s">
        <v>26485</v>
      </c>
      <c r="F568" s="3" t="str">
        <f t="shared" ref="F568:F570" si="54">CONCATENATE("Gran ",F370)</f>
        <v>Gran Diamansfera</v>
      </c>
      <c r="G568" s="3" t="s">
        <v>26485</v>
      </c>
      <c r="H568" s="3" t="str">
        <f t="shared" ref="H568:H570" si="55">CONCATENATE("큰",H370)</f>
        <v>큰금강옥</v>
      </c>
      <c r="I568" s="3" t="str">
        <f>CONCATENATE("大",I370)</f>
        <v>大金剛寶珠</v>
      </c>
      <c r="J568" s="5" t="str">
        <f>IFERROR(__xludf.DUMMYFUNCTION("GOOGLETRANSLATE(I568,""zh_HANT"",""zh_HANS"")"),"大金刚宝珠")</f>
        <v>大金刚宝珠</v>
      </c>
    </row>
    <row r="569">
      <c r="A569" s="5" t="str">
        <f t="shared" si="52"/>
        <v>NAME_ITEM_LUSTROUSGLOBE</v>
      </c>
      <c r="B569" s="3" t="s">
        <v>26486</v>
      </c>
      <c r="C569" s="3" t="str">
        <f t="shared" si="53"/>
        <v>だいしらたま</v>
      </c>
      <c r="D569" s="3" t="s">
        <v>26487</v>
      </c>
      <c r="E569" s="3" t="s">
        <v>26488</v>
      </c>
      <c r="F569" s="3" t="str">
        <f t="shared" si="54"/>
        <v>Gran Lustresfera</v>
      </c>
      <c r="G569" s="3" t="s">
        <v>26489</v>
      </c>
      <c r="H569" s="3" t="str">
        <f t="shared" si="55"/>
        <v>큰백옥</v>
      </c>
      <c r="I569" s="3" t="s">
        <v>26490</v>
      </c>
      <c r="J569" s="5" t="str">
        <f>IFERROR(__xludf.DUMMYFUNCTION("GOOGLETRANSLATE(I569,""zh_HANT"",""zh_HANS"")"),"大白宝玉")</f>
        <v>大白宝玉</v>
      </c>
    </row>
    <row r="570">
      <c r="A570" s="5" t="str">
        <f t="shared" si="52"/>
        <v>NAME_ITEM_GRISEOUSCORE</v>
      </c>
      <c r="B570" s="3" t="s">
        <v>26491</v>
      </c>
      <c r="C570" s="3" t="str">
        <f t="shared" si="53"/>
        <v>だいはっきんだま</v>
      </c>
      <c r="D570" s="3" t="s">
        <v>26492</v>
      </c>
      <c r="E570" s="3" t="s">
        <v>26493</v>
      </c>
      <c r="F570" s="3" t="str">
        <f t="shared" si="54"/>
        <v>Gran Griseosfera</v>
      </c>
      <c r="G570" s="3" t="s">
        <v>26494</v>
      </c>
      <c r="H570" s="3" t="str">
        <f t="shared" si="55"/>
        <v>큰백금옥</v>
      </c>
      <c r="I570" s="3" t="s">
        <v>26495</v>
      </c>
      <c r="J570" s="5" t="str">
        <f>IFERROR(__xludf.DUMMYFUNCTION("GOOGLETRANSLATE(I570,""zh_HANT"",""zh_HANS"")"),"大白金宝玉")</f>
        <v>大白金宝玉</v>
      </c>
    </row>
    <row r="571">
      <c r="A571" s="5" t="str">
        <f t="shared" si="52"/>
        <v>NAME_ITEM_BOOSTERENERGY</v>
      </c>
      <c r="B571" s="3" t="s">
        <v>26496</v>
      </c>
      <c r="C571" s="3" t="s">
        <v>26497</v>
      </c>
      <c r="D571" s="3" t="s">
        <v>26498</v>
      </c>
      <c r="E571" s="3" t="s">
        <v>26499</v>
      </c>
      <c r="F571" s="3" t="s">
        <v>26500</v>
      </c>
      <c r="G571" s="3" t="s">
        <v>26501</v>
      </c>
      <c r="H571" s="3" t="s">
        <v>26502</v>
      </c>
      <c r="I571" s="3" t="s">
        <v>26503</v>
      </c>
      <c r="J571" s="5" t="str">
        <f>IFERROR(__xludf.DUMMYFUNCTION("GOOGLETRANSLATE(I571,""zh_HANT"",""zh_HANS"")"),"驱劲能量")</f>
        <v>驱劲能量</v>
      </c>
    </row>
    <row r="572">
      <c r="A572" s="5" t="str">
        <f t="shared" si="52"/>
        <v>NAME_ITEM_ABILITYSHIELD</v>
      </c>
      <c r="B572" s="3" t="s">
        <v>26504</v>
      </c>
      <c r="C572" s="3" t="s">
        <v>26505</v>
      </c>
      <c r="D572" s="3" t="s">
        <v>26506</v>
      </c>
      <c r="E572" s="3" t="s">
        <v>26507</v>
      </c>
      <c r="F572" s="3" t="s">
        <v>26508</v>
      </c>
      <c r="G572" s="3" t="s">
        <v>26509</v>
      </c>
      <c r="H572" s="3" t="s">
        <v>26510</v>
      </c>
      <c r="I572" s="3" t="s">
        <v>26511</v>
      </c>
      <c r="J572" s="5" t="str">
        <f>IFERROR(__xludf.DUMMYFUNCTION("GOOGLETRANSLATE(I572,""zh_HANT"",""zh_HANS"")"),"特性护具")</f>
        <v>特性护具</v>
      </c>
    </row>
    <row r="573">
      <c r="A573" s="5" t="str">
        <f t="shared" si="52"/>
        <v>NAME_ITEM_CLEARAMULET</v>
      </c>
      <c r="B573" s="3" t="s">
        <v>26512</v>
      </c>
      <c r="C573" s="3" t="s">
        <v>26513</v>
      </c>
      <c r="D573" s="3" t="s">
        <v>26514</v>
      </c>
      <c r="E573" s="3" t="s">
        <v>26515</v>
      </c>
      <c r="F573" s="3" t="s">
        <v>26516</v>
      </c>
      <c r="G573" s="3" t="s">
        <v>26517</v>
      </c>
      <c r="H573" s="6" t="s">
        <v>26518</v>
      </c>
      <c r="I573" s="3" t="s">
        <v>26519</v>
      </c>
      <c r="J573" s="5" t="str">
        <f>IFERROR(__xludf.DUMMYFUNCTION("GOOGLETRANSLATE(I573,""zh_HANT"",""zh_HANS"")"),"清净坠饰")</f>
        <v>清净坠饰</v>
      </c>
    </row>
    <row r="574">
      <c r="A574" s="5" t="str">
        <f t="shared" si="52"/>
        <v>NAME_ITEM_MIRRORHERB</v>
      </c>
      <c r="B574" s="3" t="s">
        <v>26520</v>
      </c>
      <c r="C574" s="3" t="s">
        <v>26521</v>
      </c>
      <c r="D574" s="3" t="s">
        <v>26522</v>
      </c>
      <c r="E574" s="3" t="s">
        <v>26523</v>
      </c>
      <c r="F574" s="3" t="s">
        <v>26524</v>
      </c>
      <c r="G574" s="3" t="s">
        <v>26525</v>
      </c>
      <c r="H574" s="3" t="s">
        <v>26526</v>
      </c>
      <c r="I574" s="3" t="s">
        <v>26527</v>
      </c>
      <c r="J574" s="5" t="str">
        <f>I574</f>
        <v>模仿香草</v>
      </c>
    </row>
    <row r="575">
      <c r="A575" s="5" t="str">
        <f t="shared" si="52"/>
        <v>NAME_ITEM_PUNCHINGGLOVE</v>
      </c>
      <c r="B575" s="3" t="s">
        <v>26528</v>
      </c>
      <c r="C575" s="3" t="s">
        <v>26529</v>
      </c>
      <c r="D575" s="3" t="s">
        <v>26530</v>
      </c>
      <c r="E575" s="3" t="s">
        <v>26531</v>
      </c>
      <c r="F575" s="3" t="s">
        <v>26532</v>
      </c>
      <c r="G575" s="3" t="s">
        <v>26533</v>
      </c>
      <c r="H575" s="3" t="s">
        <v>26534</v>
      </c>
      <c r="I575" s="3" t="s">
        <v>26535</v>
      </c>
      <c r="J575" s="5" t="str">
        <f>IFERROR(__xludf.DUMMYFUNCTION("GOOGLETRANSLATE(I575,""zh_HANT"",""zh_HANS"")"),"拳击手套")</f>
        <v>拳击手套</v>
      </c>
    </row>
    <row r="576">
      <c r="A576" s="5" t="str">
        <f t="shared" si="52"/>
        <v>NAME_ITEM_COVERTCLOAK</v>
      </c>
      <c r="B576" s="3" t="s">
        <v>26536</v>
      </c>
      <c r="C576" s="3" t="s">
        <v>26537</v>
      </c>
      <c r="D576" s="3" t="s">
        <v>26538</v>
      </c>
      <c r="E576" s="3" t="s">
        <v>26539</v>
      </c>
      <c r="F576" s="3" t="s">
        <v>26540</v>
      </c>
      <c r="G576" s="3" t="s">
        <v>26541</v>
      </c>
      <c r="H576" s="3" t="s">
        <v>26542</v>
      </c>
      <c r="I576" s="3" t="s">
        <v>26543</v>
      </c>
      <c r="J576" s="5" t="str">
        <f>I576</f>
        <v>密探斗篷</v>
      </c>
    </row>
    <row r="577">
      <c r="A577" s="5" t="str">
        <f t="shared" si="52"/>
        <v>NAME_ITEM_LOADEDDICE</v>
      </c>
      <c r="B577" s="3" t="s">
        <v>26544</v>
      </c>
      <c r="C577" s="3" t="s">
        <v>26545</v>
      </c>
      <c r="D577" s="3" t="s">
        <v>26546</v>
      </c>
      <c r="E577" s="3" t="s">
        <v>26547</v>
      </c>
      <c r="F577" s="3" t="s">
        <v>26548</v>
      </c>
      <c r="G577" s="3" t="s">
        <v>26549</v>
      </c>
      <c r="H577" s="3" t="s">
        <v>26550</v>
      </c>
      <c r="I577" s="3" t="s">
        <v>26551</v>
      </c>
      <c r="J577" s="3" t="s">
        <v>26552</v>
      </c>
    </row>
    <row r="578">
      <c r="A578" s="3" t="s">
        <v>26553</v>
      </c>
      <c r="B578" s="3" t="s">
        <v>26554</v>
      </c>
      <c r="C578" s="3" t="s">
        <v>26555</v>
      </c>
      <c r="D578" s="3" t="s">
        <v>26556</v>
      </c>
      <c r="E578" s="3" t="s">
        <v>26557</v>
      </c>
      <c r="F578" s="3" t="s">
        <v>26558</v>
      </c>
      <c r="G578" s="3" t="s">
        <v>26559</v>
      </c>
      <c r="H578" s="3" t="s">
        <v>26560</v>
      </c>
      <c r="I578" s="3" t="str">
        <f>IFERROR(__xludf.DUMMYFUNCTION("GOOGLETRANSLATE(J578,""zh_HANS"",""zh_HANT"")"),"頭領憑證")</f>
        <v>頭領憑證</v>
      </c>
      <c r="J578" s="3" t="s">
        <v>26561</v>
      </c>
    </row>
    <row r="579">
      <c r="A579" s="5" t="str">
        <f t="shared" ref="A579:A615" si="56">CONCATENATE("NAME_ITEM_", SUBSTITUTE(SUBSTITUTE(UPPER(B579), " ", ""), ".", ""))</f>
        <v>NAME_ITEM_FAIRYFEATHER</v>
      </c>
      <c r="B579" s="3" t="s">
        <v>26562</v>
      </c>
      <c r="C579" s="3" t="s">
        <v>26563</v>
      </c>
      <c r="D579" s="3" t="s">
        <v>26564</v>
      </c>
      <c r="E579" s="3" t="s">
        <v>26565</v>
      </c>
      <c r="F579" s="3" t="s">
        <v>26566</v>
      </c>
      <c r="G579" s="3" t="s">
        <v>26567</v>
      </c>
      <c r="H579" s="3" t="s">
        <v>26568</v>
      </c>
      <c r="I579" s="3" t="s">
        <v>26569</v>
      </c>
      <c r="J579" s="5" t="str">
        <f>I579</f>
        <v>妖精之羽</v>
      </c>
    </row>
    <row r="580">
      <c r="A580" s="5" t="str">
        <f t="shared" si="56"/>
        <v>NAME_ITEM_CORNERSTONEMASK</v>
      </c>
      <c r="B580" s="3" t="str">
        <f>Forms!B223</f>
        <v>Cornerstone Mask</v>
      </c>
      <c r="C580" s="3" t="str">
        <f>Forms!C223</f>
        <v>いしずえのめん</v>
      </c>
      <c r="D580" s="3" t="str">
        <f>Forms!D223</f>
        <v>Masque de la Pierre</v>
      </c>
      <c r="E580" s="3" t="str">
        <f>Forms!E223</f>
        <v>Fundamentmaske</v>
      </c>
      <c r="F580" s="3" t="str">
        <f>Forms!F223</f>
        <v>Máscara Cimiento</v>
      </c>
      <c r="G580" s="3" t="str">
        <f>Forms!G223</f>
        <v>Maschera Fondamenta</v>
      </c>
      <c r="H580" s="3" t="str">
        <f>Forms!H223</f>
        <v>주춧돌의 가면</v>
      </c>
      <c r="I580" s="3" t="str">
        <f>Forms!I223</f>
        <v>石岩面具</v>
      </c>
      <c r="J580" s="3" t="str">
        <f>Forms!J223</f>
        <v>础石面具</v>
      </c>
    </row>
    <row r="581">
      <c r="A581" s="5" t="str">
        <f t="shared" si="56"/>
        <v>NAME_ITEM_WELLSPRINGMASK</v>
      </c>
      <c r="B581" s="3" t="str">
        <f>Forms!B221</f>
        <v>Wellspring Mask</v>
      </c>
      <c r="C581" s="3" t="str">
        <f>Forms!C221</f>
        <v>いどのめん</v>
      </c>
      <c r="D581" s="3" t="str">
        <f>Forms!D221</f>
        <v>Masque du Puits</v>
      </c>
      <c r="E581" s="3" t="str">
        <f>Forms!E221</f>
        <v>Brunnenmaske</v>
      </c>
      <c r="F581" s="3" t="str">
        <f>Forms!F221</f>
        <v>Máscara Fuente</v>
      </c>
      <c r="G581" s="3" t="str">
        <f>Forms!G221</f>
        <v>Maschera Pozzo</v>
      </c>
      <c r="H581" s="3" t="str">
        <f>Forms!H221</f>
        <v>우물의 가면</v>
      </c>
      <c r="I581" s="3" t="str">
        <f>Forms!I221</f>
        <v>水井面具</v>
      </c>
      <c r="J581" s="3" t="str">
        <f>Forms!J221</f>
        <v>水井面具</v>
      </c>
    </row>
    <row r="582">
      <c r="A582" s="5" t="str">
        <f t="shared" si="56"/>
        <v>NAME_ITEM_HEARTHFLAMEMASK</v>
      </c>
      <c r="B582" s="3" t="str">
        <f>Forms!B222</f>
        <v>Hearthflame Mask</v>
      </c>
      <c r="C582" s="3" t="str">
        <f>Forms!C222</f>
        <v>かまどのめん</v>
      </c>
      <c r="D582" s="3" t="str">
        <f>Forms!D222</f>
        <v>Masque du Fourneau</v>
      </c>
      <c r="E582" s="3" t="str">
        <f>Forms!E222</f>
        <v>Ofenmaske</v>
      </c>
      <c r="F582" s="3" t="str">
        <f>Forms!F222</f>
        <v>Máscara Horno</v>
      </c>
      <c r="G582" s="3" t="str">
        <f>Forms!G222</f>
        <v>Maschera Focolare</v>
      </c>
      <c r="H582" s="3" t="str">
        <f>Forms!H222</f>
        <v>화덕의 가면</v>
      </c>
      <c r="I582" s="3" t="str">
        <f>Forms!I222</f>
        <v>火灶面具</v>
      </c>
      <c r="J582" s="3" t="str">
        <f>Forms!J222</f>
        <v>火灶面具</v>
      </c>
    </row>
    <row r="583">
      <c r="A583" s="5" t="str">
        <f t="shared" si="56"/>
        <v>NAME_ITEM_REDAPRICORN</v>
      </c>
      <c r="B583" s="3" t="s">
        <v>26570</v>
      </c>
      <c r="C583" s="3" t="s">
        <v>26571</v>
      </c>
      <c r="D583" s="3" t="s">
        <v>26572</v>
      </c>
      <c r="E583" s="3" t="s">
        <v>26573</v>
      </c>
      <c r="F583" s="3" t="s">
        <v>26574</v>
      </c>
      <c r="G583" s="3" t="s">
        <v>26575</v>
      </c>
      <c r="H583" s="3" t="s">
        <v>26576</v>
      </c>
      <c r="I583" s="3" t="s">
        <v>26577</v>
      </c>
      <c r="J583" s="5" t="str">
        <f>IFERROR(__xludf.DUMMYFUNCTION("GOOGLETRANSLATE(I583,""zh_HANT"",""zh_HANS"")"),"红球果")</f>
        <v>红球果</v>
      </c>
    </row>
    <row r="584">
      <c r="A584" s="5" t="str">
        <f t="shared" si="56"/>
        <v>NAME_ITEM_BLUEAPRICORN</v>
      </c>
      <c r="B584" s="3" t="s">
        <v>26578</v>
      </c>
      <c r="C584" s="3" t="s">
        <v>26579</v>
      </c>
      <c r="D584" s="3" t="s">
        <v>26580</v>
      </c>
      <c r="E584" s="3" t="s">
        <v>26581</v>
      </c>
      <c r="F584" s="3" t="s">
        <v>26582</v>
      </c>
      <c r="G584" s="3" t="s">
        <v>26583</v>
      </c>
      <c r="H584" s="3" t="s">
        <v>26584</v>
      </c>
      <c r="I584" s="3" t="s">
        <v>26585</v>
      </c>
      <c r="J584" s="5" t="str">
        <f>IFERROR(__xludf.DUMMYFUNCTION("GOOGLETRANSLATE(I584,""zh_HANT"",""zh_HANS"")"),"蓝球果")</f>
        <v>蓝球果</v>
      </c>
    </row>
    <row r="585">
      <c r="A585" s="5" t="str">
        <f t="shared" si="56"/>
        <v>NAME_ITEM_YELLOWAPRICORN</v>
      </c>
      <c r="B585" s="3" t="s">
        <v>26586</v>
      </c>
      <c r="C585" s="3" t="s">
        <v>26587</v>
      </c>
      <c r="D585" s="3" t="s">
        <v>26588</v>
      </c>
      <c r="E585" s="3" t="s">
        <v>26589</v>
      </c>
      <c r="F585" s="3" t="s">
        <v>26590</v>
      </c>
      <c r="G585" s="3" t="s">
        <v>26591</v>
      </c>
      <c r="H585" s="3" t="s">
        <v>26592</v>
      </c>
      <c r="I585" s="3" t="s">
        <v>26593</v>
      </c>
      <c r="J585" s="5" t="str">
        <f>IFERROR(__xludf.DUMMYFUNCTION("GOOGLETRANSLATE(I585,""zh_HANT"",""zh_HANS"")"),"黄球果")</f>
        <v>黄球果</v>
      </c>
    </row>
    <row r="586">
      <c r="A586" s="5" t="str">
        <f t="shared" si="56"/>
        <v>NAME_ITEM_GREENAPRICORN</v>
      </c>
      <c r="B586" s="3" t="s">
        <v>26594</v>
      </c>
      <c r="C586" s="3" t="s">
        <v>26595</v>
      </c>
      <c r="D586" s="3" t="s">
        <v>26596</v>
      </c>
      <c r="E586" s="3" t="s">
        <v>26597</v>
      </c>
      <c r="F586" s="3" t="s">
        <v>26598</v>
      </c>
      <c r="G586" s="3" t="s">
        <v>26599</v>
      </c>
      <c r="H586" s="3" t="s">
        <v>26600</v>
      </c>
      <c r="I586" s="3" t="s">
        <v>26601</v>
      </c>
      <c r="J586" s="5" t="str">
        <f>IFERROR(__xludf.DUMMYFUNCTION("GOOGLETRANSLATE(I586,""zh_HANT"",""zh_HANS"")"),"绿球果")</f>
        <v>绿球果</v>
      </c>
    </row>
    <row r="587">
      <c r="A587" s="5" t="str">
        <f t="shared" si="56"/>
        <v>NAME_ITEM_PINKAPRICORN</v>
      </c>
      <c r="B587" s="3" t="s">
        <v>26602</v>
      </c>
      <c r="C587" s="3" t="s">
        <v>26603</v>
      </c>
      <c r="D587" s="3" t="s">
        <v>26604</v>
      </c>
      <c r="E587" s="3" t="s">
        <v>26605</v>
      </c>
      <c r="F587" s="3" t="s">
        <v>26606</v>
      </c>
      <c r="G587" s="3" t="s">
        <v>26607</v>
      </c>
      <c r="H587" s="3" t="s">
        <v>26608</v>
      </c>
      <c r="I587" s="3" t="s">
        <v>26609</v>
      </c>
      <c r="J587" s="5" t="str">
        <f t="shared" ref="J587:J597" si="57">I587</f>
        <v>粉球果</v>
      </c>
    </row>
    <row r="588">
      <c r="A588" s="5" t="str">
        <f t="shared" si="56"/>
        <v>NAME_ITEM_WHITEAPRICORN</v>
      </c>
      <c r="B588" s="3" t="s">
        <v>26610</v>
      </c>
      <c r="C588" s="3" t="s">
        <v>26611</v>
      </c>
      <c r="D588" s="3" t="s">
        <v>26612</v>
      </c>
      <c r="E588" s="3" t="s">
        <v>26613</v>
      </c>
      <c r="F588" s="3" t="s">
        <v>26614</v>
      </c>
      <c r="G588" s="3" t="s">
        <v>26615</v>
      </c>
      <c r="H588" s="3" t="s">
        <v>26616</v>
      </c>
      <c r="I588" s="3" t="s">
        <v>26617</v>
      </c>
      <c r="J588" s="5" t="str">
        <f t="shared" si="57"/>
        <v>白球果</v>
      </c>
    </row>
    <row r="589">
      <c r="A589" s="5" t="str">
        <f t="shared" si="56"/>
        <v>NAME_ITEM_BLACKAPRICORN</v>
      </c>
      <c r="B589" s="3" t="s">
        <v>26618</v>
      </c>
      <c r="C589" s="3" t="s">
        <v>26619</v>
      </c>
      <c r="D589" s="3" t="s">
        <v>26620</v>
      </c>
      <c r="E589" s="3" t="s">
        <v>26621</v>
      </c>
      <c r="F589" s="3" t="s">
        <v>26622</v>
      </c>
      <c r="G589" s="3" t="s">
        <v>26623</v>
      </c>
      <c r="H589" s="3" t="s">
        <v>26624</v>
      </c>
      <c r="I589" s="3" t="s">
        <v>26625</v>
      </c>
      <c r="J589" s="5" t="str">
        <f t="shared" si="57"/>
        <v>黑球果</v>
      </c>
    </row>
    <row r="590">
      <c r="A590" s="5" t="str">
        <f t="shared" si="56"/>
        <v>NAME_ITEM_NUGGET</v>
      </c>
      <c r="B590" s="3" t="s">
        <v>26626</v>
      </c>
      <c r="C590" s="3" t="s">
        <v>26627</v>
      </c>
      <c r="D590" s="3" t="s">
        <v>26628</v>
      </c>
      <c r="E590" s="5" t="str">
        <f>B590</f>
        <v>Nugget</v>
      </c>
      <c r="F590" s="3" t="s">
        <v>26629</v>
      </c>
      <c r="G590" s="5" t="str">
        <f>F590</f>
        <v>Pepita</v>
      </c>
      <c r="H590" s="3" t="s">
        <v>26630</v>
      </c>
      <c r="I590" s="3" t="s">
        <v>26631</v>
      </c>
      <c r="J590" s="5" t="str">
        <f t="shared" si="57"/>
        <v>金珠</v>
      </c>
    </row>
    <row r="591">
      <c r="A591" s="5" t="str">
        <f t="shared" si="56"/>
        <v>NAME_ITEM_TINYMUSHROOM</v>
      </c>
      <c r="B591" s="3" t="s">
        <v>26632</v>
      </c>
      <c r="C591" s="3" t="s">
        <v>26633</v>
      </c>
      <c r="D591" s="3" t="s">
        <v>26634</v>
      </c>
      <c r="E591" s="3" t="s">
        <v>26635</v>
      </c>
      <c r="F591" s="3" t="s">
        <v>26636</v>
      </c>
      <c r="G591" s="3" t="s">
        <v>26637</v>
      </c>
      <c r="H591" s="3" t="s">
        <v>26638</v>
      </c>
      <c r="I591" s="3" t="s">
        <v>26639</v>
      </c>
      <c r="J591" s="5" t="str">
        <f t="shared" si="57"/>
        <v>小蘑菇</v>
      </c>
    </row>
    <row r="592">
      <c r="A592" s="5" t="str">
        <f t="shared" si="56"/>
        <v>NAME_ITEM_BIGMUSHROOM</v>
      </c>
      <c r="B592" s="3" t="s">
        <v>26640</v>
      </c>
      <c r="C592" s="3" t="s">
        <v>26641</v>
      </c>
      <c r="D592" s="3" t="s">
        <v>26642</v>
      </c>
      <c r="E592" s="3" t="s">
        <v>26643</v>
      </c>
      <c r="F592" s="3" t="s">
        <v>26644</v>
      </c>
      <c r="G592" s="3" t="s">
        <v>26645</v>
      </c>
      <c r="H592" s="3" t="s">
        <v>26646</v>
      </c>
      <c r="I592" s="3" t="s">
        <v>26647</v>
      </c>
      <c r="J592" s="5" t="str">
        <f t="shared" si="57"/>
        <v>大蘑菇</v>
      </c>
    </row>
    <row r="593">
      <c r="A593" s="5" t="str">
        <f t="shared" si="56"/>
        <v>NAME_ITEM_PEARL</v>
      </c>
      <c r="B593" s="3" t="s">
        <v>26648</v>
      </c>
      <c r="C593" s="3" t="s">
        <v>26649</v>
      </c>
      <c r="D593" s="3" t="s">
        <v>26650</v>
      </c>
      <c r="E593" s="5" t="str">
        <f>D593</f>
        <v>Perle</v>
      </c>
      <c r="F593" s="3" t="s">
        <v>26651</v>
      </c>
      <c r="G593" s="5" t="str">
        <f>F593</f>
        <v>Perla</v>
      </c>
      <c r="H593" s="3" t="s">
        <v>26652</v>
      </c>
      <c r="I593" s="3" t="s">
        <v>26653</v>
      </c>
      <c r="J593" s="5" t="str">
        <f t="shared" si="57"/>
        <v>珍珠</v>
      </c>
    </row>
    <row r="594">
      <c r="A594" s="5" t="str">
        <f t="shared" si="56"/>
        <v>NAME_ITEM_BIGPEARL</v>
      </c>
      <c r="B594" s="3" t="s">
        <v>26654</v>
      </c>
      <c r="C594" s="3" t="s">
        <v>26655</v>
      </c>
      <c r="D594" s="3" t="s">
        <v>26656</v>
      </c>
      <c r="E594" s="3" t="s">
        <v>26657</v>
      </c>
      <c r="F594" s="3" t="s">
        <v>26658</v>
      </c>
      <c r="G594" s="3" t="s">
        <v>26659</v>
      </c>
      <c r="H594" s="3" t="s">
        <v>26660</v>
      </c>
      <c r="I594" s="3" t="s">
        <v>26661</v>
      </c>
      <c r="J594" s="5" t="str">
        <f t="shared" si="57"/>
        <v>大珍珠</v>
      </c>
    </row>
    <row r="595">
      <c r="A595" s="5" t="str">
        <f t="shared" si="56"/>
        <v>NAME_ITEM_STARDUST</v>
      </c>
      <c r="B595" s="3" t="s">
        <v>26662</v>
      </c>
      <c r="C595" s="3" t="s">
        <v>26663</v>
      </c>
      <c r="D595" s="3" t="s">
        <v>26664</v>
      </c>
      <c r="E595" s="3" t="s">
        <v>26665</v>
      </c>
      <c r="F595" s="3" t="s">
        <v>26666</v>
      </c>
      <c r="G595" s="3" t="s">
        <v>26667</v>
      </c>
      <c r="H595" s="3" t="s">
        <v>26668</v>
      </c>
      <c r="I595" s="3" t="s">
        <v>26669</v>
      </c>
      <c r="J595" s="5" t="str">
        <f t="shared" si="57"/>
        <v>星星沙子</v>
      </c>
    </row>
    <row r="596">
      <c r="A596" s="5" t="str">
        <f t="shared" si="56"/>
        <v>NAME_ITEM_STARPIECE</v>
      </c>
      <c r="B596" s="3" t="s">
        <v>26670</v>
      </c>
      <c r="C596" s="3" t="s">
        <v>26671</v>
      </c>
      <c r="D596" s="3" t="s">
        <v>26672</v>
      </c>
      <c r="E596" s="3" t="s">
        <v>26673</v>
      </c>
      <c r="F596" s="3" t="s">
        <v>26674</v>
      </c>
      <c r="G596" s="3" t="s">
        <v>26675</v>
      </c>
      <c r="H596" s="3" t="s">
        <v>26676</v>
      </c>
      <c r="I596" s="3" t="s">
        <v>26677</v>
      </c>
      <c r="J596" s="5" t="str">
        <f t="shared" si="57"/>
        <v>星星碎片</v>
      </c>
    </row>
    <row r="597">
      <c r="A597" s="5" t="str">
        <f t="shared" si="56"/>
        <v>NAME_ITEM_HONEY</v>
      </c>
      <c r="B597" s="3" t="s">
        <v>26678</v>
      </c>
      <c r="C597" s="3" t="s">
        <v>26679</v>
      </c>
      <c r="D597" s="3" t="s">
        <v>26680</v>
      </c>
      <c r="E597" s="3" t="s">
        <v>26681</v>
      </c>
      <c r="F597" s="3" t="s">
        <v>26680</v>
      </c>
      <c r="G597" s="5" t="str">
        <f>CONCATENATE(D597,"e")</f>
        <v>Miele</v>
      </c>
      <c r="H597" s="3" t="s">
        <v>26682</v>
      </c>
      <c r="I597" s="3" t="s">
        <v>26683</v>
      </c>
      <c r="J597" s="5" t="str">
        <f t="shared" si="57"/>
        <v>甜甜蜜</v>
      </c>
    </row>
    <row r="598">
      <c r="A598" s="5" t="str">
        <f t="shared" si="56"/>
        <v>NAME_ITEM_BOTTLECAP</v>
      </c>
      <c r="B598" s="3" t="s">
        <v>26684</v>
      </c>
      <c r="C598" s="3" t="s">
        <v>26685</v>
      </c>
      <c r="D598" s="3" t="s">
        <v>26686</v>
      </c>
      <c r="E598" s="3" t="s">
        <v>26687</v>
      </c>
      <c r="F598" s="3" t="s">
        <v>26688</v>
      </c>
      <c r="G598" s="3" t="s">
        <v>26689</v>
      </c>
      <c r="H598" s="3" t="s">
        <v>26690</v>
      </c>
      <c r="I598" s="3" t="str">
        <f>IFERROR(__xludf.DUMMYFUNCTION("GOOGLETRANSLATE(J598,""zh_HANS"",""zh_HANT"")"),"銀色王冠")</f>
        <v>銀色王冠</v>
      </c>
      <c r="J598" s="3" t="s">
        <v>26691</v>
      </c>
    </row>
    <row r="599">
      <c r="A599" s="5" t="str">
        <f t="shared" si="56"/>
        <v>NAME_ITEM_GOLDBOTTLECAP</v>
      </c>
      <c r="B599" s="3" t="str">
        <f>CONCATENATE("Gold ",B598)</f>
        <v>Gold Bottle Cap</v>
      </c>
      <c r="C599" s="3" t="s">
        <v>26692</v>
      </c>
      <c r="D599" s="3" t="s">
        <v>26693</v>
      </c>
      <c r="E599" s="3" t="s">
        <v>26694</v>
      </c>
      <c r="F599" s="3" t="s">
        <v>26695</v>
      </c>
      <c r="G599" s="3" t="s">
        <v>26696</v>
      </c>
      <c r="H599" s="3" t="s">
        <v>26697</v>
      </c>
      <c r="I599" s="3" t="str">
        <f>J599</f>
        <v>金色王冠</v>
      </c>
      <c r="J599" s="3" t="s">
        <v>26698</v>
      </c>
    </row>
    <row r="600">
      <c r="A600" s="5" t="str">
        <f t="shared" si="56"/>
        <v>NAME_ITEM_BICYCLE</v>
      </c>
      <c r="B600" s="3" t="s">
        <v>26699</v>
      </c>
      <c r="C600" s="3" t="s">
        <v>26700</v>
      </c>
      <c r="D600" s="3" t="s">
        <v>26701</v>
      </c>
      <c r="E600" s="3" t="s">
        <v>26702</v>
      </c>
      <c r="F600" s="3" t="s">
        <v>26703</v>
      </c>
      <c r="G600" s="3" t="s">
        <v>26704</v>
      </c>
      <c r="H600" s="3" t="s">
        <v>26705</v>
      </c>
      <c r="I600" s="3" t="s">
        <v>26706</v>
      </c>
      <c r="J600" s="5" t="str">
        <f>IFERROR(__xludf.DUMMYFUNCTION("GOOGLETRANSLATE(I600,""zh_HANT"",""zh_HANS"")"),"自行车")</f>
        <v>自行车</v>
      </c>
    </row>
    <row r="601">
      <c r="A601" s="5" t="str">
        <f t="shared" si="56"/>
        <v>NAME_ITEM_TOWNMAP</v>
      </c>
      <c r="B601" s="3" t="s">
        <v>26707</v>
      </c>
      <c r="C601" s="3" t="s">
        <v>26708</v>
      </c>
      <c r="D601" s="3" t="s">
        <v>26709</v>
      </c>
      <c r="E601" s="3" t="s">
        <v>26710</v>
      </c>
      <c r="F601" s="3" t="s">
        <v>26711</v>
      </c>
      <c r="G601" s="3" t="s">
        <v>26712</v>
      </c>
      <c r="H601" s="3" t="s">
        <v>26713</v>
      </c>
      <c r="I601" s="3" t="s">
        <v>26714</v>
      </c>
      <c r="J601" s="5" t="str">
        <f>IFERROR(__xludf.DUMMYFUNCTION("GOOGLETRANSLATE(I601,""zh_HANT"",""zh_HANS"")"),"城镇地图")</f>
        <v>城镇地图</v>
      </c>
    </row>
    <row r="602">
      <c r="A602" s="5" t="str">
        <f t="shared" si="56"/>
        <v>NAME_ITEM_OLDROD</v>
      </c>
      <c r="B602" s="3" t="s">
        <v>26715</v>
      </c>
      <c r="C602" s="3" t="s">
        <v>26716</v>
      </c>
      <c r="D602" s="3" t="s">
        <v>26717</v>
      </c>
      <c r="E602" s="3" t="s">
        <v>26718</v>
      </c>
      <c r="F602" s="3" t="s">
        <v>26719</v>
      </c>
      <c r="G602" s="3" t="s">
        <v>26720</v>
      </c>
      <c r="H602" s="3" t="s">
        <v>26721</v>
      </c>
      <c r="I602" s="3" t="s">
        <v>26722</v>
      </c>
      <c r="J602" s="5" t="str">
        <f>IFERROR(__xludf.DUMMYFUNCTION("GOOGLETRANSLATE(I602,""zh_HANT"",""zh_HANS"")"),"破旧钓竿")</f>
        <v>破旧钓竿</v>
      </c>
    </row>
    <row r="603">
      <c r="A603" s="5" t="str">
        <f t="shared" si="56"/>
        <v>NAME_ITEM_GOODROD</v>
      </c>
      <c r="B603" s="3" t="s">
        <v>26723</v>
      </c>
      <c r="C603" s="3" t="s">
        <v>26724</v>
      </c>
      <c r="D603" s="3" t="s">
        <v>26725</v>
      </c>
      <c r="E603" s="3" t="s">
        <v>26726</v>
      </c>
      <c r="F603" s="3" t="s">
        <v>26727</v>
      </c>
      <c r="G603" s="3" t="s">
        <v>26728</v>
      </c>
      <c r="H603" s="3" t="s">
        <v>26729</v>
      </c>
      <c r="I603" s="3" t="s">
        <v>26730</v>
      </c>
      <c r="J603" s="5" t="str">
        <f>IFERROR(__xludf.DUMMYFUNCTION("GOOGLETRANSLATE(I603,""zh_HANT"",""zh_HANS"")"),"好钓竿")</f>
        <v>好钓竿</v>
      </c>
    </row>
    <row r="604">
      <c r="A604" s="5" t="str">
        <f t="shared" si="56"/>
        <v>NAME_ITEM_SUPERROD</v>
      </c>
      <c r="B604" s="9" t="s">
        <v>26731</v>
      </c>
      <c r="C604" s="3" t="s">
        <v>26732</v>
      </c>
      <c r="D604" s="3" t="s">
        <v>26733</v>
      </c>
      <c r="E604" s="3" t="s">
        <v>26734</v>
      </c>
      <c r="F604" s="3" t="s">
        <v>26735</v>
      </c>
      <c r="G604" s="3" t="s">
        <v>26736</v>
      </c>
      <c r="H604" s="3" t="s">
        <v>26737</v>
      </c>
      <c r="I604" s="3" t="s">
        <v>26738</v>
      </c>
      <c r="J604" s="5" t="str">
        <f>IFERROR(__xludf.DUMMYFUNCTION("GOOGLETRANSLATE(I604,""zh_HANT"",""zh_HANS"")"),"厉害钓竿")</f>
        <v>厉害钓竿</v>
      </c>
    </row>
    <row r="605">
      <c r="A605" s="5" t="str">
        <f t="shared" si="56"/>
        <v>NAME_ITEM_DOWSINGMACHINE</v>
      </c>
      <c r="B605" s="3" t="s">
        <v>26739</v>
      </c>
      <c r="C605" s="3" t="s">
        <v>26740</v>
      </c>
      <c r="D605" s="3" t="s">
        <v>26741</v>
      </c>
      <c r="E605" s="3" t="s">
        <v>26742</v>
      </c>
      <c r="F605" s="3" t="s">
        <v>26743</v>
      </c>
      <c r="G605" s="3" t="s">
        <v>26744</v>
      </c>
      <c r="H605" s="3" t="s">
        <v>26745</v>
      </c>
      <c r="I605" s="3" t="s">
        <v>26746</v>
      </c>
      <c r="J605" s="5" t="str">
        <f>IFERROR(__xludf.DUMMYFUNCTION("GOOGLETRANSLATE(I605,""zh_HANT"",""zh_HANS"")"),"探宝器")</f>
        <v>探宝器</v>
      </c>
    </row>
    <row r="606">
      <c r="A606" s="5" t="str">
        <f t="shared" si="56"/>
        <v>NAME_ITEM_SQUIRTBOTTLE</v>
      </c>
      <c r="B606" s="3" t="s">
        <v>26747</v>
      </c>
      <c r="C606" s="3" t="s">
        <v>26748</v>
      </c>
      <c r="D606" s="3" t="s">
        <v>26749</v>
      </c>
      <c r="E606" s="3" t="s">
        <v>26750</v>
      </c>
      <c r="F606" s="3" t="s">
        <v>26751</v>
      </c>
      <c r="G606" s="3" t="s">
        <v>26752</v>
      </c>
      <c r="H606" s="3" t="s">
        <v>26753</v>
      </c>
      <c r="I606" s="3" t="s">
        <v>26754</v>
      </c>
      <c r="J606" s="5" t="str">
        <f>IFERROR(__xludf.DUMMYFUNCTION("GOOGLETRANSLATE(I606,""zh_HANT"",""zh_HANS"")"),"杰尼龟喷壶")</f>
        <v>杰尼龟喷壶</v>
      </c>
    </row>
    <row r="607">
      <c r="A607" s="5" t="str">
        <f t="shared" si="56"/>
        <v>NAME_ITEM_VSSEEKER</v>
      </c>
      <c r="B607" s="3" t="s">
        <v>26755</v>
      </c>
      <c r="C607" s="3" t="s">
        <v>26756</v>
      </c>
      <c r="D607" s="3" t="s">
        <v>26757</v>
      </c>
      <c r="E607" s="3" t="s">
        <v>26758</v>
      </c>
      <c r="F607" s="3" t="s">
        <v>26759</v>
      </c>
      <c r="G607" s="3" t="s">
        <v>26760</v>
      </c>
      <c r="H607" s="3" t="s">
        <v>26761</v>
      </c>
      <c r="I607" s="3" t="s">
        <v>26762</v>
      </c>
      <c r="J607" s="5" t="str">
        <f>IFERROR(__xludf.DUMMYFUNCTION("GOOGLETRANSLATE(I607,""zh_HANT"",""zh_HANS"")"),"对战搜寻器")</f>
        <v>对战搜寻器</v>
      </c>
    </row>
    <row r="608">
      <c r="A608" s="5" t="str">
        <f t="shared" si="56"/>
        <v>NAME_ITEM_METEORITE</v>
      </c>
      <c r="B608" s="3" t="str">
        <f>CONCATENATE(E608,"e")</f>
        <v>Meteorite</v>
      </c>
      <c r="C608" s="3" t="s">
        <v>9066</v>
      </c>
      <c r="D608" s="3" t="s">
        <v>9067</v>
      </c>
      <c r="E608" s="3" t="s">
        <v>26763</v>
      </c>
      <c r="F608" s="3" t="str">
        <f>CONCATENATE(E608,"o")</f>
        <v>Meteorito</v>
      </c>
      <c r="G608" s="3" t="str">
        <f t="shared" ref="G608:G609" si="58">B608</f>
        <v>Meteorite</v>
      </c>
      <c r="H608" s="3" t="s">
        <v>26764</v>
      </c>
      <c r="I608" s="3" t="s">
        <v>9071</v>
      </c>
      <c r="J608" s="5" t="str">
        <f>IFERROR(__xludf.DUMMYFUNCTION("GOOGLETRANSLATE(I608,""zh_HANT"",""zh_HANS"")"),"陨石")</f>
        <v>陨石</v>
      </c>
    </row>
    <row r="609">
      <c r="A609" s="5" t="str">
        <f t="shared" si="56"/>
        <v>NAME_ITEM_GRACIDEA</v>
      </c>
      <c r="B609" s="3" t="s">
        <v>26765</v>
      </c>
      <c r="C609" s="3" t="s">
        <v>26766</v>
      </c>
      <c r="D609" s="3" t="s">
        <v>26767</v>
      </c>
      <c r="E609" s="5" t="str">
        <f>B609</f>
        <v>Gracidea</v>
      </c>
      <c r="F609" s="3" t="s">
        <v>26768</v>
      </c>
      <c r="G609" s="5" t="str">
        <f t="shared" si="58"/>
        <v>Gracidea</v>
      </c>
      <c r="H609" s="3" t="s">
        <v>26769</v>
      </c>
      <c r="I609" s="3" t="s">
        <v>26770</v>
      </c>
      <c r="J609" s="5" t="str">
        <f>IFERROR(__xludf.DUMMYFUNCTION("GOOGLETRANSLATE(I609,""zh_HANT"",""zh_HANS"")"),"葛拉西蒂亚花")</f>
        <v>葛拉西蒂亚花</v>
      </c>
    </row>
    <row r="610">
      <c r="A610" s="5" t="str">
        <f t="shared" si="56"/>
        <v>NAME_ITEM_DNASPLICERS</v>
      </c>
      <c r="B610" s="3" t="s">
        <v>26771</v>
      </c>
      <c r="C610" s="3" t="s">
        <v>26772</v>
      </c>
      <c r="D610" s="3" t="s">
        <v>26773</v>
      </c>
      <c r="E610" s="3" t="s">
        <v>26774</v>
      </c>
      <c r="F610" s="3" t="s">
        <v>26775</v>
      </c>
      <c r="G610" s="3" t="s">
        <v>26776</v>
      </c>
      <c r="H610" s="3" t="s">
        <v>26777</v>
      </c>
      <c r="I610" s="3" t="s">
        <v>26778</v>
      </c>
      <c r="J610" s="5" t="str">
        <f>I610</f>
        <v>基因之楔</v>
      </c>
    </row>
    <row r="611">
      <c r="A611" s="5" t="str">
        <f t="shared" si="56"/>
        <v>NAME_ITEM_OVALCHARM</v>
      </c>
      <c r="B611" s="3" t="s">
        <v>26779</v>
      </c>
      <c r="C611" s="3" t="s">
        <v>26780</v>
      </c>
      <c r="D611" s="3" t="s">
        <v>26781</v>
      </c>
      <c r="E611" s="3" t="s">
        <v>26782</v>
      </c>
      <c r="F611" s="3" t="s">
        <v>26783</v>
      </c>
      <c r="G611" s="3" t="s">
        <v>26784</v>
      </c>
      <c r="H611" s="3" t="s">
        <v>26785</v>
      </c>
      <c r="I611" s="3" t="s">
        <v>26786</v>
      </c>
      <c r="J611" s="5" t="str">
        <f>IFERROR(__xludf.DUMMYFUNCTION("GOOGLETRANSLATE(I611,""zh_HANT"",""zh_HANS"")"),"圆形护符")</f>
        <v>圆形护符</v>
      </c>
    </row>
    <row r="612">
      <c r="A612" s="5" t="str">
        <f t="shared" si="56"/>
        <v>NAME_ITEM_SHINYCHARM</v>
      </c>
      <c r="B612" s="3" t="s">
        <v>26787</v>
      </c>
      <c r="C612" s="3" t="s">
        <v>26788</v>
      </c>
      <c r="D612" s="3" t="s">
        <v>26789</v>
      </c>
      <c r="E612" s="3" t="s">
        <v>26790</v>
      </c>
      <c r="F612" s="3" t="s">
        <v>26791</v>
      </c>
      <c r="G612" s="3" t="s">
        <v>26792</v>
      </c>
      <c r="H612" s="3" t="s">
        <v>26793</v>
      </c>
      <c r="I612" s="3" t="s">
        <v>26794</v>
      </c>
      <c r="J612" s="5" t="str">
        <f>IFERROR(__xludf.DUMMYFUNCTION("GOOGLETRANSLATE(I612,""zh_HANT"",""zh_HANS"")"),"闪耀护符")</f>
        <v>闪耀护符</v>
      </c>
    </row>
    <row r="613">
      <c r="A613" s="5" t="str">
        <f t="shared" si="56"/>
        <v>NAME_ITEM_REVEALGLASS</v>
      </c>
      <c r="B613" s="3" t="s">
        <v>26795</v>
      </c>
      <c r="C613" s="3" t="s">
        <v>26796</v>
      </c>
      <c r="D613" s="3" t="s">
        <v>26797</v>
      </c>
      <c r="E613" s="3" t="s">
        <v>26798</v>
      </c>
      <c r="F613" s="3" t="s">
        <v>26799</v>
      </c>
      <c r="G613" s="3" t="s">
        <v>26800</v>
      </c>
      <c r="H613" s="3" t="s">
        <v>26801</v>
      </c>
      <c r="I613" s="3" t="s">
        <v>26802</v>
      </c>
      <c r="J613" s="5" t="str">
        <f>IFERROR(__xludf.DUMMYFUNCTION("GOOGLETRANSLATE(I613,""zh_HANT"",""zh_HANS"")"),"现形镜")</f>
        <v>现形镜</v>
      </c>
    </row>
    <row r="614">
      <c r="A614" s="5" t="str">
        <f t="shared" si="56"/>
        <v>NAME_ITEM_PRISONBOTTLE</v>
      </c>
      <c r="B614" s="3" t="s">
        <v>26803</v>
      </c>
      <c r="C614" s="3" t="s">
        <v>26804</v>
      </c>
      <c r="D614" s="3" t="s">
        <v>26805</v>
      </c>
      <c r="E614" s="3" t="s">
        <v>26806</v>
      </c>
      <c r="F614" s="3" t="s">
        <v>26807</v>
      </c>
      <c r="G614" s="3" t="s">
        <v>26808</v>
      </c>
      <c r="H614" s="3" t="s">
        <v>26809</v>
      </c>
      <c r="I614" s="3" t="s">
        <v>26810</v>
      </c>
      <c r="J614" s="5" t="str">
        <f>IFERROR(__xludf.DUMMYFUNCTION("GOOGLETRANSLATE(I614,""zh_HANT"",""zh_HANS"")"),"惩戒之壶")</f>
        <v>惩戒之壶</v>
      </c>
    </row>
    <row r="615">
      <c r="A615" s="5" t="str">
        <f t="shared" si="56"/>
        <v>NAME_ITEM_KEYSTONE</v>
      </c>
      <c r="B615" s="3" t="s">
        <v>26811</v>
      </c>
      <c r="C615" s="3" t="s">
        <v>26812</v>
      </c>
      <c r="D615" s="3" t="s">
        <v>26813</v>
      </c>
      <c r="E615" s="3" t="s">
        <v>26814</v>
      </c>
      <c r="F615" s="3" t="s">
        <v>26815</v>
      </c>
      <c r="G615" s="3" t="s">
        <v>26816</v>
      </c>
      <c r="H615" s="3" t="s">
        <v>26817</v>
      </c>
      <c r="I615" s="3" t="s">
        <v>26818</v>
      </c>
      <c r="J615" s="5" t="str">
        <f>IFERROR(__xludf.DUMMYFUNCTION("GOOGLETRANSLATE(I615,""zh_HANT"",""zh_HANS"")"),"钥石")</f>
        <v>钥石</v>
      </c>
    </row>
    <row r="616">
      <c r="A616" s="3" t="s">
        <v>26819</v>
      </c>
      <c r="B616" s="3" t="s">
        <v>26820</v>
      </c>
      <c r="C616" s="3" t="s">
        <v>26821</v>
      </c>
      <c r="D616" s="3" t="s">
        <v>26822</v>
      </c>
      <c r="E616" s="3" t="s">
        <v>26823</v>
      </c>
      <c r="F616" s="3" t="s">
        <v>26824</v>
      </c>
      <c r="G616" s="3" t="s">
        <v>26825</v>
      </c>
      <c r="H616" s="3" t="s">
        <v>26826</v>
      </c>
      <c r="I616" s="3" t="s">
        <v>26827</v>
      </c>
      <c r="J616" s="5" t="str">
        <f>IFERROR(__xludf.DUMMYFUNCTION("GOOGLETRANSLATE(I616,""zh_HANT"",""zh_HANS"")"),"Ｚ手环")</f>
        <v>Ｚ手环</v>
      </c>
    </row>
    <row r="617">
      <c r="A617" s="5" t="str">
        <f>CONCATENATE("NAME_ITEM_", SUBSTITUTE(SUBSTITUTE(UPPER(B617), " ", ""), ".", ""))</f>
        <v>NAME_ITEM_ZYGARDECUBE</v>
      </c>
      <c r="B617" s="3" t="s">
        <v>26828</v>
      </c>
      <c r="C617" s="3" t="s">
        <v>26829</v>
      </c>
      <c r="D617" s="3" t="s">
        <v>26830</v>
      </c>
      <c r="E617" s="3" t="s">
        <v>26831</v>
      </c>
      <c r="F617" s="3" t="s">
        <v>26832</v>
      </c>
      <c r="G617" s="3" t="s">
        <v>26833</v>
      </c>
      <c r="H617" s="3" t="s">
        <v>26834</v>
      </c>
      <c r="I617" s="3" t="s">
        <v>26835</v>
      </c>
      <c r="J617" s="5" t="str">
        <f>IFERROR(__xludf.DUMMYFUNCTION("GOOGLETRANSLATE(I617,""zh_HANT"",""zh_HANS"")"),"基格尔德多面体")</f>
        <v>基格尔德多面体</v>
      </c>
    </row>
    <row r="618">
      <c r="A618" s="3" t="s">
        <v>26836</v>
      </c>
      <c r="B618" s="3" t="s">
        <v>26837</v>
      </c>
      <c r="C618" s="3" t="s">
        <v>26838</v>
      </c>
      <c r="D618" s="3" t="s">
        <v>26839</v>
      </c>
      <c r="E618" s="5" t="str">
        <f>D618</f>
        <v>Necrosol</v>
      </c>
      <c r="F618" s="3" t="str">
        <f t="shared" ref="F618:F619" si="59">D618</f>
        <v>Necrosol</v>
      </c>
      <c r="G618" s="5" t="str">
        <f t="shared" ref="G618:G619" si="60">CONCATENATE(E618,"ix")</f>
        <v>Necrosolix</v>
      </c>
      <c r="H618" s="3" t="s">
        <v>26840</v>
      </c>
      <c r="I618" s="3" t="s">
        <v>26841</v>
      </c>
      <c r="J618" s="5" t="str">
        <f>IFERROR(__xludf.DUMMYFUNCTION("GOOGLETRANSLATE(I618,""zh_HANT"",""zh_HANS"")"),"奈克洛索尔合体器")</f>
        <v>奈克洛索尔合体器</v>
      </c>
    </row>
    <row r="619">
      <c r="A619" s="3" t="s">
        <v>26842</v>
      </c>
      <c r="B619" s="3" t="s">
        <v>26843</v>
      </c>
      <c r="C619" s="3" t="s">
        <v>26844</v>
      </c>
      <c r="D619" s="3" t="s">
        <v>26845</v>
      </c>
      <c r="E619" s="3" t="s">
        <v>26846</v>
      </c>
      <c r="F619" s="3" t="str">
        <f t="shared" si="59"/>
        <v>Necroluna</v>
      </c>
      <c r="G619" s="5" t="str">
        <f t="shared" si="60"/>
        <v>Necrolunix</v>
      </c>
      <c r="H619" s="3" t="s">
        <v>26847</v>
      </c>
      <c r="I619" s="3" t="s">
        <v>26848</v>
      </c>
      <c r="J619" s="5" t="str">
        <f>IFERROR(__xludf.DUMMYFUNCTION("GOOGLETRANSLATE(I619,""zh_HANT"",""zh_HANS"")"),"奈克洛露奈合体器")</f>
        <v>奈克洛露奈合体器</v>
      </c>
    </row>
    <row r="620">
      <c r="A620" s="5" t="str">
        <f t="shared" ref="A620:A626" si="61">CONCATENATE("NAME_ITEM_", SUBSTITUTE(SUBSTITUTE(UPPER(B620), " ", ""), ".", ""))</f>
        <v>NAME_ITEM_DYNAMAXBAND</v>
      </c>
      <c r="B620" s="3" t="s">
        <v>26849</v>
      </c>
      <c r="C620" s="3" t="s">
        <v>26850</v>
      </c>
      <c r="D620" s="3" t="s">
        <v>26851</v>
      </c>
      <c r="E620" s="3" t="s">
        <v>26852</v>
      </c>
      <c r="F620" s="3" t="s">
        <v>26853</v>
      </c>
      <c r="G620" s="3" t="s">
        <v>26854</v>
      </c>
      <c r="H620" s="3" t="s">
        <v>26855</v>
      </c>
      <c r="I620" s="3" t="s">
        <v>26856</v>
      </c>
      <c r="J620" s="5" t="str">
        <f>IFERROR(__xludf.DUMMYFUNCTION("GOOGLETRANSLATE(I620,""zh_HANT"",""zh_HANS"")"),"极巨腕带")</f>
        <v>极巨腕带</v>
      </c>
    </row>
    <row r="621">
      <c r="A621" s="5" t="str">
        <f t="shared" si="61"/>
        <v>NAME_ITEM_CATCHINGCHARM</v>
      </c>
      <c r="B621" s="3" t="s">
        <v>26857</v>
      </c>
      <c r="C621" s="3" t="s">
        <v>26858</v>
      </c>
      <c r="D621" s="3" t="s">
        <v>26859</v>
      </c>
      <c r="E621" s="3" t="s">
        <v>26860</v>
      </c>
      <c r="F621" s="3" t="s">
        <v>26861</v>
      </c>
      <c r="G621" s="3" t="s">
        <v>26862</v>
      </c>
      <c r="H621" s="3" t="s">
        <v>26863</v>
      </c>
      <c r="I621" s="3" t="s">
        <v>26864</v>
      </c>
      <c r="J621" s="5" t="str">
        <f>IFERROR(__xludf.DUMMYFUNCTION("GOOGLETRANSLATE(I621,""zh_HANT"",""zh_HANS"")"),"防晃护符")</f>
        <v>防晃护符</v>
      </c>
    </row>
    <row r="622">
      <c r="A622" s="5" t="str">
        <f t="shared" si="61"/>
        <v>NAME_ITEM_ROTOMCATALOG</v>
      </c>
      <c r="B622" s="3" t="s">
        <v>26865</v>
      </c>
      <c r="C622" s="3" t="s">
        <v>26866</v>
      </c>
      <c r="D622" s="3" t="s">
        <v>26867</v>
      </c>
      <c r="E622" s="3" t="s">
        <v>26868</v>
      </c>
      <c r="F622" s="3" t="s">
        <v>26869</v>
      </c>
      <c r="G622" s="3" t="s">
        <v>26870</v>
      </c>
      <c r="H622" s="3" t="s">
        <v>26871</v>
      </c>
      <c r="I622" s="3" t="s">
        <v>26872</v>
      </c>
      <c r="J622" s="5" t="str">
        <f>IFERROR(__xludf.DUMMYFUNCTION("GOOGLETRANSLATE(I622,""zh_HANT"",""zh_HANS"")"),"洛托姆型录")</f>
        <v>洛托姆型录</v>
      </c>
    </row>
    <row r="623">
      <c r="A623" s="5" t="str">
        <f t="shared" si="61"/>
        <v>NAME_ITEM_EXPCHARM</v>
      </c>
      <c r="B623" s="3" t="s">
        <v>26873</v>
      </c>
      <c r="C623" s="3" t="s">
        <v>26874</v>
      </c>
      <c r="D623" s="3" t="s">
        <v>26875</v>
      </c>
      <c r="E623" s="3" t="s">
        <v>26876</v>
      </c>
      <c r="F623" s="3" t="s">
        <v>26877</v>
      </c>
      <c r="G623" s="3" t="s">
        <v>26878</v>
      </c>
      <c r="H623" s="3" t="s">
        <v>26879</v>
      </c>
      <c r="I623" s="3" t="s">
        <v>26880</v>
      </c>
      <c r="J623" s="5" t="str">
        <f>IFERROR(__xludf.DUMMYFUNCTION("GOOGLETRANSLATE(I623,""zh_HANT"",""zh_HANS"")"),"经验护符")</f>
        <v>经验护符</v>
      </c>
    </row>
    <row r="624">
      <c r="A624" s="5" t="str">
        <f t="shared" si="61"/>
        <v>NAME_ITEM_REINSOFUNITY</v>
      </c>
      <c r="B624" s="3" t="s">
        <v>26881</v>
      </c>
      <c r="C624" s="3" t="s">
        <v>26882</v>
      </c>
      <c r="D624" s="3" t="s">
        <v>26883</v>
      </c>
      <c r="E624" s="3" t="s">
        <v>26884</v>
      </c>
      <c r="F624" s="3" t="s">
        <v>26885</v>
      </c>
      <c r="G624" s="3" t="s">
        <v>26886</v>
      </c>
      <c r="H624" s="3" t="s">
        <v>26887</v>
      </c>
      <c r="I624" s="3" t="s">
        <v>26888</v>
      </c>
      <c r="J624" s="5" t="str">
        <f>IFERROR(__xludf.DUMMYFUNCTION("GOOGLETRANSLATE(I624,""zh_HANT"",""zh_HANS"")"),"牵绊缰绳")</f>
        <v>牵绊缰绳</v>
      </c>
    </row>
    <row r="625">
      <c r="A625" s="5" t="str">
        <f t="shared" si="61"/>
        <v>NAME_ITEM_TERAORB</v>
      </c>
      <c r="B625" s="3" t="s">
        <v>26889</v>
      </c>
      <c r="C625" s="3" t="s">
        <v>26890</v>
      </c>
      <c r="D625" s="3" t="s">
        <v>26891</v>
      </c>
      <c r="E625" s="3" t="s">
        <v>26892</v>
      </c>
      <c r="F625" s="3" t="s">
        <v>26893</v>
      </c>
      <c r="G625" s="3" t="s">
        <v>26894</v>
      </c>
      <c r="H625" s="3" t="s">
        <v>26895</v>
      </c>
      <c r="I625" s="3" t="s">
        <v>26896</v>
      </c>
      <c r="J625" s="5" t="str">
        <f>I625</f>
        <v>太晶珠</v>
      </c>
    </row>
    <row r="626">
      <c r="A626" s="5" t="str">
        <f t="shared" si="61"/>
        <v>NAME_ITEM_GLIMMERINGCHARM</v>
      </c>
      <c r="B626" s="3" t="s">
        <v>26897</v>
      </c>
      <c r="C626" s="3" t="s">
        <v>26898</v>
      </c>
      <c r="D626" s="3" t="s">
        <v>26899</v>
      </c>
      <c r="E626" s="3" t="s">
        <v>26900</v>
      </c>
      <c r="F626" s="3" t="s">
        <v>26901</v>
      </c>
      <c r="G626" s="3" t="s">
        <v>26902</v>
      </c>
      <c r="H626" s="3" t="s">
        <v>26903</v>
      </c>
      <c r="I626" s="3" t="s">
        <v>26904</v>
      </c>
      <c r="J626" s="5" t="str">
        <f>IFERROR(__xludf.DUMMYFUNCTION("GOOGLETRANSLATE(I626,""zh_HANT"",""zh_HANS"")"),"晶耀护符")</f>
        <v>晶耀护符</v>
      </c>
    </row>
  </sheetData>
  <drawing r:id="rId1"/>
</worksheet>
</file>